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672" activeTab="0"/>
  </bookViews>
  <sheets>
    <sheet name="S. ADMINISTRATIVA" sheetId="1" r:id="rId1"/>
    <sheet name="S. PLANEACIÓN" sheetId="2" r:id="rId2"/>
    <sheet name="S. HACIENDA" sheetId="3" r:id="rId3"/>
    <sheet name="S. AGUAS E INFRAESTRUCTURA" sheetId="4" r:id="rId4"/>
    <sheet name="S. INTERIOR" sheetId="5" r:id="rId5"/>
    <sheet name="CULTURA" sheetId="6" r:id="rId6"/>
    <sheet name="S. INDUSTRIA, COMERCIO ,TURISMO" sheetId="7" r:id="rId7"/>
    <sheet name="S. AGRICULTURA" sheetId="8" r:id="rId8"/>
    <sheet name="S. PRIVADA" sheetId="9" r:id="rId9"/>
    <sheet name="S. EDUCACIÓN" sheetId="10" r:id="rId10"/>
    <sheet name="S. FAMILIA" sheetId="11" r:id="rId11"/>
    <sheet name="S. REP. JUDICIAL" sheetId="12" r:id="rId12"/>
    <sheet name="S. SALUD" sheetId="13" r:id="rId13"/>
    <sheet name="INDEPORTES" sheetId="14" r:id="rId14"/>
    <sheet name="PROMOTORA" sheetId="15" r:id="rId15"/>
    <sheet name="IDTQ" sheetId="16" r:id="rId16"/>
  </sheets>
  <definedNames>
    <definedName name="_1._Apoyo_con_equipos_para_la_seguridad_vial_Licenciamiento_de_software_para_comunicaciones" localSheetId="13">#REF!</definedName>
    <definedName name="_1._Apoyo_con_equipos_para_la_seguridad_vial_Licenciamiento_de_software_para_comunicaciones" localSheetId="14">#REF!</definedName>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6">#REF!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#REF!</definedName>
    <definedName name="_xlnm.Print_Titles" localSheetId="1">'S. PLANEACIÓN'!$7:$8</definedName>
  </definedNames>
  <calcPr fullCalcOnLoad="1"/>
</workbook>
</file>

<file path=xl/comments4.xml><?xml version="1.0" encoding="utf-8"?>
<comments xmlns="http://schemas.openxmlformats.org/spreadsheetml/2006/main">
  <authors>
    <author>Maria Lucia Londo?o Giraldo</author>
  </authors>
  <commentList>
    <comment ref="BI26" authorId="0">
      <text>
        <r>
          <rPr>
            <sz val="11"/>
            <rFont val="Tahoma"/>
            <family val="2"/>
          </rPr>
          <t xml:space="preserve">Nota: Se aclara que los proyectos del PAP-PDA que contaron con apropiación de recursos del SGP-APSB del Departamento, se encuentran en proceso precontractual, los certificados de disponibilidad de recursos fueron expedidos por el Consorcio Financiamiento de Inversiones en Agua (FIA), teniendo en cuenta el convenio de uso de recursos entre el MVCT y el Departamento donde anualmente se realiza giro directo sin situación de fondos de los  recursos con destino a la implementación y ejecución del PAP-PDA. </t>
        </r>
      </text>
    </comment>
  </commentList>
</comments>
</file>

<file path=xl/sharedStrings.xml><?xml version="1.0" encoding="utf-8"?>
<sst xmlns="http://schemas.openxmlformats.org/spreadsheetml/2006/main" count="4742" uniqueCount="2157">
  <si>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</si>
  <si>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</si>
  <si>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</si>
  <si>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</si>
  <si>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</si>
  <si>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</si>
  <si>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</si>
  <si>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</si>
  <si>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</si>
  <si>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</si>
  <si>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</si>
  <si>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PESO DE LA META %</t>
  </si>
  <si>
    <t xml:space="preserve">VALOR EN PESOS </t>
  </si>
  <si>
    <t xml:space="preserve">OBJETIVO GENERAL DEL PROYECTO </t>
  </si>
  <si>
    <t xml:space="preserve">OBJETIVOS ESPECIFICOS </t>
  </si>
  <si>
    <t>ACTIVIDADES CUANTIFICADAS</t>
  </si>
  <si>
    <t xml:space="preserve">FUENTE DE RECURSOS </t>
  </si>
  <si>
    <t xml:space="preserve">CICLO VITAL </t>
  </si>
  <si>
    <t xml:space="preserve">DIMENSION SOCIAL </t>
  </si>
  <si>
    <t xml:space="preserve">FECHA DE INICIO </t>
  </si>
  <si>
    <t xml:space="preserve">FECHA DE TERMINACIÓN </t>
  </si>
  <si>
    <t xml:space="preserve">RESPONSABLE </t>
  </si>
  <si>
    <t>0-5</t>
  </si>
  <si>
    <t>7-14</t>
  </si>
  <si>
    <t>15-17</t>
  </si>
  <si>
    <t>18-26</t>
  </si>
  <si>
    <t>27-59</t>
  </si>
  <si>
    <t xml:space="preserve">60  Y MAS </t>
  </si>
  <si>
    <t>COMUNIDAD AFRO- Y LGBTI</t>
  </si>
  <si>
    <t xml:space="preserve">COMUNIDAD INDIGENA </t>
  </si>
  <si>
    <t>REINSERCCION</t>
  </si>
  <si>
    <t>VICTIMA</t>
  </si>
  <si>
    <t>DISCAPACIDAD</t>
  </si>
  <si>
    <t>ADULTO MAYOR</t>
  </si>
  <si>
    <t>BUEN GOBIERNO</t>
  </si>
  <si>
    <t>Quindío Transparente y Legal</t>
  </si>
  <si>
    <t>Quindío Ejemplar y Legal</t>
  </si>
  <si>
    <t>No.</t>
  </si>
  <si>
    <t>Ordinario</t>
  </si>
  <si>
    <t>Gestión Territorial</t>
  </si>
  <si>
    <t xml:space="preserve"> </t>
  </si>
  <si>
    <t>QUINDIO TRANSPARENTE Y LEGAL</t>
  </si>
  <si>
    <t>QUINDIO EJEMPLAR Y LEGAL</t>
  </si>
  <si>
    <t>Establecer y socializar veinte (20)  políticas desde la cultura de la legalidad y  la prevención de daño antijurídico en  el Departamento.</t>
  </si>
  <si>
    <t>0317 - 5 - 1 22 106 140 123 - 20</t>
  </si>
  <si>
    <t>Fortalecer las estrategias de defensa jurídica y las herramientas de gestión para mejorar la efectividad en los procesos de los cuales hace parte el Departamento del Quindío.</t>
  </si>
  <si>
    <t xml:space="preserve">Generar lineamientos  generales de
prevención, de conciliación y estrategias
generales de defensa jurídica.
</t>
  </si>
  <si>
    <t>Análisis y clasificación de  las causas que generan solicitudes de conciliación extrajudicial y demandas instauradas en contra del Departamento del Quindío.</t>
  </si>
  <si>
    <t>06/30/2016</t>
  </si>
  <si>
    <t>JAMER CHAQUIP GIRALDO MOLINA  SECRETARIO DE REPRESENTACIÓN JUDICIAL  Y DEFENSA</t>
  </si>
  <si>
    <t>Elaboración de un informe-diagnóstico sobre las principales causas que generan solicitudes de conciliación extrajudicial y demás instauradas en contra del Departamento del Quindío.</t>
  </si>
  <si>
    <t>Promover la conciliación  extrajudicial y judicial como mecanismo alternativo  de resolución de controversias.</t>
  </si>
  <si>
    <t xml:space="preserve">Desarrollo de capacitaciones en conciliación extrajudicial y judicial como  mecanismo alternativo  de resolución de controversias al interior de la Administración Departamental.  </t>
  </si>
  <si>
    <t>0317 - 5 - 3 1 5 26 83 17 131 - 20</t>
  </si>
  <si>
    <t>Fortalecer los procesos, procedimientos y actuaciones de la administración para el cumplimiento de su misión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</si>
  <si>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</si>
  <si>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</si>
  <si>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Adoptar e implementar políticas de prevención de daños antijurídicos y socializarlas al interior de la administración departamental, propendiendo por la salvaguarda de los bienes e intereses jurídicos de terceros legalmente protegidos.</t>
  </si>
  <si>
    <t>Diseño de las propuestas dirigidas a la adopción de medidas de indole preventivo y correctivo  que permitan reducir la incidencia de daños antijurídicos en el Departamento.</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</si>
  <si>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</si>
  <si>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</si>
  <si>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</si>
  <si>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Secretario de Representación Judicial y Defensa</t>
  </si>
  <si>
    <t>RECURSO ORDINARIO</t>
  </si>
  <si>
    <t>RECURSOS ORDINARIOS</t>
  </si>
  <si>
    <t>Nro.</t>
  </si>
  <si>
    <t xml:space="preserve">Realizar 40 eventos  de sensibilización en transparencia , participación, buen gobierno y valores éticos y morales </t>
  </si>
  <si>
    <t>0313 - 5 - 3 1 5 26 83 17 82 - 20</t>
  </si>
  <si>
    <t xml:space="preserve">*Aumento de conocimiento en temas de transparencia, Etica y Buen Gobierno.                                      * Incremento de formadores éticos con vivencias y prácticas reconocidas a nivel de la sociedad y del departamento .                    *Mejorar la motivación de los ciudadanos ante las buenas prácticas  de los funcionarios en las instituciones 
</t>
  </si>
  <si>
    <t>Implementar una (1) sala de transparencia "Urna de Cristal" en el Departamento</t>
  </si>
  <si>
    <t>0313 - 5 - 3 1 5 26 83 17 83 - 20</t>
  </si>
  <si>
    <t xml:space="preserve">Mejorar el nivel de credibilidad en la transparencia  de la contratación  pública en el Departamento.
</t>
  </si>
  <si>
    <t xml:space="preserve">*Aumentar el conocimiento de la ciudadanía de los procesos precontractuales de la administración departamental                   *Fortalecer participación de la ciudadanía en los procesos precontractuales                                     *
</t>
  </si>
  <si>
    <t>63164</t>
  </si>
  <si>
    <t>Modernización tecnológica y Administrativa</t>
  </si>
  <si>
    <t>Desarrollar e implementar una (1) estrategía de comunicaciones</t>
  </si>
  <si>
    <t xml:space="preserve">No </t>
  </si>
  <si>
    <t>0313 - 5 - 3 1 5 28 89 17 81 - 20</t>
  </si>
  <si>
    <t>Diciembre 31 de 2016</t>
  </si>
  <si>
    <t xml:space="preserve">5. </t>
  </si>
  <si>
    <t xml:space="preserve"> BUEN GOBIERNO </t>
  </si>
  <si>
    <t>26.</t>
  </si>
  <si>
    <t>NO</t>
  </si>
  <si>
    <t xml:space="preserve"> Fortalecimiento de la Gestión Jurídica en el Departamento del Quindío.</t>
  </si>
  <si>
    <t xml:space="preserve"> Formulación, adopción e implementación de políticas de prevención del daño antijurídico en el Departamento del Quindío. </t>
  </si>
  <si>
    <t xml:space="preserve">CODIGO </t>
  </si>
  <si>
    <t>Desarrollar y fortalecer la cultura de la transparencia, participación, buen gobierno  y valores éticos y morales en el Departamento del Quindio</t>
  </si>
  <si>
    <t xml:space="preserve"> Implementacion de una (1) sala de transparencia "Urna de Cristal" en el Departamento del Quindio</t>
  </si>
  <si>
    <t xml:space="preserve">Implementación de  la estrategia de comunicaciones para  la divulgación de  los programas, proyectos,  actividades y servicios del Departamento del Quindío </t>
  </si>
  <si>
    <t>Elevar el índice de transparencia en la administración departamental, mediante un proceso de formación incluyente  con énfasis en valores éticos , morales y ciudadanos , para aumentar la confianza en la administración gubernamental del Quindío</t>
  </si>
  <si>
    <t xml:space="preserve">I.  Estructura curricular                       II Ejecución de acciones de formación.                                                 III  Material de apoyo (nivel básico).                                                     IV  Aspectos logísticos.                    V   Comunicaciones pre y pos,  administración y divulgación     </t>
  </si>
  <si>
    <t xml:space="preserve">Recurso Ordinario </t>
  </si>
  <si>
    <t xml:space="preserve">1. Creación e implementación de un medio visible y masivo que permita observar como se llevan a cabo los proceso precontractuales del Departamento                                        2. Transmisión a los ciudadanos de la información precontractual delos procesos de la Administración departamental       </t>
  </si>
  <si>
    <t xml:space="preserve">Fortalecer las herramientas de divulgación y comunicación de las metas resultado propuestas en el plan de desarrollo 2016-2019 "En Defensa del Bien Común"        
</t>
  </si>
  <si>
    <t xml:space="preserve">*Definir el plan de medios de comunicación estratégica
 *Estructurar un sistema de comunicación con los diferentes públicos objetivos de la gobernación del Quindío
</t>
  </si>
  <si>
    <t xml:space="preserve"> DIRECTOR OFICINA PRIVADA</t>
  </si>
  <si>
    <t>TOTALES</t>
  </si>
  <si>
    <t xml:space="preserve">CODIGO:  </t>
  </si>
  <si>
    <t xml:space="preserve">VERSIÓN: </t>
  </si>
  <si>
    <t xml:space="preserve">FECHA: </t>
  </si>
  <si>
    <t>PÁGINA:</t>
  </si>
  <si>
    <t>Formulación de la estrategia de comunicaciones de la administración departamental</t>
  </si>
  <si>
    <t>Difusión de los programas y proyectos de la oferta institucional y evaluaciones del impacto social</t>
  </si>
  <si>
    <t>Pre, pro, pos, producción del programa institucional de televisión para la divulgación de los programas y proyectos de la administración departamental</t>
  </si>
  <si>
    <t>Campañas en medios de comunicación masiva, programas y proyectos de la administración departamental</t>
  </si>
  <si>
    <t>PRESUPUESTADO</t>
  </si>
  <si>
    <t>P</t>
  </si>
  <si>
    <t>E</t>
  </si>
  <si>
    <t>p</t>
  </si>
  <si>
    <t xml:space="preserve">P </t>
  </si>
  <si>
    <t xml:space="preserve">SEGUIMIENTO PLAN DE ACCIÓN  </t>
  </si>
  <si>
    <t>SEGUIMIENTO PLAN DE ACCIÓN</t>
  </si>
  <si>
    <t>F-PLA-07</t>
  </si>
  <si>
    <t>01 de 1</t>
  </si>
  <si>
    <t>E (OBLIGACIONES)</t>
  </si>
  <si>
    <t>E (COMPROMISOS)</t>
  </si>
  <si>
    <t xml:space="preserve">No. DE 
CONTRATOS </t>
  </si>
  <si>
    <t>% DE EJECUCION</t>
  </si>
  <si>
    <t>FUENTE DE LOS RECURSOS</t>
  </si>
  <si>
    <t>CONTRATOS</t>
  </si>
  <si>
    <t>VALOR COMPROMISOS</t>
  </si>
  <si>
    <t>VALOR DE LAS OBLIGACIONES</t>
  </si>
  <si>
    <t>SUPERVISOR RESPONSABLE</t>
  </si>
  <si>
    <t>JAMER CHAQUIP GIRALDO MOLINA    SECRETARIO REPRESENTACION JUDICIAL Y DEFENSA</t>
  </si>
  <si>
    <t>CARLOS ALBERTO GOMEZ CHACÓN - DIRECTOR OFICINA PRIVADA</t>
  </si>
  <si>
    <t xml:space="preserve">CARLOS ALBERTO GOMEZ CHACÓN - DIRECTOR OFICINA PRIVADA </t>
  </si>
  <si>
    <t xml:space="preserve">DIANA MILENA GALVIS </t>
  </si>
  <si>
    <t>CARLOS ALBERTO GÓMEZ CHACÓN</t>
  </si>
  <si>
    <t>ORDINARIO</t>
  </si>
  <si>
    <t>Modernización tecnológica y administrativa</t>
  </si>
  <si>
    <t>Virtualizar ocho (8) trámites de la administración departamental a través de Gobierno en Línea</t>
  </si>
  <si>
    <t>0304 - 5 - 3 1 5 28 89 17 1 - 20</t>
  </si>
  <si>
    <t xml:space="preserve"> Apoyo a la estrategia de Gobierno en linea en el Departamento del Quindio</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</si>
  <si>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</si>
  <si>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Apoyar a los funcionarios a través de procesos de capacitación  en el manejo de las herramientas tecnológicas para optimizar el desempeño 
</t>
  </si>
  <si>
    <t>Compra o adquisicion de hardware</t>
  </si>
  <si>
    <t xml:space="preserve">Recursos Ordinarios </t>
  </si>
  <si>
    <t>72224</t>
  </si>
  <si>
    <t>BERNARDO ARANGO RESTREPO 
LEONARDO SANCHEZ ARIZA</t>
  </si>
  <si>
    <t>CATALINA GOMEZ RESTREPO- SECRETARIA ADMINISTRATIVA</t>
  </si>
  <si>
    <t>Soporte aplicaciones</t>
  </si>
  <si>
    <t>Sostenibilidad de la estrategia de gobierno en linea</t>
  </si>
  <si>
    <t>Formular e  implementar un (1) programa de seguridad y salud en el trabajo, capacitación y bienestar social en  el departamento</t>
  </si>
  <si>
    <t>0304 - 5 - 3 1 5 28 89 17 2 - 20</t>
  </si>
  <si>
    <t>Formulación e implementación del programa de seguridad y salud en el trabajo, capacitación y bienestar social en el Departamento del Quindio</t>
  </si>
  <si>
    <t>Desarrollar y fortalecer continuamente el talento humano al servicio de la entidad</t>
  </si>
  <si>
    <t>Formular e implementar un programa de seguridad y salud en el trabajo</t>
  </si>
  <si>
    <t>Realizar 15 actividades de seguridad y salud en el trabajo</t>
  </si>
  <si>
    <t>MARIO ALBERTO LEAL MEJÍA</t>
  </si>
  <si>
    <t>Formular e implementar  un plan institucional de capacitación</t>
  </si>
  <si>
    <t>Realizar 1 proceso de inducción y 1 proceso de reinducción a los funcionarios públicos de la entidad</t>
  </si>
  <si>
    <t>Gestionar el desarrollo de 20 procesos de capacitación, priorizados en el PIC</t>
  </si>
  <si>
    <t>Formular e implementar el plan de bienestar social</t>
  </si>
  <si>
    <t>Gestionar el desarrollo de 15 actividades de bienestar social</t>
  </si>
  <si>
    <t>Fortalecer el programa de  infraestructura tecnológica de la  Administración Departamental (hadware, aplicativos, redes, y capacitación)</t>
  </si>
  <si>
    <t>0304 - 5 - 1 20 99 130 118 - 20</t>
  </si>
  <si>
    <t>Actualización de la infraestructura tecnológica de la Gobernación del Quindío.</t>
  </si>
  <si>
    <t xml:space="preserve"> Apoyar el programa de  infraestructura tecnológica de la  Administración Departamental ( hadware, aplicativos, redes, y capacitación)</t>
  </si>
  <si>
    <t xml:space="preserve">Modernizar las  herramientas tecnológicas a través la adquisición de equipos y sistemas de información que permitan optimizar los procesos
</t>
  </si>
  <si>
    <t xml:space="preserve">Apoyo Tecnico y/o profesional </t>
  </si>
  <si>
    <t>MARIO LEAL MEJIA
PATRICIA EUGENIA GOMEZ ESCOBAR</t>
  </si>
  <si>
    <t>0304 - 5 - 3 1 5 28 89 17 3 - 20</t>
  </si>
  <si>
    <t>Incrementar la  renovación de las herramientas tecnológicas a través de outsourcing para ampliar el numero de equipos de ultima tecnología logrando una mejor atención a los usuarios</t>
  </si>
  <si>
    <t>Servicios de comunicaciones</t>
  </si>
  <si>
    <t xml:space="preserve">Fortalecer el programa de sostenibilidad de las  Tecnologias de la Información de las Comunicaciones de la </t>
  </si>
  <si>
    <t>0304 - 5 - 1 20 99 130 119 - 20</t>
  </si>
  <si>
    <t>Apoyo a la sostenibilidad de las tecnologías de la información y comunicación de la Gobernación del Quindío.</t>
  </si>
  <si>
    <t xml:space="preserve"> Optimizar la infraestructura informática y de comunicaciones disponible a través de actualizacion de equipos y aplicaciones para una mejor atencion al usuario
</t>
  </si>
  <si>
    <t xml:space="preserve">Modernizar la infraestructura tecnológica mediante la compra de herramientas tecnológicas de ultima generación para aumentar el desempeño de los funcionarios.  
 Adquirir  tecnologías con mayor tiempo de obsolecencia programada para que tengan una vida útil mas larga
</t>
  </si>
  <si>
    <t>CATALINA GOMEZ RESTREPO  SECRETARIA ADMINISTRATIVA</t>
  </si>
  <si>
    <t>0304 - 5 - 3 1 5 28 89 17 4 - 20</t>
  </si>
  <si>
    <t>Implementar un programa de modernización de la gestión documental en el departamento</t>
  </si>
  <si>
    <t>0304 - 5 - 3 1 5 28 89 17 5 - 20</t>
  </si>
  <si>
    <t>Implementación de un programa  de  modernización de la gestión administrativa en el Departamento del Quindio</t>
  </si>
  <si>
    <t>Mejorar los índices de eficacia y eficiencia en el proceso de gestión documental, a través de la implementación de las herramientas archivísticas(diagnóstico integral de archivo, planeación de la gestión documental, programa de gestión documental, sistema integrado de conservación, política de la gestión documental, procesos y procedimientos de la gestión documental calidad, revisión y actualización de las tablas de retención documental, revisión e implementación de las tablas de valoración documental) en el departamento del Quindío</t>
  </si>
  <si>
    <t>Elaborar diagnóstico y establecer correctivos en el acervo documental de la gobernación del Quindío</t>
  </si>
  <si>
    <t>Diagnóstico del archivo</t>
  </si>
  <si>
    <t>90390</t>
  </si>
  <si>
    <t>CATALINA GOMEZ RESTREPO</t>
  </si>
  <si>
    <t xml:space="preserve">CATALINA GOMEZ RESTREPO    SECRETARIA ADMINISTRATIVA </t>
  </si>
  <si>
    <t xml:space="preserve">Socialización, aplicación de la normatividad archivística que rige para la operatividad de los  archivos de los municipios y archivos de gestión ente central
</t>
  </si>
  <si>
    <t>Programa de gestion documental</t>
  </si>
  <si>
    <t>Planeacion de la gestion documental</t>
  </si>
  <si>
    <t>Sistema conservacion de archivo</t>
  </si>
  <si>
    <t>Procesos y procedimientos</t>
  </si>
  <si>
    <t>Politica de la gestion documental</t>
  </si>
  <si>
    <t>Revision y actualizacion tablas retencion documental</t>
  </si>
  <si>
    <t>Implementacion tablas de valoracion documental</t>
  </si>
  <si>
    <t>Soporte en la aplicabilidad normativa archivistica en 12 municipios al consejo departamental de archivos y la gestión documental de la Gobernación del Quindío</t>
  </si>
  <si>
    <t>SUPERVISOR  RESPONSABLE</t>
  </si>
  <si>
    <t xml:space="preserve">BUEN GOBIERNO </t>
  </si>
  <si>
    <t xml:space="preserve">28. </t>
  </si>
  <si>
    <t xml:space="preserve">GESTION TERRITORIAL </t>
  </si>
  <si>
    <t>88.</t>
  </si>
  <si>
    <t>GESTION TRIBUTARIA Y FINANCIERA</t>
  </si>
  <si>
    <t>Implementar 4 procesos de fiscalización de las Rentas Departamentales</t>
  </si>
  <si>
    <t>NRO</t>
  </si>
  <si>
    <t>0307 - 5 - 3 1 5 28 88 17 16 - 15  /  0307 - 5 - 3 1 5 28 88 17 16 - 20  /  0307 - 5 - 3 1 5 28 88 17 16 - 56  /  0307 - 5 - 3 1 5 28 88 17 16 - 87  /  0307 - 5 - 3 1 5 28 88 17 16 - 88  / 0307 - 5 - 1 22 104 138 121 - 15  /  0307 - 5 - 1 22 104 138 121 - 20  /  0307 - 5 - 1 22 104 138 121 - 88</t>
  </si>
  <si>
    <t xml:space="preserve"> Mejoramiento de la sostenibilidad de los procesos de fiscalización liquidación control y cobranza de los tributos en el Departamento del Quindío</t>
  </si>
  <si>
    <t xml:space="preserve">Aumentar los  porcentajes de crecimiento de los ingresos en el Departamento del Quindio, a través de procesos de fiscalización, procedimientos administrativos de cobro coactivo de la cartera morosa y ejecuciòn del Programa Anticontrabando , con el fin de   
 consolidar la cultura tributaria y por consiguiente aumentar la inversión  en el Departamento del Quindio, durante la vigenia 2016  
</t>
  </si>
  <si>
    <t xml:space="preserve">Realizar procesos de fiscalizaciòn de las rentas Departamentales, a través de la realización de controles en la liquidación y cobranza  en los impuestos de vehículos automotores,I.S.V.A, Impuesto de Registro, Estampillas Departamentales e Impuesto al Consumo y  Monopolio de Licores Destilados y Alcoholes Potables, con el fin de  aumentar los ingresos,  consolidar la cultura tributaria y por consiguiente aumentar la inversión  en el Departamento del Quindio durante la vigencia 2016  
</t>
  </si>
  <si>
    <r>
      <t xml:space="preserve">Realizar  4 procesos de fiscalizaciòn  en los impuestos de </t>
    </r>
    <r>
      <rPr>
        <sz val="11"/>
        <color indexed="8"/>
        <rFont val="Arial"/>
        <family val="2"/>
      </rPr>
      <t xml:space="preserve">vehículos automotores,I.S.V.A, registro, emtampilla y  al consumo y el monopolio de licores destilados y alcoholes potables en el Deprtamento del Quindio  </t>
    </r>
  </si>
  <si>
    <t>Ordinario / Rentas / Nación</t>
  </si>
  <si>
    <t>Natalia A. Rodríguez Londoño / Diana Carolina Varela Arboleda / Luz Adriana ángel Rios</t>
  </si>
  <si>
    <t xml:space="preserve">LUZ ELENA MEJIA CARDONA   SECRETARIA DE HACIENDA </t>
  </si>
  <si>
    <t>Implementar una estrategia de cobro coactivo sobre la cartera morosa de las Rentas Departamentales.</t>
  </si>
  <si>
    <t>Llevar a cabo la implementaciòn de los diferentes Procesos Administrativos de Cobro Coactivo sobre aquellos contribuyentes que se encuentran en mora de cancelar sus obligaciones tributarias</t>
  </si>
  <si>
    <t xml:space="preserve">Expedir Resoluciones de Liquidaciòn del Impuesto, Mandamientos de Pagos, Medidas Cautelares, suscripciòn de Acuerdos de Pagos y demàs actividades que surjan como consecuencia de cada proceso de cobro coactivo implementado
</t>
  </si>
  <si>
    <t xml:space="preserve">Ejecutar el programa anti contrabando suscrito con la Federación Nacional de Departamentos.                               </t>
  </si>
  <si>
    <t xml:space="preserve">Ejecutar el Programa Anticontrabando en el Departamento del Quindìo con ocasion de la suscripcion del Convenio entre el Departamento del Quindìo y la Federaciòn Nacional de Departamentos
</t>
  </si>
  <si>
    <t xml:space="preserve">Ejecuciòn de actividades que contribuyan a disminuir la Evasiòn, la Lucha en contra de la Adulteraciòn y el Contrabando que afectan el consumo de cigarrillos, tabaco elaborado, bebidas alcohòlicas, licores, cervezas, vinos y refajos
</t>
  </si>
  <si>
    <t>15 - 56</t>
  </si>
  <si>
    <t>RENTAS -NACION</t>
  </si>
  <si>
    <t>Elaborar el diagnóstico del sistema de Información tributario y financiero</t>
  </si>
  <si>
    <t>0307 - 5 - 3 1 5 28 88 17 17 - 20</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</si>
  <si>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</si>
  <si>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y asi elevar el promedio de participación ciudadana en los procesos de elección popular en el Departamento del Quindio durante la vigencia 2016. 
</t>
  </si>
  <si>
    <t xml:space="preserve">Adoptar el nuevo modelo de informaciòn Financiera determinado por las Normas Internacionales de Contabilidad de información financiera NIIF, a fin de garantizar la confiabilidad de la información financiera y asi elevar el promedio de participación ciudadana en los procesos de elección popular en el Departamento del Quindio durante la vigencia 2016
</t>
  </si>
  <si>
    <t xml:space="preserve">Un (1) documento de la  Implementaciòn de Normas Internacionales de Informaciòn Financiera (NIIF)
</t>
  </si>
  <si>
    <t xml:space="preserve">Ordinario  </t>
  </si>
  <si>
    <t>Jafet Flórez Penagos</t>
  </si>
  <si>
    <t xml:space="preserve">Implementar un programa para el cumplimiento de las políticas y prácticas contables para la administración departamental         </t>
  </si>
  <si>
    <t xml:space="preserve">Elaborar el diagnóstico del sistema de información tributario y financiero, consolidando los sistemas de información y optimizando los procesos en el área de tesoreria, presupuesto y contabilidad a fin de garantizar la confiabilidad y oportunidad de la información financiera y asi elevar el promedio de participación ciudadana en los procesos de elección popular en el Departamento del Quindio durante la vigencia 2016 </t>
  </si>
  <si>
    <t xml:space="preserve">Un (1) software         Un (1) documento de la optimización de los procesos en el área de tesoreria,presupuesto y contabilidad
</t>
  </si>
  <si>
    <t xml:space="preserve">LUZ HELENA MEJIA  CARDONA </t>
  </si>
  <si>
    <t xml:space="preserve">Secretaria de Hacienda </t>
  </si>
  <si>
    <t>Realizar en el Departamento y  los doce (12) municipios  del Quindío  procesos de sensibilización, seguimiento  y evaluación en la aplicabilidad de los componentes   del Índice de Transparencia.</t>
  </si>
  <si>
    <t>0305 - 5 - 3 1 5 26 83 17 6 - 20</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</si>
  <si>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</si>
  <si>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 visibilidad, institucionalidad, control y sanción, con el fin de lograr una mayor eficiencia y eficacia admnistrativa ,  visibilizar los procesos  y disminuir los riegos de corrupción durante la vigencia 2016 . 
</t>
  </si>
  <si>
    <t xml:space="preserve"> Realizar  procesos de capacitación, asistencia técnica, seguimiento y evaluación del  Indice de Transparencia a las Secretarias Sectoriales Departamento del Quindio,  en los diferentes componentes: Visibilidad, Institucionalidad,  Control y Sanción, con el fin de lograr una mayor eficiencia y eficacia admnistrativa ,  visibilizar los procesos  y disminuir los riegos de corrupción durante la vigencia 2016 . </t>
  </si>
  <si>
    <t>Diagnóstico (3)  por  componentes y competencias secretarias sectoriales (Visibilidad, Institucionalidad,  Control y Sanción)</t>
  </si>
  <si>
    <t>Recurso Ordinario</t>
  </si>
  <si>
    <t>Recursos propios</t>
  </si>
  <si>
    <t>Martha Elena Giraldo Ramirez Directora Técnica Secretaría de Planeación</t>
  </si>
  <si>
    <t>ALVARO ARIAS YOUNG  SECRETARIO DE PLANEACION DEPARTAMENTAL</t>
  </si>
  <si>
    <t>Capacitación secretarias sectoriales (15)   indice de transparencia - socializacion diagnóstico</t>
  </si>
  <si>
    <t xml:space="preserve">Asistencias tecnicas especificas (grupales 65)   implementación de los componentes </t>
  </si>
  <si>
    <t>Seguimiento y evaluación implementación y operatividad componentes indice de transparencia ( Visibilidad, Institucionalidad,  Control y Sanción)</t>
  </si>
  <si>
    <t xml:space="preserve">Realizar  procesos de capacitación, asistencia técnica, seguimiento y evaluación del  Indice de Transparencia a los entes territoriales municipales del Departamento del Quindio,  en los diferentes componentes: Visibilidad, Institucionalidad,  Control y sanción, con el fin de lograr una mayor eficiencia y eficacia administrativa ,  visibilizar los procesos  y disminuir los riegos de corrupción durante la vigencia 2016 . </t>
  </si>
  <si>
    <t>Diagnóstico (3)  por  componentes y competencias Entes Territoriales ( Visibilidad, Institucionalidad,  Control y Sanción)</t>
  </si>
  <si>
    <t>Capacitación entes territoriales (3)   indice de transparencia - socializacion diagnóstico</t>
  </si>
  <si>
    <t xml:space="preserve">Asistencias tecnicas especificas (grupales 60)   implementación de los componentes </t>
  </si>
  <si>
    <t xml:space="preserve">Realizar capacitaciones  temas especificos  de los componentes del Indice de transparencia  ( Gestión documental y de contratación, Plan estratégico de Talento Humano), que representan mayor vulnerabilidad , dirigida a los funcionarios de la Administración y entes territoriales municipales, con el fin de lograr una mayor eficiencia y eficacia administrativa ,  visibilizar los procesos  y disminuir los riegos de corrupción durante la vigencia 2016 .   </t>
  </si>
  <si>
    <t>Capacitación: Talento Humano, Gestión Documental, Gestión de Contratación</t>
  </si>
  <si>
    <t xml:space="preserve">Refrigerios </t>
  </si>
  <si>
    <t>Veedurías y Rendición de Cuentas</t>
  </si>
  <si>
    <t xml:space="preserve">Realizar  doce (12) procesos de Rendición Publica de Cuentas Departamentales en entes territoriales municipales. </t>
  </si>
  <si>
    <t>No</t>
  </si>
  <si>
    <t>0305 - 5 - 3 1 5 26 84 17 15 - 20</t>
  </si>
  <si>
    <t xml:space="preserve">Realización procesos de Rendición Pública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</si>
  <si>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de gestión Y del video ejecutorias Administración Departamental vigencia 2016, con el fin de divulgar a la comunidad de los resultados de la ejecutorias generando en la Administraciòn la cultura de la Rendiciòn Pùblica de Cuentas durante la vigencia 2016.
</t>
  </si>
  <si>
    <t xml:space="preserve"> Consolidar la información y estadisticas de las ejecutorias del Plan de Desarrollo de manera articulada a través de la elaboración del informe de gestión periodo 2016 por entes territoriales municipales, ejes estratégicos, programas, subprogramas y metas producto incluido la población beneficiaria y el registro fotográfico de las ejecutorias, informe de gestión Sistema General de Regalías, con el fin de aumentar el promedio de la participación ciudadana en los procesos de elección popular , en el Departamento del Quindío vigencia 2016.  </t>
  </si>
  <si>
    <t>Consolidación informe por estratégias (DESARROLLO SOSTENIBLE,PROSPERIDAD CON EQUIDAD,  INCLUSION SOCIAL,SEGURIDAD HUMANA Y BUEN GOBIERNO</t>
  </si>
  <si>
    <t>Recursos Propios</t>
  </si>
  <si>
    <t xml:space="preserve">Recolección, consolidación y elaboración   informe de gestión Sistema General de Regalías   diciembre 31 de   2016  </t>
  </si>
  <si>
    <t>Realizar el video de las ejecutorias de la Administración Departamental vigencia 2016 por ejes estratégicos, buscando aumentar el promedio de la participación ciudadana en los procesos de elección popular en el Departamento del Quindío durante la vigencia 2016</t>
  </si>
  <si>
    <t xml:space="preserve">Video ejecutorias  administración departamental vigencia 2016 (DESARROLLO SOSTENIBLE,PROSPERIDAD CON EQUIDAD,  INCLUSION SOCIAL,SEGURIDAD HUMANA Y BUEN GOBIERNO
</t>
  </si>
  <si>
    <t xml:space="preserve">Juan José Jaramillo Perez - Jefe de Proyectos y Cooperación Internacional </t>
  </si>
  <si>
    <t>Poder Ciudadano</t>
  </si>
  <si>
    <t>Quindío si a la participación</t>
  </si>
  <si>
    <t xml:space="preserve">Fortalecer  técnica y logísticamente al  Consejo Territorial de Planeación  Departamental  </t>
  </si>
  <si>
    <t>0305 - 5 - 3 1 5 27 85 16 7 - 20</t>
  </si>
  <si>
    <t>Asistencia al Consejo Territorial de Planeación del Departamento del Quindío.</t>
  </si>
  <si>
    <t xml:space="preserve">Fortalecer competencias de planificación del consejo territorial del Departamento del Quindio, a través de la participación del Consejo Territorial de Planeación en encuentros Departamentales ,Nacionales y Regionales, de una estrategia de comunicaciones e imagen institucional , del diplomado en Ordenamiento Territorial y de la adquisición de equipos digitales y de computo, durante la vigencia 2016.   
</t>
  </si>
  <si>
    <t xml:space="preserve">Apoyar la participación de los integrantes del Consejo Territorial a congresos y eventos nacionales regionales y departamentales, en el Departamento del Quindio, durante la vigencia 2016 </t>
  </si>
  <si>
    <t>Participación CTP en encuentros departamentales -  nacionales y regionales</t>
  </si>
  <si>
    <t>Norvey Valencia Roa Jefe Ordenamiento Territorial</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</si>
  <si>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2016.  </t>
  </si>
  <si>
    <t>Estrategia de comunicaciones e imagen institucional</t>
  </si>
  <si>
    <t xml:space="preserve">Impresos </t>
  </si>
  <si>
    <t xml:space="preserve">Aumentar los  espacios para capacitación orientados en planificación del territorio Quindiano a través de un diplomado en ordenamiento territorial en el Departamento del Quindio, durante la vigencia 2016. </t>
  </si>
  <si>
    <t>Diplomado en ordenamiento territorial</t>
  </si>
  <si>
    <t xml:space="preserve">Los instrumentos  de planificación como  ruta para el cumplimiento de la gestión pública  </t>
  </si>
  <si>
    <t>Formular  e implementar el  Plan de Desarrollo Departamental</t>
  </si>
  <si>
    <t>0305 - 5 - 3 1 5 28 87 17 8 - 20</t>
  </si>
  <si>
    <t xml:space="preserve"> Formulación del Plan de Desarrollo Departamental 2016 - 2019</t>
  </si>
  <si>
    <t xml:space="preserve">Aumentar los indices eficacia y eficiencia  de la inversión social en el Departamento del Quindio, a través de la formulación del Plan de Desarrollo 2016- 2019 (Componentes: Estrategico-financcero- seguimiento y evaluación) con  procesos de participación y sensibilización conducentes a  lograr el empoderamiento  de los entes territoriales municipales,  sociedad  civil y organizada en la ejecución del Plan, durante el periodo administrativo. </t>
  </si>
  <si>
    <t xml:space="preserve">Formular  e implementar  el Plan de Desarrollo Departamental  2016-2019 a través  de la  estructuración del componete estratégico, financiero, de seguimiento y evaluación,  con el fin de lograr la consrucción de  un instrumento de planificación  acorde al programa de gobierno  y las necesidades de la comunidad,  durante la vigencia 2016 </t>
  </si>
  <si>
    <t xml:space="preserve">Formular  e implementar  el Plan de Desarrollo Departamental  2016-2019 a través  de la  estructuración del componente estratégico </t>
  </si>
  <si>
    <t xml:space="preserve">Alvaro Arias Young Secretario de Planeación                                </t>
  </si>
  <si>
    <t xml:space="preserve">Formular  e implementar  el Plan de Desarrollo Departamental  2016-2019 a través  de la  estructuración del componete, financiero </t>
  </si>
  <si>
    <t>Formular  e implementar  el Plan de Desarrollo Departamental  2016-2019 a través  de la  estructuración del componente   de seguimiento y evaluación</t>
  </si>
  <si>
    <t>Coordinación, supervisión,  compilación y estructuración componente estratégico  financiero  y de seguimiento y evaluación  Plan de Desarrollo 2016-2019</t>
  </si>
  <si>
    <t>Seguimiento y evaluación Plan de Desarrollo 2016 - 2019</t>
  </si>
  <si>
    <t xml:space="preserve">Realizar la socialización del Plan de Desarrollo del Departamento del Quindio  2016- 2019, a través de  estrategias de divulgación ( Talleres de capacitación y  cartilla informativa), con el fin de lograr  el empoderamiento y  el control ciudadano en  el proceso de ejecución del  Plan  </t>
  </si>
  <si>
    <t>Socialización proyecto y odenanza  Plan de Desarrollo</t>
  </si>
  <si>
    <t>Diagramación e impresión cartilla Plan de Desarrollo 2016-2019</t>
  </si>
  <si>
    <t>Logistica</t>
  </si>
  <si>
    <t>Campañas de sensibilización Plan de Desarrollo 2016-2019</t>
  </si>
  <si>
    <t>Transporte y logistica jornadas de sensibilización grupos vulnerables</t>
  </si>
  <si>
    <t>Diseñar e implementar el Plan de Ordenamiento del Departamento del Quindio.</t>
  </si>
  <si>
    <t>0305 - 5 - 3 1 5 28 87 17 9 - 20</t>
  </si>
  <si>
    <t xml:space="preserve"> Diseño e implementación instrumentos de  planificación para el  ordenamiento  territorial, social y económico del  Departamento del Quindio</t>
  </si>
  <si>
    <t>Diseñar un sistema que garantice la calidad en la información de los esquemas y planes básicos para la toma de decisiones en el departamento del Quindío</t>
  </si>
  <si>
    <t xml:space="preserve">Diseñar e implementar el Plan de Ordenamiento del Departamento del Quindio(I- Fase)
</t>
  </si>
  <si>
    <t>Armonización de los Ordenamientos Territoriales de los doce  entes municipales</t>
  </si>
  <si>
    <t>Metodologias para expansión urbanistica y usos de suelo</t>
  </si>
  <si>
    <t>Metodologias  para el Seguimiento y Evaluación Planes de Ordenamiento Territorial</t>
  </si>
  <si>
    <t xml:space="preserve">Actualizar y fortalecer  las directrices   del Modelo de Ocupación del Territorio   en el Departamento del Quindío </t>
  </si>
  <si>
    <t xml:space="preserve">Actualizar y fortalecer  las directrices   del Modelo de Ocupación del Territorio   en el Departamento del Quindío
</t>
  </si>
  <si>
    <t>Actualización del estado del arte</t>
  </si>
  <si>
    <t>Consolidación de Determinantes</t>
  </si>
  <si>
    <t xml:space="preserve">Fortalecer el  Sistema de Información Geográfica del Departamento del Quindío  </t>
  </si>
  <si>
    <t xml:space="preserve">Fortalecer el  Sistema de Información Geográfica del Departamento del Quindío </t>
  </si>
  <si>
    <t>Actulización de licencias y software</t>
  </si>
  <si>
    <t>Mantenimientos y actualización de datos</t>
  </si>
  <si>
    <t>Georeferenciación de la datos</t>
  </si>
  <si>
    <t>Adoptar dos (2) mecanismo de integracion regional  y  de asociatividad  entre los municipios.</t>
  </si>
  <si>
    <t xml:space="preserve">Adoptar dos (2) mecanismos de integracion regional  y  de asociatividad  entre los municipios.
</t>
  </si>
  <si>
    <t>Identificación de problemáticas  e intereses comunes en los  entes territoriales municipales</t>
  </si>
  <si>
    <t xml:space="preserve">Formulación de propuestas </t>
  </si>
  <si>
    <t>Convocatorias para acuerdos de voluntadas municipales</t>
  </si>
  <si>
    <t xml:space="preserve">Reorientar el Observatorio económico a un enfoque humano con variables sociales, economicas y de seguridad humana en el Departamento del Quindío  </t>
  </si>
  <si>
    <t>0305 - 5 - 3 1 5 28 87 17 10 - 20</t>
  </si>
  <si>
    <t xml:space="preserve"> Diseño    e implementación del Observatorio  de Desarrollo Humano en el Departamento del Quindio </t>
  </si>
  <si>
    <t xml:space="preserve">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</si>
  <si>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2016  </t>
  </si>
  <si>
    <t xml:space="preserve">Procesamiento de información secundaria </t>
  </si>
  <si>
    <t>Ordinarios</t>
  </si>
  <si>
    <t>Diseñar técnica y financieramente el modelo metodológico, los instrumentos, los procedimientos y la tecnología, con el fin  evaluar el impacto longitudinal de la inversión social</t>
  </si>
  <si>
    <t>Diseño e implementación de impacto longitudinal</t>
  </si>
  <si>
    <t xml:space="preserve">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2016    </t>
  </si>
  <si>
    <t xml:space="preserve">Coordinación institucional de la información </t>
  </si>
  <si>
    <t>Diseñar e implementar el tablero de control  para el seguimiento y evaluación del Plan de Desarrollo  y   políticas públicas  Departamentales</t>
  </si>
  <si>
    <t>0305 - 5 - 3 1 5 28 87 17 11 - 20</t>
  </si>
  <si>
    <t>Diseño  e implementación del Tablero de Control  para el seguimiento y evalución del Plan de Desarrollo y las Políticas Públicas del  Departamento del Quindio</t>
  </si>
  <si>
    <t xml:space="preserve">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</si>
  <si>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 política pública de infancia y adolescencia por periodo administrativo 2016-2019, con el fin de fortalecer los procesos de planificación del departamento y mejorar los indices de eficacia y eficiencia de la inversión social   </t>
  </si>
  <si>
    <t>Identificación, caracterización, seguimiento, control y evaluación   de las metas estratégicas para el gobierno departamental  - Plan de  Desarrollo "En Defensa del Bien Común"   y políticas públicas por  periodo administrativo 2016-2019 jenny</t>
  </si>
  <si>
    <t>RECURSOS PROPIOS</t>
  </si>
  <si>
    <t>Alvaro Arias Young Secretario de Planeacion</t>
  </si>
  <si>
    <t>Realizar seguimiento, control y evaluación de las metas estratégicas Plan de Desarrollo Deptartamental y la política pública de infancia y adolescecia para el periodo 2016, con el fin de fortalecer los procesos de planificación del Departamento y mejorar los índices de eficacia y eficiencia de la inversión social.</t>
  </si>
  <si>
    <t>Seguimiento, control y evaluación de metas estratégicas periodo administrativo 2016</t>
  </si>
  <si>
    <t xml:space="preserve">Realizar propuesta  metodológica, tecnológica, presupuestal y financiera  para correcta operatividad del seguimiento, control y evaluación del Plan de Desarrollo " EN DEFENSA DEL BIEN COMUN "  Y LAS POLÍTICAS PUBLICAS 2016-2019,  con el fin de fortalecer los procesos de planificación del departamento y mejorar los indices de eficacia y eficiencia de la inversión social   </t>
  </si>
  <si>
    <t xml:space="preserve">Lineamientos metodológico, tecnológico , presupuestal y financiero  para  la implementación  del tablero de  control " plan de desarrollo y la política pública de infancia y adolescencia " en el departamento del Quindío </t>
  </si>
  <si>
    <t xml:space="preserve">Diseñar e implementar la  Fábrica de Proyectos de Inversión en el Departamento del Quindío </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</si>
  <si>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</si>
  <si>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</si>
  <si>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 xml:space="preserve">Fortalecer la gestión de recursos a través del SGR, departamentales, nacionales e internacional para el apoyo de alternativas regionales- Brindar apoyo técnico integral e interdisciplinario a las secretarias de la gobernación del Quindío y a los entes territoriales en la identificación y formulación  de proyectos en el marco de la Metodología General Ajustada, Marco Lógico y otras
</t>
  </si>
  <si>
    <t xml:space="preserve"> Portafolio de proyectos estrategicos implementado</t>
  </si>
  <si>
    <t>0305 - 5 - 1 20 101 133 65 - 20</t>
  </si>
  <si>
    <t>Apoyo Tecnico Secretarias sectoriales  en la  formulacion y esctructuracion de proyectos</t>
  </si>
  <si>
    <t>0305 - 5 - 1 20 101 133 65 - 88</t>
  </si>
  <si>
    <t>Apoyo Tecnico entes territoriales municipales  para la formulacion y esctructuracion de proyectos</t>
  </si>
  <si>
    <t>Alvaro Arias Young  Secretario de Planeación</t>
  </si>
  <si>
    <t>0305 - 5 - 3 1 5 28 87 13 12 - 88</t>
  </si>
  <si>
    <t xml:space="preserve">Difusión y asesoria de convocatorias o postulaciones para obtencion de recursos internacionales y nacionales a través de la Casa Delegada </t>
  </si>
  <si>
    <t xml:space="preserve"> Norma Consuelo Mantilla Quintero        Profesional Universitarios                 </t>
  </si>
  <si>
    <t>Diseñar ewstudios de preinversión para gestión de proyectos de cofinanciación del orden nacional e internacional</t>
  </si>
  <si>
    <t>Estudios de preinversión  para gestión de proyectos de cofinanciación del orden nacional e internacional</t>
  </si>
  <si>
    <t>Superavit Recurso Ordinario</t>
  </si>
  <si>
    <t>Fortalecer el monitoreo, control y seguimiento de los proyectos de inversión en tiempo real</t>
  </si>
  <si>
    <t xml:space="preserve">monitoreo, control y seguimientos a proyectos a tiempo real </t>
  </si>
  <si>
    <t xml:space="preserve">Actualizar el Sistema Integrado de Gestión Administrativa SIGA del departamento del Quindío </t>
  </si>
  <si>
    <t xml:space="preserve">0305 - 5 - 3 1 5 28 87 17 13 - 20  </t>
  </si>
  <si>
    <t xml:space="preserve">Actualizar y/o  ajustar el Sistema Integrado de Gestión Administrativa SIGA del Departamento del Quindío </t>
  </si>
  <si>
    <t>Actualización del Sistema Integado de la Gestión Administrativa SIGA I- fase (procesos estratégicos, misionales, de apoyo y evaluación y control) durante la vigencia 2016</t>
  </si>
  <si>
    <t>Actualizar  y ajustar los procesos Estrategicos, Misionales de Apoyo y evaluación y control  del Sistema Integrado de Gestión Administrativa del Departamento del Quindio, a través de procesos de asistencia tecnica a los responsables de los mismos, con el fin de aumentar los indices de eficiencia y eficacia administratva en el Departamento del Quindio  durante la vigencia 2016</t>
  </si>
  <si>
    <t>Asistencia técnica   ajuste y actualización procesos  sistema integrado de gestión administrativa</t>
  </si>
  <si>
    <t xml:space="preserve"> 0305 - 5 - 3 1 5 28 87 17 13 - 88</t>
  </si>
  <si>
    <t xml:space="preserve">Capacitar a los funcionarios de la Administración departamental  en la operatividad del Sistema Integrado de la Gestión Administrativa  del Departamento del Quindio, con el fin de aumentar los indices de eficiencia y eficacia administrativa  en el Departamento del Quindio durante la vigencia 2016 </t>
  </si>
  <si>
    <t>Capacitación funcionarios secretarias sectoriales  administración departamental  sistema integrado de gestión administrativa</t>
  </si>
  <si>
    <t xml:space="preserve">Implementar el Comité  de Planificación  Departamental   </t>
  </si>
  <si>
    <t>0305 - 5 - 3 1 5 28 87 17 14 - 88</t>
  </si>
  <si>
    <t>Asistencia  técnica, seguimiento y evaluación  de la gestión  territorial en los  munipicios del Departamento del  Quindío.</t>
  </si>
  <si>
    <t xml:space="preserve">Realizar procesos de capacitación, asistencia ténica, seguimiento y evalución de la gestión territorial , durante  la vigencia 2016 
</t>
  </si>
  <si>
    <t>Crear, reglamentar e implementar el Comité Departamental de Planificación , con el fin de articular  procesos  que coadyuven al desarrollo económico y social del departamento del Quindio de manera planificada durante la vigencia 2016</t>
  </si>
  <si>
    <t xml:space="preserve">Creación  y reglamentación  y operatividad Comité de Planificación Departamental </t>
  </si>
  <si>
    <t>S. RECURSOS PROPIOS</t>
  </si>
  <si>
    <t xml:space="preserve">NORVEY VALENCIA ROA    JEFE DESARROLLO TERRITORIAL                                                 </t>
  </si>
  <si>
    <t>Implementar en doce (12) municipios del Departamento procesos de capacitación,   asistencia técnica,  seguimiento  y evaluación   de los    Planes  (Básicos y/o esquemas) Ordenamiento   Territorial</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</si>
  <si>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2016</t>
  </si>
  <si>
    <t xml:space="preserve">Capacitación , Asistencia técnica, seguimiento y evaluación Planes Básicos de Ordenamiento Territorial  </t>
  </si>
  <si>
    <t xml:space="preserve">Implementar en doce (12) municipios del Departamento del Quindío  procesos de sensibilización, capacitación, asistencia técnica, seguimiento y evaluación del "Ranking integral de Desempeño"   </t>
  </si>
  <si>
    <t xml:space="preserve">Capacitación , Asistencia técnica, seguimiento y evaluación  Ranking Integral de Desempeño </t>
  </si>
  <si>
    <t xml:space="preserve">Implementar en doce (12) municipios del Departamento del Quindío  procesos de sensibilización, capacitación,  asistencia técnica, seguimiento  y evaluación  en la aplicabilidad de los instrumentos de planificación </t>
  </si>
  <si>
    <t>Capacitación , Asistencia técnica, seguimiento y evaluación  instrumentos de planificación</t>
  </si>
  <si>
    <t>MARTHA ELENA GIRALDO RAMIREZ   DIRECTORA TECNICA SECRETARIA DE PLANEACION</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</si>
  <si>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</si>
  <si>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Apoyo a la gestión  (Servicios Profesionales) Capacitación , Asistencia técnica, seguimiento y evaluación  Sistema de Selección de Benficiarios de Programas Sociales SISBEN </t>
  </si>
  <si>
    <t>Apoyo a la gestión  (Tecnico) en la relización de las  reuniones mensuales SISBEN    (5)  y procesos de   seguimiento y evaluación  Sistema de Selección de Beneficiarios de Programas Sociales SISBEN  (60) entes territoriales municipales del Departamento del Quindio</t>
  </si>
  <si>
    <t xml:space="preserve">Implementar en doce (12) municipios del Departamento del Quindío procesos de  sensibilización, capacitación, asistencia técnica, seguimiento  y evaluación  en la aplicabilidad   de las políticas públicas </t>
  </si>
  <si>
    <t xml:space="preserve">Capacitación, Asistencia técnica, seguimiento y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</si>
  <si>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</si>
  <si>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</si>
  <si>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</si>
  <si>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 evaluación Metodologia General Ajustada</t>
  </si>
  <si>
    <t>JUAN JOSE JARAMILLO PEREZ     JEFE DE PROYECTOS Y COOPERACION INTERNACIONAL</t>
  </si>
  <si>
    <t xml:space="preserve">Realizar procesos  de asistencia técnica, seguimiento y evaluacion  en la incorporación  de  las directrices del  Modelo de Ocupación del Territorio en los doce (12) Municipios </t>
  </si>
  <si>
    <t xml:space="preserve">Capacitación , Asistencia técnica, seguimiento y evaluación incorporación Modelo de Ocupación del Territorio en los doce municipios </t>
  </si>
  <si>
    <t xml:space="preserve">TOTAL: </t>
  </si>
  <si>
    <t xml:space="preserve">ALVARO ARIAS YOUNG </t>
  </si>
  <si>
    <t xml:space="preserve">SECRETARIO DE PLANEACION DEPARTAMENTAL </t>
  </si>
  <si>
    <t>CÓDIGO</t>
  </si>
  <si>
    <t xml:space="preserve">2. </t>
  </si>
  <si>
    <t xml:space="preserve">PROSPERIDAD CON EQUIDAD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</si>
  <si>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</si>
  <si>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</si>
  <si>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</si>
  <si>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</si>
  <si>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</si>
  <si>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t>
  </si>
  <si>
    <t xml:space="preserve"> 0308 - 5 - 1 17 87 101 69 - 23</t>
  </si>
  <si>
    <t>Aplicación del Plan Vial Departamental en el Departamento del Quindío.</t>
  </si>
  <si>
    <t>Realizar acciones encaminadas a mejorar la infraestructura  vial, que permita la prestación de servicios con calidad y oportunidad para afrontar la desaceleración económica y alcanzar el renacimiento económico del Departamento del Quindio</t>
  </si>
  <si>
    <t xml:space="preserve">Mantener en buen estado la infraestructura vial
</t>
  </si>
  <si>
    <t>Mantener, mejorar y/o rehabilitar ciento treinta (130) km de vías del Departamento para la implementación del Plan Vial Departamental.        Apoyar la atención de emergencias viales en los doce (12) Municipios del Departamento del Quindío.</t>
  </si>
  <si>
    <t>Sobretasa al ACPM</t>
  </si>
  <si>
    <t>MARY CIELO SOLER CHACON / JOSÉ ORLANDO GUTIERREZ / YESICA RIOS LÓPEZ</t>
  </si>
  <si>
    <t xml:space="preserve">ALVARO JOSE JIMENEZ TORRRES   SECRETARIO DE AGUAS E INFRAESTRUCTURA </t>
  </si>
  <si>
    <t>0308 - 5 - 3 1 2 4 14 9 19 - 23 / 0308 - 5 - 3 1 2 4 14 9 19 - 88  / 0308 - 5 - 3 1 2 4 14 9 19 - 89</t>
  </si>
  <si>
    <t xml:space="preserve">  Mantener, mejorar, rehabilitar y/o atender las vías y sus emergencias, en cumplimiento del Plan Vial del Departamento del Quindío.</t>
  </si>
  <si>
    <t>23 - 89</t>
  </si>
  <si>
    <t>Sobretasa al ACPM-y superavit sobre tasa acpm</t>
  </si>
  <si>
    <t>98821</t>
  </si>
  <si>
    <t>MARY CIELO SOLER CHACON / PAULO CESAR RODRIGUEZ / JOSE ORLANDO GUTIERREZ / YESICA RIOS</t>
  </si>
  <si>
    <t xml:space="preserve">ALVARO JOSE JIMENEZ TORRES SECRETARIO DE AGUAS E INFRAESTRUCTURA </t>
  </si>
  <si>
    <t>Apoyar la atención de emergencias viales en los doce (12) Municipios del Departamento del Quindío.</t>
  </si>
  <si>
    <t>Superavit recurso ordinario</t>
  </si>
  <si>
    <t>Realizar ocho (8) estudios y/o diseños para el mantenimiento, mejoramiento y/o rehabilitación de la infraestructura vial en el departamento para la implementación del Plan vial departamental</t>
  </si>
  <si>
    <t>Atender las emergencias viales</t>
  </si>
  <si>
    <t>Realizar tres (3) estudios y/o diseños para el mantenimiento, mejoramiento y/o rehabilitación de la infraestructura vial en el departamento para la implementación del Plan vial departamental</t>
  </si>
  <si>
    <t>20-23-89</t>
  </si>
  <si>
    <t>Ordinario- Sobretasa al ACPM- Superavit sobre tasa acpm</t>
  </si>
  <si>
    <t xml:space="preserve">15. </t>
  </si>
  <si>
    <t>MEJORA DE LA INFRAESTRUCTURA SOCIAL DEL DEPARTAMENTO DEL QUINDIO</t>
  </si>
  <si>
    <t>Mejora de la Infraestructura  Social del Departamento del Quindío</t>
  </si>
  <si>
    <t>Mantener, mejorar y/o rehabilitar la Infraestructura de cuarenta y ocho (48) instituciones educativas en el departamento del Quindío.</t>
  </si>
  <si>
    <t>0308 - 5 - 1 17 92 109 75 - 04  /  0308 - 5 - 1 17 92 109 75 - 55</t>
  </si>
  <si>
    <t xml:space="preserve"> Construcción y/o mejoramiento de la Infraestructura Educativa, de todo el Departamento del Quindío.</t>
  </si>
  <si>
    <t>Mantener en buen estado la infraestructura educativa del departamento</t>
  </si>
  <si>
    <t>Mantener asequible y en buen estado la infraestructura social del departamento</t>
  </si>
  <si>
    <t>Mantener, mejorar y/o rehabilitar la Infraestructura de doce (12) instituciones educativas en el departamento del Quindío.</t>
  </si>
  <si>
    <t>04-55</t>
  </si>
  <si>
    <t>Estampilla Prodesarrollo</t>
  </si>
  <si>
    <t>ESTAMPILLA PRODESARROLLO</t>
  </si>
  <si>
    <t>CARLOS HUGO LIZARAZO / PAULO CESAR RODRIGUEZ / YESICA RIOS</t>
  </si>
  <si>
    <t xml:space="preserve">ALVARO JOSE JIMENEZ TORRES   SECRETARIO DE AGUAS E INFRAESTRUCTURA </t>
  </si>
  <si>
    <t>0308 - 5 - 3 1 2 4 15 15 21 - 04  /  0308 - 5 - 3 1 2 4 15 15 21 - 20 / 0308-5-3124151521-56 / 0308-5-3124151521 - 82</t>
  </si>
  <si>
    <t>Construir, mantener, mejorar y/o rehabilitar la infraestructura social del Departamento del Quindio</t>
  </si>
  <si>
    <t xml:space="preserve">Realizar acciones encaminadas a mejorar la infraestructura  social, que permita la prestación de servicios con calidad y oportunidad para afrontar la desaceleración económica y alcanzar el renacimiento económico del Departamento del Quindio
</t>
  </si>
  <si>
    <t xml:space="preserve">Mantener asequible y en buen estado la infraestructura social del departamento
</t>
  </si>
  <si>
    <t>04</t>
  </si>
  <si>
    <t xml:space="preserve">ESTAMPILLA PRODESARROLLO </t>
  </si>
  <si>
    <t>CARLOS HUGO LIZARAZO / PAULO CESAR RODRIGUEZ / JUAN MANUEL VALENCIA / MARY CIELO SOLER CHACON</t>
  </si>
  <si>
    <t>Apoyar la construcción, mejoramiento y/o  rehabilitación de la infraestructura de doce (12) escenarios deportivos y/o recreativos en el departamento del Quindío</t>
  </si>
  <si>
    <t>Apoyar la construcción, mejoramiento y/o  rehabilitación de la infraestructura de cuatro (4) escenarios deportivos y/o recreativos en el departamento del Quindío</t>
  </si>
  <si>
    <t>ALVARO JOSE JIMENEZ TORRES / MARY CIELO SOLER CHACÓN / PAULO CESAR RODRIGUEZ OSPINA</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</si>
  <si>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</si>
  <si>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una (1) obras físicas de infraestructura de bienestar social, de seguridad y de justicia del Departamento del Quindío.</t>
  </si>
  <si>
    <t>20-82</t>
  </si>
  <si>
    <t xml:space="preserve">ALVARO JOSE JIMENEZ TORRES /JUAN MANUEL VALENCIA / YESICA RIOS LÓPEZ / </t>
  </si>
  <si>
    <t>Apoyar la construcción, el mantenimiento, el mejoramiento y/o la rehabilitación de dos (2) obras físicas de infraestructura  Institucional o de edificios públicos del Departamento del Quindío.</t>
  </si>
  <si>
    <t xml:space="preserve">1. </t>
  </si>
  <si>
    <t>DESARROLLO SOSTENIBLE</t>
  </si>
  <si>
    <t>1.</t>
  </si>
  <si>
    <t xml:space="preserve">QUINDIO TERRITORIO VITAL </t>
  </si>
  <si>
    <t xml:space="preserve">MANEJO INTEGRAL DEL AGUA Y SANEAMIENTO BÁSICO </t>
  </si>
  <si>
    <t>Formular y ejecutar veinte (20) proyectos de infraestructura de agua potable y saneamiento básico</t>
  </si>
  <si>
    <t xml:space="preserve">N° de proyectos formulados y/o ejecutados </t>
  </si>
  <si>
    <t>0308 - 5 - 3 1 1 1 2 3 22 - 90</t>
  </si>
  <si>
    <t xml:space="preserve"> Apoyo en atenciones prioritarias en Agua Potable y/o Saneamiento Básico en el Departamento del Quindio</t>
  </si>
  <si>
    <t xml:space="preserve">Generar intervenciones prioritarias para la adecuación y optimización de sistemas de APSB </t>
  </si>
  <si>
    <t xml:space="preserve">formulación y ejecución de proyectos para atención prioritaria en APSB </t>
  </si>
  <si>
    <t xml:space="preserve">SGP  Agua Potable </t>
  </si>
  <si>
    <t xml:space="preserve">Proyectos de Agua potable y saneameitno básico con apoyo financiero </t>
  </si>
  <si>
    <t>0308 - 5 - 3 1 1 1 2 3 23 - 27</t>
  </si>
  <si>
    <t xml:space="preserve">  Construción y mejoramiento de la infraestructura de agua potable y saneamiento básico del Departamento del Quindio.</t>
  </si>
  <si>
    <t xml:space="preserve">Infraestructura eficiente para la prestación de servicios de agua potable y saneamiento básico </t>
  </si>
  <si>
    <t xml:space="preserve">Proyectos de infraestructura de agua potable y saneamiento básico </t>
  </si>
  <si>
    <t xml:space="preserve">Proyectos AAA ejecutados </t>
  </si>
  <si>
    <t>Apoyar  veinte (20) proyectos de agua potable y saneamiento básico de acuerdo al plan de acompañamiento social</t>
  </si>
  <si>
    <t xml:space="preserve">N° de proyectos apoyados </t>
  </si>
  <si>
    <t>0308 - 5 - 3 1 1 1 2 3 24 - 27</t>
  </si>
  <si>
    <t xml:space="preserve">  Ejecución del plan de acompañamiento social a los proyectos y obras de infraestructura de agua potable y saneamiento básico en el Departamento del Quindio</t>
  </si>
  <si>
    <t xml:space="preserve">Ejecutar el Plan de Acompañamiento social para los proyectos de agua potable y saneamiento básico del departamento del Quindío </t>
  </si>
  <si>
    <t xml:space="preserve">Seguimiento a la socialización de proyectos de agua potable y saneamiento básico </t>
  </si>
  <si>
    <t xml:space="preserve">Campañas de socialización </t>
  </si>
  <si>
    <t>Actualizar e implementar el plan ambiental para el sector de agua potable y saneamiento básico</t>
  </si>
  <si>
    <t xml:space="preserve">Un plan Ambiental Implementado y en Ejecución </t>
  </si>
  <si>
    <t>0308 - 5 - 3 1 1 1 2 3 25 - 27</t>
  </si>
  <si>
    <t xml:space="preserve"> Actualización e implementación del  Plan Ambiental para el sector de agua potable y saneamiento básico en el Departamento del Quindio</t>
  </si>
  <si>
    <t xml:space="preserve">Ejecutar el Plan Ambiental para el sector agua potable y saneamiento básico deacuerdo al decreto 1077 de 2015 para la vigencia 2016 - 2019
</t>
  </si>
  <si>
    <t xml:space="preserve">Preveer las fuentes de financiación de ley asociadas a este componentes en los entes territoriales, la CRQ, las empresas prestadoras de servicios publicos, excenciones trubutarias entre otros - Concertar obras e inversiones entre el Departamento, el Gestor, la CRQ del con base en el diagnostico del sector, la priorización de proyectos y las inversiones disponibles. - Definir el cumplimiento de los minimos ambientales para los proyectos de AAA en el Plan Ambiental del sector de APSB </t>
  </si>
  <si>
    <t xml:space="preserve">Contar con un plan ambiental concertado y en funcionamiento </t>
  </si>
  <si>
    <t>Ejecutar tres (3) proyectos para el aseguramiento de la prestación de los servicios públicos de agua potable y saneamiento básico urbano y rural</t>
  </si>
  <si>
    <t xml:space="preserve">N° de proyectos ejecutados para el aseguramiento de la prestación de servicios </t>
  </si>
  <si>
    <t>0308 - 5 - 3 1 1 1 2 3 26 - 27</t>
  </si>
  <si>
    <t>26. Ejecución del plan de aseguramiento de la prestación de los servicios públicos de agua potable y saneamiento básico urbano y rural en el Departamento del Quindio</t>
  </si>
  <si>
    <t xml:space="preserve">Ejecución del Plan de Aeguramiento de la prestación de servicios públicos de agua potable y saneamiento básico urbano y rural en el departamento </t>
  </si>
  <si>
    <t xml:space="preserve">Promover esquemas emresariales sostenibles en el corto, mediano y largo plazo - Apoyar entidades prestadoras de servicios públicos domicialios - contratar el grupos gestor del PAP-PDA Quindío. </t>
  </si>
  <si>
    <t xml:space="preserve">Grupo gestor del PAP-PDA </t>
  </si>
  <si>
    <t xml:space="preserve">Promover esquemas empresariales sostenibles en el corto, mediano y largo plazo. </t>
  </si>
  <si>
    <t>Formular e implementar dos (2) proyectos para la gestión del riesgo del sector de agua potable y saneamiento básico. </t>
  </si>
  <si>
    <t xml:space="preserve">N° de proyectos ejecutados </t>
  </si>
  <si>
    <t>0308 - 5 - 3 1 1 1 2 3 27 - 27</t>
  </si>
  <si>
    <t xml:space="preserve"> Formulación y ejecución de proyectos para la gestión del riesgo del sector de agua potable y saneamiento básico en el Departamento del Quindio.</t>
  </si>
  <si>
    <t xml:space="preserve">Formular y ejecutar proyectos encaminados  a la gestión del riesgo del sector de agua potable y saneamiento básico en el departamento del Quindío </t>
  </si>
  <si>
    <t xml:space="preserve">Realizar un diagnostico de riesgo del secto de agua potable y saneamiento básico en el departamento del Quindío - Estructurar proyectos con su correspondiente priorización de recursos de la egstión del sector APSB </t>
  </si>
  <si>
    <t xml:space="preserve">Desarrollo de planes de inversión para el fortalecimiento de los procesos de gestión de riesgo en la prestación de sercivicios públicos de APSB </t>
  </si>
  <si>
    <t>ALVARO JOSE JIMENEZ TORRES</t>
  </si>
  <si>
    <t>Secretario de Aguas e Infraestructura</t>
  </si>
  <si>
    <t>ESTRATEGIA</t>
  </si>
  <si>
    <t>PROGRAMA</t>
  </si>
  <si>
    <t>SUBPROGRAMA</t>
  </si>
  <si>
    <t>VALOR PROYECTO</t>
  </si>
  <si>
    <t>INCLUSION SOCIAL</t>
  </si>
  <si>
    <t>3. INCLUSION SOCIAL</t>
  </si>
  <si>
    <t>Cobertura Educativa</t>
  </si>
  <si>
    <t xml:space="preserve"> Acceso y Permanencia</t>
  </si>
  <si>
    <t>Implementar un (1) plan, programa y/o proyecto para el acceso de niños, niñas y jóvenes en las instituciones educativas</t>
  </si>
  <si>
    <t>0314 - 5 - 3 1 3 5 16 1 84 - 134</t>
  </si>
  <si>
    <t xml:space="preserve">Fortalecimiento de las estrategias para el acceso,  permanencia y seguridad  de los niños, niñas y jóvenes en el  sistema  educativo del Departamento del Quindio. </t>
  </si>
  <si>
    <t xml:space="preserve">   Bajar  los indices de deserciòn escolar en el Departamento del Quindío</t>
  </si>
  <si>
    <t xml:space="preserve"> Implementar un programa de alimentacion escolar para las Instituciones educativas del departamento del Quindio, con el fin de  disminuir los indices de deserciòn escolar  durante la vigencia 2016</t>
  </si>
  <si>
    <t>Extracción material de rio minas y otros</t>
  </si>
  <si>
    <t>Transferencia de la Nación por alimentación PAE</t>
  </si>
  <si>
    <t>ANA LUISA RUIZ TEJADA</t>
  </si>
  <si>
    <t>ALVARO ARIAS VELASQUEZ - SECRETARIO DE EDUCACION DEPARTAMENTAL</t>
  </si>
  <si>
    <t>0314 - 5 - 3 1 3 5 16 1 84 - 20</t>
  </si>
  <si>
    <t>0314 - 5 - 3 1 3 5 16 1 84 - 35</t>
  </si>
  <si>
    <t>Recurso destinado del Monopolio</t>
  </si>
  <si>
    <t>0314 - 5 - 3 1 3 5 16 1 84 - 81</t>
  </si>
  <si>
    <t>Implementar el Programa de Alimentación Escolar (PAE) en el departamento del Quindío</t>
  </si>
  <si>
    <t>1404 - 5 - 3 1 3 5 16 1 84 - 25</t>
  </si>
  <si>
    <t>25-35-20</t>
  </si>
  <si>
    <t>Fondo de Educación SGP-Recurso destinado del Monopolio -FONDO DE EDUCACION,  PAE, CONVENIO MEN RECURSOS DE CAPITAL EDUCACION</t>
  </si>
  <si>
    <t>Implementar el programa de transporte escolar en el departamento del Quindío</t>
  </si>
  <si>
    <t>1404 - 5 - 3 1 3 5 16 1 84 - 81</t>
  </si>
  <si>
    <t>Garantizar el adecuado mantenimiento en las Instituciones  y Sedes Educativas</t>
  </si>
  <si>
    <t>0314 - 5 - 1 1 3 6 5 - 20</t>
  </si>
  <si>
    <t>Fortalecimiento de estrategias de permanencia en el sistema educativo formal mediante el mejoramiento de ambientes educativos escolares en el Departamento del Quindío</t>
  </si>
  <si>
    <t xml:space="preserve"> Bajar  los indices de deserciòn escolar en el Departamento del Quindío</t>
  </si>
  <si>
    <t>Recurso Ornario</t>
  </si>
  <si>
    <t>PILAR HOYOS</t>
  </si>
  <si>
    <t>1404 - 5 - 1 1 3 6 5 - 81</t>
  </si>
  <si>
    <t>Garantizar el transporte escolar a los niños, niñas, jóvenes y adolescentes de la zona rural de los 11 municipios no certificados del Departamento del Quindío para disminuir las distancias de desplazamiento y Garantizar el adecuado mantenimiento en las Instituciones  y Sedes Educativas</t>
  </si>
  <si>
    <t>Educación inclusiva con acceso y permanencia para poblaciones vulnerables - diferenciales</t>
  </si>
  <si>
    <t>Atender cuatro mil quinientos (4.500)  personas de la población adulta del departamento (jóvenes y adultos, madres cabeza de hogar)</t>
  </si>
  <si>
    <t>0314 - 5 - 3 1 3 5 17 1 86 - 20</t>
  </si>
  <si>
    <t>Implementación de estrategias de inclusión para garantizar la atención educativa a población vulnerable en el  Departamento del  Quindío.</t>
  </si>
  <si>
    <t>Incrementar la atención de la población vulnerable del departamento del Quindío</t>
  </si>
  <si>
    <t>Aumentar la cobertura en el sistema educativo de población adulta en  el departamento del Quindío</t>
  </si>
  <si>
    <t>Ordinario- SGP Educaion</t>
  </si>
  <si>
    <t>ANA LUISA TEJADA RUIZ</t>
  </si>
  <si>
    <t>ALVARO ARIAS VELASQUEZ  SECRETARIO DE EDUCACION DEPARTAMENTAL</t>
  </si>
  <si>
    <t>Diseñar e implementar una estrategia que permita disminuir la tasa de analfabetismo en los municipios del Departamento del Quindío</t>
  </si>
  <si>
    <t xml:space="preserve">Disminuir el índice de analfabetismo en el departamento del Quindío
</t>
  </si>
  <si>
    <t>Atender cuatrocientos noventa (490) personas de la población étnica (Afro descendientes e indígenas)  en el sistema educativo en los diferentes niveles.</t>
  </si>
  <si>
    <t>1404 - 5 - 3 1 3 5 17 1 86 - 25</t>
  </si>
  <si>
    <t>Aumentar población atendida en el sistema educativo de étnicas, afrodescendiente  e indígenas en el departamento del Quindío</t>
  </si>
  <si>
    <t xml:space="preserve">Atender dos mil quinientos setenta estudiantes (2570) en condición de población  victima del conflicto, residentes en el departamento del Quindío </t>
  </si>
  <si>
    <t>Aumentar atención en el sistema educativo a  la población víctima del conflicto identificada en el departamento del Quindío</t>
  </si>
  <si>
    <t>Atender  cuatrocientos cincuenta y cinco (455)  menores y/o adultos  que se encuentran en riesgo social    en conflicto con la ley penal,  iletrados, habitantes de frontera y/o menores  trabajadores.</t>
  </si>
  <si>
    <t>1404 - 5 - 1 1 3 7 6 - 25</t>
  </si>
  <si>
    <t>Bajar los índice de atención en el sistema educativo de menores y/o adultos con situaciones penales, iletrados, menores trabajadores y habitante de frontera, en el departamento del Quindío</t>
  </si>
  <si>
    <t>Diseñar e implementar un plan para la caracterización y atención de la población en condiciones especiales y excepcionales del departamento</t>
  </si>
  <si>
    <t>Elaborar plan de caracterización para la población con NEE y excepcionales, en el departamento del Quindío</t>
  </si>
  <si>
    <t xml:space="preserve">Fondo de Educación SGP </t>
  </si>
  <si>
    <t xml:space="preserve"> Funcionamiento y prestación del servicio educativo de las instituciones educativas</t>
  </si>
  <si>
    <t>Sostener dos mil doscientos treinta y dos (2.232) docentes, directivos docentes y administrativos viabilizados por el ministerio de educación nacional vinculados a la secretaria de educación departamental</t>
  </si>
  <si>
    <t>1404 - 5 - 3 1 3 5 18 1 87 - 25</t>
  </si>
  <si>
    <t>Aplicación funcionamiento y prestación del servicio educativo de las instituciones educativas</t>
  </si>
  <si>
    <t>Mejorar los niveles de eficiencia y eficacia en los procesos administrativos para la presentación de los informes y/o reportes que garanticen la viabilidad ante el ministerio de educación nacional de la planta docente, directivos docentes y administrativos de las instituciones educativas oficiales del departamento del Quindío</t>
  </si>
  <si>
    <t>Generar estrategias que garantice la sostenibilidad de la planta docente, directivos docentes y administrativos  viabilizados por el ministerio de educación nacional vinculados a la secretaría de educación departamental</t>
  </si>
  <si>
    <t>Gastos Perseonales, Generales y Transferencias, personal docentes y  directivos docentes</t>
  </si>
  <si>
    <t>SGP EDUCACIÓN</t>
  </si>
  <si>
    <t>ALVARO ARIAS VELASQUEZ   SECRETARIO DE EDUCACION DEPARTAMENTAL</t>
  </si>
  <si>
    <t>1404 - 5 - 3 1 3 5 18 1 88 - 25</t>
  </si>
  <si>
    <t>Aplicación de estrategias de acceso al sistema educativo en todos los niveles en el Departamento del Quindío</t>
  </si>
  <si>
    <t>Generar estrategias que garantice la sostenibilidad de la planta docente, directivos docentes y administrativos viabilizados por el ministerio de educación nacional vinculados a la secretaría de educación departamental</t>
  </si>
  <si>
    <t>1400 - 5 - 1 1 3 6 4</t>
  </si>
  <si>
    <t>1401 - 5 - 1 1 3 6 4</t>
  </si>
  <si>
    <t>1402 - 5 - 1 1 3 6 4</t>
  </si>
  <si>
    <t>1403 - 5 - 1 1 3 6 4</t>
  </si>
  <si>
    <t xml:space="preserve"> Calidad Educativa</t>
  </si>
  <si>
    <t xml:space="preserve"> Calidad Educativa para la Paz</t>
  </si>
  <si>
    <t xml:space="preserve">Mejorar el  índice sintético de calidad educativa (ISCE) en el nivel de básica primaria,  por encima del promedio nacional, en treinta  y seis  (36)  Instituciones Educativas oficiales </t>
  </si>
  <si>
    <t xml:space="preserve">
Implementación de  estrategias para el mejoramiento continuo del indice sintetico de calidad educativa en los niveles de básica primaria, básica secundaria y nivel de media en el Departamento del Quindio 
</t>
  </si>
  <si>
    <t xml:space="preserve">   Implementación de  estrategias para el mejoramiento del indice sintetico de calidad educativa en los niveles de básica primaria, básica secundaria y nivel de media en el Departamento del Quindio </t>
  </si>
  <si>
    <t>Capacitar a docentes en estrategias para el mejoramiento del Indice Sintético de Calidad Educativa en el Departamento del Quindío</t>
  </si>
  <si>
    <t>Capacitar a mil doscientos (1.200) docentes en estrategias para el mejoramiento del ISCE en el Departamento del Quindío</t>
  </si>
  <si>
    <t xml:space="preserve">Beneficiar a docentes de instituciones educativas del departamento del Quindío con becas de posgrado
</t>
  </si>
  <si>
    <t>Beneficiar a ochenta (80) docentes  con becas de posgrado</t>
  </si>
  <si>
    <t>0314 - 5 - 3 1 3 6 19 1 89 - 20</t>
  </si>
  <si>
    <r>
      <t xml:space="preserve"> Gestionar con el ministerio de educación nacional para la focalización  de nuevas instituciones educativas del departamento del quindío con </t>
    </r>
    <r>
      <rPr>
        <sz val="11"/>
        <color indexed="8"/>
        <rFont val="Arial"/>
        <family val="2"/>
      </rPr>
      <t>el programa todos a aprender</t>
    </r>
    <r>
      <rPr>
        <sz val="11"/>
        <color indexed="8"/>
        <rFont val="Arial"/>
        <family val="2"/>
      </rPr>
      <t xml:space="preserve">  </t>
    </r>
  </si>
  <si>
    <t xml:space="preserve">Apoyar quince (15) instituciones educativas participando en el programa todo a aprender </t>
  </si>
  <si>
    <t>0314 - 5 - 3 1 3 6 19 1 89 - 35</t>
  </si>
  <si>
    <r>
      <t xml:space="preserve"> Brindar acompañamiento a docentes de </t>
    </r>
    <r>
      <rPr>
        <sz val="11"/>
        <color indexed="8"/>
        <rFont val="Arial"/>
        <family val="2"/>
      </rPr>
      <t xml:space="preserve">instituciones educativas del departamento del quindío con tutores del programa todos a  aprender  </t>
    </r>
    <r>
      <rPr>
        <sz val="11"/>
        <color indexed="8"/>
        <rFont val="Arial"/>
        <family val="2"/>
      </rPr>
      <t xml:space="preserve"> </t>
    </r>
  </si>
  <si>
    <t>Brindar acompañamiento a doscientos treinta (230) docentes con  tutores PTA</t>
  </si>
  <si>
    <t>1404 - 5 - 3 1 3 6 19 1 89 - 80</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</si>
  <si>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</si>
  <si>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</si>
  <si>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</si>
  <si>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</si>
  <si>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</si>
  <si>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0314 - 5 - 3 1 3 6 20 1 90 - 20
0314-5-313620190-35</t>
  </si>
  <si>
    <t>90. 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</si>
  <si>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</si>
  <si>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r>
      <t xml:space="preserve"> Fortalecer los c</t>
    </r>
    <r>
      <rPr>
        <sz val="11"/>
        <color indexed="8"/>
        <rFont val="Arial"/>
        <family val="2"/>
      </rPr>
      <t>omités de convivencia escolar en las 54 IE</t>
    </r>
  </si>
  <si>
    <t>Diseñar y ejecutar treinta (30)  proyectos educativos institucionales resignificados en el contexto de la paz y la jornada única</t>
  </si>
  <si>
    <t xml:space="preserve"> Resignificar los proyectos educativos institucionales en el contexto de la paz y la jornada única</t>
  </si>
  <si>
    <t xml:space="preserve">Diseñar e implementar la estrategia "escuela de padres" en treinta (30) instituciones educativas  </t>
  </si>
  <si>
    <t>Diseñar e implementar la estrategia Escuela de Padres</t>
  </si>
  <si>
    <t>Conformar y dotar   grupos culturales y artísticos en treinta (30)  instituciones educativas con  protagonismo en cada uno de los municipios</t>
  </si>
  <si>
    <t>Conformar y dotar grupos culturales artísticos en instituciones educativas</t>
  </si>
  <si>
    <t>35-20</t>
  </si>
  <si>
    <t>Recurso destinado del Monopolio-Ordinario</t>
  </si>
  <si>
    <t>Implementar el proyecto PRAE en treinta y seis (36)  instituciones educativas del departamento</t>
  </si>
  <si>
    <t>Implementar el proyecto PRAE en instituciones educativas del departamento</t>
  </si>
  <si>
    <t>Realizar eventos académicos, investigativos y culturales, liderados por la Secretaría de Educación Departamental para el fortalecimiento de la calidad educativa, la convivencia, la paz, la formación ciudadana y pensamiento ambiental</t>
  </si>
  <si>
    <t>Implementar el programa de jornada única</t>
  </si>
  <si>
    <t xml:space="preserve">Implementar el  programa de  jornada única con el acceso y permanencia de veinte mil (20.000) estudiantes </t>
  </si>
  <si>
    <t xml:space="preserve">Mantener, adecuar y/o construir la infraestructura ciento treinta (130) sedes de las instituciones educativas  </t>
  </si>
  <si>
    <t>Mantener, adecuar y/o construir sedes de las instituciones educativas</t>
  </si>
  <si>
    <t xml:space="preserve">Dotar cincuenta y cuatro (54) instituciones educativas con material didáctico, mobiliario escolar y/o infraestructura tecnológica  </t>
  </si>
  <si>
    <t>Dotar Instituciones Educativas de material didáctico, mobiliario escolar y/o infraestructura tecnológica.</t>
  </si>
  <si>
    <t>Implementar la jornada complementaria y/o unica que articule arte,deporte y cultura, en seis (6) municipios declarados en el sistema de alertas tempranas de la defensoría del pueblo</t>
  </si>
  <si>
    <t>Implementar jornada complementaria y/o única que articule arte, cultura y deporte.</t>
  </si>
  <si>
    <t>Plan Departamental del Lectura y Escritura</t>
  </si>
  <si>
    <t xml:space="preserve">Implementar el programa "pásate a la biblioteca"  en treinta y seis (36)  instituciones educativas </t>
  </si>
  <si>
    <t>Implementación de  estrategias educativas en  lectura y escritura en las instituciones educativas en el Departamento del Quindío.</t>
  </si>
  <si>
    <r>
      <t xml:space="preserve">   Implementación de  estrategias para  el </t>
    </r>
    <r>
      <rPr>
        <sz val="11"/>
        <color indexed="8"/>
        <rFont val="Arial"/>
        <family val="2"/>
      </rPr>
      <t>desarrollo de competencias  y habilidades en lectura y escritura</t>
    </r>
    <r>
      <rPr>
        <sz val="11"/>
        <color indexed="8"/>
        <rFont val="Arial"/>
        <family val="2"/>
      </rPr>
      <t xml:space="preserve"> </t>
    </r>
    <r>
      <rPr>
        <sz val="11"/>
        <color indexed="8"/>
        <rFont val="Arial"/>
        <family val="2"/>
      </rPr>
      <t>de los docentes y estudiantes de las insituciones educativas del  Departamento del Quindio</t>
    </r>
  </si>
  <si>
    <r>
      <t xml:space="preserve"> </t>
    </r>
    <r>
      <rPr>
        <sz val="11"/>
        <color indexed="8"/>
        <rFont val="Arial"/>
        <family val="2"/>
      </rPr>
      <t xml:space="preserve">Implementar el programa "pásate a la biblioteca"  en   instituciones educativas del Departamento del Quindío </t>
    </r>
  </si>
  <si>
    <t xml:space="preserve">Dotar ciento cuarenta (140) sedes educativas con la colección semilla </t>
  </si>
  <si>
    <t>0314 - 5 - 3 1 3 6 21 1 91 - 20</t>
  </si>
  <si>
    <t xml:space="preserve"> Dotar sedes educativas del Departamento del Quindío con la colección semilla</t>
  </si>
  <si>
    <t>Apoyar los  procesos de capacitación  de quinientos (500) docentes del departamento</t>
  </si>
  <si>
    <t>1404 - 5 - 3 1 3 6 21 1 91 - 25</t>
  </si>
  <si>
    <t>Apoyar los  procesos de capacitación  de docentes de instituciones educativas del departamento del quindío en estrategias de lectura y escritura</t>
  </si>
  <si>
    <t xml:space="preserve">Realizar seis (6)  festivales o encuentros de literatura y escritura el departamento </t>
  </si>
  <si>
    <t xml:space="preserve"> Realizar festivales o encuentros de literatura y escritura dirigidos a estudiantes y docentes de instituciones educativas del  departamento del Quindío</t>
  </si>
  <si>
    <t>1404 - 5 - 1 1 2 4 2 - 25</t>
  </si>
  <si>
    <t>Desarrollo de estrategias de evaluación de actores educativos e instituciones educativas en el Departamento del Quindío.</t>
  </si>
  <si>
    <t>Fondo SGP Educacion</t>
  </si>
  <si>
    <t>Arles Lopez Espinosa</t>
  </si>
  <si>
    <t xml:space="preserve"> Funcionamiento de las Instituciones Educativas</t>
  </si>
  <si>
    <t xml:space="preserve">Contar con cincuenta y dos (52) instituciones educativas con  mayor eficiencia en la gestión de sus procesos y proyectos  ante la entidad  territorial y la Secretaria de Educación Departamental.
</t>
  </si>
  <si>
    <t>1404 - 5 - 3 1 3 6 22 1 93 - 25</t>
  </si>
  <si>
    <t>Mejoramiento de estrategias que permitan una mayor eficiencia en la gestion de procesos y proyectos de las instituciones educativas del Departamento del Quindio.</t>
  </si>
  <si>
    <t>Asistir técnicamente a las instituciones educativas del departamento para mejorar los procesos administrativos para el manejo de los fondos educativos</t>
  </si>
  <si>
    <t>Debida ejecución de los recursos de los fondos educativos</t>
  </si>
  <si>
    <t xml:space="preserve"> Pertinencia e Innovación</t>
  </si>
  <si>
    <t>Quindío Bilingüe</t>
  </si>
  <si>
    <t>Apoyar cincuenta y cinco (55) docentes licenciados en lenguas modernas formados en ingles con  dominio B2</t>
  </si>
  <si>
    <t>1404 - 5 - 3 1 3 7 23 1 94 - 25</t>
  </si>
  <si>
    <t>Implementación de estrategias para el mejoramiento de las competencias en lengua extranjera en estudiantes y docentes de las instituciones educativas del Departamento del Quindío</t>
  </si>
  <si>
    <t>Aumentar el nivel de competencia en inglés de docentes y estudiantes del Quindío</t>
  </si>
  <si>
    <r>
      <t xml:space="preserve"> Aumentar la</t>
    </r>
    <r>
      <rPr>
        <sz val="11"/>
        <color indexed="8"/>
        <rFont val="Arial"/>
        <family val="2"/>
      </rPr>
      <t xml:space="preserve"> cualificación de los docentes de inglés en aspectos linguísticos y metodológicos.</t>
    </r>
  </si>
  <si>
    <t>Cualificar la formación de ciento cincuenta (150) docentes de preescolar y básica primaria en inglés con dominio A2 y B1 y metodología para la enseñanza</t>
  </si>
  <si>
    <t xml:space="preserve"> Capacitar docentes de  preescolar y básica primaria con dominio A2 y B1 en inglés.</t>
  </si>
  <si>
    <t>Iniciar el proceso de bilinguismo  en niños  entre pre-escolar - quinto grado de primaria de colegios públicos en seis (6) municipios</t>
  </si>
  <si>
    <t xml:space="preserve">Iniciar proceso de bilinguismo en estudiantes de preescolar a grado 5 </t>
  </si>
  <si>
    <t>Dotar cincuenta y cuatro (54) instituciones educativas con herramientas audiovisuales para la enseñanza del ingles</t>
  </si>
  <si>
    <t>Dotar insitituciones educativas con herramientas audiovisuales</t>
  </si>
  <si>
    <t>Realizar siete (7)  concursos  para evaluar las competencias comunicativas en ingles de los estudiantes</t>
  </si>
  <si>
    <t xml:space="preserve">Realizar actividades de evaluación de competencias comunicativas en inglés a estudiantes </t>
  </si>
  <si>
    <t>Fortalecimiento de la Media Técnica</t>
  </si>
  <si>
    <t>Desarrollar doce (12) talleres para docentes en el uso de las TICs</t>
  </si>
  <si>
    <t xml:space="preserve"> Fortalecimiento de los niveles de educación  básica y media para la articulación con la educación terciaria en el Departamento del Quindio </t>
  </si>
  <si>
    <t>Mejorar los porcentajes de estudiantes con posibilidad de ingreso a la educación superior y técnica en el departamento del Quindío.</t>
  </si>
  <si>
    <t>Brindar a la población egresada de las instituciones educativas oficiales del departamento, mayores y mejores oportunidades para el ingreso a la educación terciaria</t>
  </si>
  <si>
    <t>Fortalecer cincuenta (50)   instituciones educativas en competencias básicas</t>
  </si>
  <si>
    <t>Fortalecer cuarenta y siete (47) instituciones educativas con el programa de articulación con la educación superior y ETDH</t>
  </si>
  <si>
    <t>0314 - 5 - 3 1 3 7 24 1 95 - 20</t>
  </si>
  <si>
    <t xml:space="preserve">Implementar un Programa de Alimentación Escolar Universitario PAEU para estudiantes universitarios </t>
  </si>
  <si>
    <t>1404 - 5 - 3 1 3 7 24 1 95 - 25</t>
  </si>
  <si>
    <t>Implementar el programa de acceso y permanencia de la educación técnica, tecnologica y superior en el departamento del Quindío</t>
  </si>
  <si>
    <t>Eficiencia educativa</t>
  </si>
  <si>
    <t xml:space="preserve"> Eficiencia y modernización administrativa</t>
  </si>
  <si>
    <t>Fortalecer, hacer seguimiento y auditar cuatro (4)  procesos certificados con que cuenta la Secretaria de Educación Departamental</t>
  </si>
  <si>
    <t>0314 - 5 - 3 1 3 8 25 1 96 - 20</t>
  </si>
  <si>
    <t xml:space="preserve">Fortalecimiento de los niveles de eficiencia administrativa en la Secretaría de Educación Departamental del Quindío </t>
  </si>
  <si>
    <t>Mejorar los niveles de eficiencia administrativa en la secretaría de educación departamental del Quindío</t>
  </si>
  <si>
    <t>Implementación de estrategias que garantice la eficiencia administrativa en la secretaría de educación departamental del Quindío</t>
  </si>
  <si>
    <t>ordinario</t>
  </si>
  <si>
    <t>Crear e implementar  en cincuenta y dos (52) instituciones educativas procesos presupuestales y financieros integrados</t>
  </si>
  <si>
    <t>Implementar en 52 instituciones educativas oficiales del departamento procesos presupuestales y financieros integrados</t>
  </si>
  <si>
    <t xml:space="preserve"> Otros proyectos de conectividad</t>
  </si>
  <si>
    <t>Implementar y/o mejorar el sistema de conectividad en 200 sedes educativas oficiales en el departamento.</t>
  </si>
  <si>
    <t>0314 - 5 - 3 1 3 8 26 1 97 - 35</t>
  </si>
  <si>
    <t xml:space="preserve">Fortalecimiento de las herramientas tecnológicas en las Instituciones Educativas del Departamento del Quindío </t>
  </si>
  <si>
    <t>Ampliar la cobertura del servicio de conectividad en las sedes educativas oficiales del departamento del Quindío</t>
  </si>
  <si>
    <t>Optimizar los procesos administrativos y los recursos económicos con destinación al servicio de conectividad de las sedes educativas del departamento.</t>
  </si>
  <si>
    <t>Recurso Destinado del Monopolio</t>
  </si>
  <si>
    <t>1404 - 5 - 3 1 3 8 26 1 97 - 09</t>
  </si>
  <si>
    <t>1404 - 5 - 3 1 3 8 26 1 97 - 25</t>
  </si>
  <si>
    <t>1404-5-5 11 98 - 25</t>
  </si>
  <si>
    <t>Fortalecimiento de la innovación, formación y conectividad en las instituciones educativas en el Departamento del Quindío.</t>
  </si>
  <si>
    <t>Fondo SGP</t>
  </si>
  <si>
    <t>MARIA EUGENIA RIVERA</t>
  </si>
  <si>
    <t xml:space="preserve"> Funcionamiento y prestación de servicios del sector educativo del nivel central</t>
  </si>
  <si>
    <t>Realizar el pago oportuno al 100% de los funcionarios de la planta de  administrativos, docentes y directivos docentes del sector central</t>
  </si>
  <si>
    <t>1404 - 5 - 3 1 3 8 27 1 98 - 25</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</si>
  <si>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</si>
  <si>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</si>
  <si>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</si>
  <si>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1404 - 5 - 3 1 3 8 27 1 99 - 25</t>
  </si>
  <si>
    <t>Generar estrategias que garantice la eficiencia en las actividades administrativas que garanticen de manera oportuna el pago de salarios,  prestaciones sociales, seguridad social y transferencias de nómina y gastos generales</t>
  </si>
  <si>
    <t xml:space="preserve"> Eficiencia administrativa y docente en la  gestión del bienestar laboral</t>
  </si>
  <si>
    <t>Realizar el reconocimiento a sesenta (60) docentes, directivos docentes y/o personal administrativo</t>
  </si>
  <si>
    <t>0314 - 5 - 3 1 3 8 28 1 100 - 20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</si>
  <si>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</si>
  <si>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t>
  </si>
  <si>
    <t>Fomentar en los docentes, directivos docentes y administrativos de la secretaría de educación departamental del Quindío sentido de pertenencia, mediante el reconocimiento de sus logros</t>
  </si>
  <si>
    <t>Realizar (ocho) 8 eventos y actividades culturales y recreativas, desarrolladas para los funcionarios del servicio educativo del departamento del Quindío</t>
  </si>
  <si>
    <t>1404 - 5 - 3 1 3 8 28 1 100 - 25</t>
  </si>
  <si>
    <t>Atención Integral a la Primera Infancia</t>
  </si>
  <si>
    <t xml:space="preserve"> Educación Inicial Integral </t>
  </si>
  <si>
    <t>Implementar  un (1)  programa de educación integral  a la primera infancia</t>
  </si>
  <si>
    <t>0314 - 5 - 3 1 3 16 57 1 101 - 20</t>
  </si>
  <si>
    <t xml:space="preserve">101. Implementación del modelo de atención integral de la educación inicial en el Departamento del  Quindio. </t>
  </si>
  <si>
    <t>Aumentar la tasa de cobertura  de  niños y niñas en edad de transición en las instituciones  educativas del  departamento</t>
  </si>
  <si>
    <t>Elaborar un progrma de educación integral a la primera infancia</t>
  </si>
  <si>
    <t>ALVARO ARIAS VELASQUEZ</t>
  </si>
  <si>
    <t>SECRETARIO DE EDUCACION DEPARTAMENTAL</t>
  </si>
  <si>
    <t xml:space="preserve">3. </t>
  </si>
  <si>
    <t xml:space="preserve">INCLUSIÓN SOCIAL </t>
  </si>
  <si>
    <t xml:space="preserve">  </t>
  </si>
  <si>
    <t>9.</t>
  </si>
  <si>
    <t>CULTURA, ARTE Y EDUCACION PARA LA PAZ</t>
  </si>
  <si>
    <t>29.</t>
  </si>
  <si>
    <t xml:space="preserve">ARTE PARA TODOS </t>
  </si>
  <si>
    <t>Apoyar  treinta (30) proyectos y/o actividades de formación, difusión, circulación, creación e investigación, planeación y de espacios para el disfrute de las artes</t>
  </si>
  <si>
    <t>Nro de proyectos aprobados</t>
  </si>
  <si>
    <t>0310 - 5 - 1 3 39 26 12 - 20</t>
  </si>
  <si>
    <t xml:space="preserve">  Fortalecimiento institucional para el sector cultural en todo el Departamento del Quindío.</t>
  </si>
  <si>
    <t xml:space="preserve">Ampliar el acceso a las manifestaciones, bienes y servicios culturales para facilitar el disfrute de la población del departamento especialmente de los niños, niñas y jóvenes más vulnerables 
</t>
  </si>
  <si>
    <t>Capacitar actores culturales</t>
  </si>
  <si>
    <t>Capacitacion de actores culturales ( 20 EVENTOS)</t>
  </si>
  <si>
    <t>RECURSO ORDINARIO (20)</t>
  </si>
  <si>
    <t xml:space="preserve">DIRECTOR DE ARTE Y CULTURA </t>
  </si>
  <si>
    <t xml:space="preserve"> JAMES GONZALEZ MATA SECRETARIO DE CULTURA</t>
  </si>
  <si>
    <t>Fortalecer los espacios de participación ciudadana en el sector Cultural</t>
  </si>
  <si>
    <t>Fortalecimiento de los espacios de participacion (1 EVENTO)</t>
  </si>
  <si>
    <t>Incrementar los espacios para el disfrute de las artes</t>
  </si>
  <si>
    <t>Espacios para la promocion, difusion y circulacion artistica (Crear 33 espacios)</t>
  </si>
  <si>
    <t>0310 - 5 - 3 1 3 9 29 5 44 - 135/ 0310-5-13-40-30-16-34/ 0310 - 5 - 1 3 40 30 16 - 20</t>
  </si>
  <si>
    <t xml:space="preserve"> Fortalecimiento del Plan Departamental de Lectura y bibliotecas en todo el Departamento del Quindio</t>
  </si>
  <si>
    <t>Mejorar los niveles de lectura, escritura creativa y conocimiento de la memoria local de la poblacion del departamento del Quindío</t>
  </si>
  <si>
    <t>Formar actores de lectura y escritura en el departamento del Quindio</t>
  </si>
  <si>
    <t>Formacion de promotores de lectura y escritura (30 eventos de formacion)</t>
  </si>
  <si>
    <t>34 -135</t>
  </si>
  <si>
    <t>ESTAMPILLA PROCULTURA</t>
  </si>
  <si>
    <t>Estampilla Pro -cultura 10% Bibliotecas</t>
  </si>
  <si>
    <t>0310 - 5 - 3 1 3 9 29 5 45 - 33 / 0310-5-31-3-9-29-5-45-83 / 0310-5-313-9-29-5-45-135</t>
  </si>
  <si>
    <t xml:space="preserve"> Apoyo a seguridad social del creador y gestor cultural del Departamento del Quindio </t>
  </si>
  <si>
    <t>Garantizar la seguridad social integral a gestores culturales y artistas.</t>
  </si>
  <si>
    <t>Garantizar que artistas y gestores culturales de la tercera edad con bajos ingresos reciban atencion adecuada</t>
  </si>
  <si>
    <t>Reconocimiento de la calidad de artista y gestor cultural por el Consejo departamental de Cultura</t>
  </si>
  <si>
    <t>ESTAMPILLA PRO CULTURA 10% SEGURIDAD SOCIAL</t>
  </si>
  <si>
    <t>Aportes para la seguridad social de los artistas reconocidos por el Consejo Departamental de Cultura ( Cantidad poblacion ref)</t>
  </si>
  <si>
    <t>Nro de proyectos aprobados del programa de concertación cultural</t>
  </si>
  <si>
    <t>0310 - 5 - 3 1 3 9 29 5 46 - 20  /0310-5-31-39- 29-5-46-88/ 0310-5-1-3-40-28-20-88</t>
  </si>
  <si>
    <t xml:space="preserve"> Apoyo al arte y la cultura en todo el Departamento del Quindío</t>
  </si>
  <si>
    <t>Fortalecer los procesos de formacion, difusion, circulacion creacion e investigacion, para mejorar la calidad y el acceso a las artes y la cultura de la poblacion mas vulnerable del Quindío</t>
  </si>
  <si>
    <t>Aumentar los procesos de planeación, formación y articulación institucional cultural y artistica</t>
  </si>
  <si>
    <t>Apoyo a eventos y actividades (3)</t>
  </si>
  <si>
    <t xml:space="preserve">SECRETARIO DE CULTURA </t>
  </si>
  <si>
    <t xml:space="preserve">DIRECTOR DE CULTURA ARTE Y PATRIMONIO </t>
  </si>
  <si>
    <t xml:space="preserve">JEFE DE PATRIMONIO </t>
  </si>
  <si>
    <t>Apoyar  ciento veinte (120) proyectos del programa de concertación cultural del departamento</t>
  </si>
  <si>
    <t xml:space="preserve"> 0310 - 5 - 3 1 3 9 29 5 46 - 39 , 0310 - 5 - 3 1 3 9 29 5 46 - 83/ 0310-5-1-3-40-28-20-39</t>
  </si>
  <si>
    <t>Fortalecer la concertacion de proyectos artisticos y culturales</t>
  </si>
  <si>
    <t>Proyectos de Concertacion (3)</t>
  </si>
  <si>
    <t>ESTAMPILLA PRO CULTURA 50% CONCERTACION</t>
  </si>
  <si>
    <t>Estampilla Pro-Cultura</t>
  </si>
  <si>
    <t>SECRETARIO DE CULTURA</t>
  </si>
  <si>
    <t>ASESORA DE DESPACHO GRADO 02</t>
  </si>
  <si>
    <t xml:space="preserve">PROFESIONAL UNIVERSITARIO </t>
  </si>
  <si>
    <t>DIRECTOR ADMISNISTRATIVO Y FINANCIERO</t>
  </si>
  <si>
    <t>Apoyar treinta y seis (36) proyectos mediante estímulos artísticos y culturales</t>
  </si>
  <si>
    <t xml:space="preserve"> 0310 - 5 - 3 1 3 9 29 5 46 - 41 , 0310 - 5 - 3 1 3 9 29 5 46135</t>
  </si>
  <si>
    <t>Incrementar los estimulos para los artistas, investigadores y creadores</t>
  </si>
  <si>
    <t>Estimulos a las artes y la cultura ( 4 )</t>
  </si>
  <si>
    <t>ESTAMPILLA PRO CULTURA 10% ESTIMULOS</t>
  </si>
  <si>
    <t>JAMES GONZALEZ MATA  SECRETARIO DE CULTURA</t>
  </si>
  <si>
    <t>EMPRENDIMIENTO CULTURAL</t>
  </si>
  <si>
    <t>Fortalecer cinco (5) procesos de emprendimiento cultural y de desarrollo de industrias creativas</t>
  </si>
  <si>
    <t>Nro de procesos de emprendimiento cultural fortalecidos</t>
  </si>
  <si>
    <t>0310 - 5 - 3 1 3 9 30 5 47 - 39 /0310-5-31-3-9-30-5-47-40 / 0310 -5-3-1-3-9-30-5-47-135</t>
  </si>
  <si>
    <t xml:space="preserve">47. Fortalecimiento y promoción del  emprendimiento cultural y las industrias creativas en el Departamento </t>
  </si>
  <si>
    <t>Lograr mayor formalización del sector artístico y cultural</t>
  </si>
  <si>
    <t>Formalizacion del sector (2)</t>
  </si>
  <si>
    <t>ESTAMPILLA PRO CULTURA 50%CONCERTACION</t>
  </si>
  <si>
    <t>ASESORA DEL DESPACHO GRADO 2</t>
  </si>
  <si>
    <t>Formular una politica para el emprendimiento cultural</t>
  </si>
  <si>
    <t>Capacitacion para el emprendimiento cultural (2 )</t>
  </si>
  <si>
    <t>Desarrollar procesos de formacion sobre el emprendimiento cultural</t>
  </si>
  <si>
    <t>Formulacion de la politica para el emprendimiento cultural (4)</t>
  </si>
  <si>
    <t>LECTURA, ESCRITURA Y BIBLIOTECAS</t>
  </si>
  <si>
    <t>Apoyar  veinte (20) proyectos y/o actividades en investigación, capacitación y difusión de la lectura y escritura para fortalecer la Red Departamental de Bibliotecas</t>
  </si>
  <si>
    <t>Nro de proyectos y/o actividades apoyadas</t>
  </si>
  <si>
    <t>0310 - 5 - 3 1 3 9 31 5 48 - 34/ 0310 - 5 - 3 1 3 9 31 5 48-83/ 0310 - 5 - 1 3 40 30 16 - 20/0310 - 5 - 1 3 40 30 16 - 34</t>
  </si>
  <si>
    <t xml:space="preserve"> Fortalecimiento al  Plan Departamental  de lectura, escritura y bibliotecas en el Departamento del Quindio .</t>
  </si>
  <si>
    <t>Ampliar el acceso de la población a la información, el conocimiento y la memoria local a través del fortalecimiento de la Red de Bibliotecas Públicas</t>
  </si>
  <si>
    <t>Fortalecimiento de la red departametal de bibliotecas</t>
  </si>
  <si>
    <t>ESTAMPILLA PRO CULTURA</t>
  </si>
  <si>
    <t>Estampillas Pro - Cultuta Bibliotecas</t>
  </si>
  <si>
    <t>DIRECTOR DE CULTURA ARTE Y PATRIMONIO</t>
  </si>
  <si>
    <t xml:space="preserve"> JAMES GONZALEZ MATA SECRETARIO DE CULTUR</t>
  </si>
  <si>
    <t>Incrementar la formacion de promotores de lectura y escritura del departamento</t>
  </si>
  <si>
    <t>Formacion de promotores de lectura y escritura</t>
  </si>
  <si>
    <t>Fortalecer la promocion, difusion y circulacion de la lectura y escritura</t>
  </si>
  <si>
    <t xml:space="preserve">Promocion, difusion y circulacion </t>
  </si>
  <si>
    <t>PATRIMONIO, PAISAJE CULTURAL CAFETERO Y DIVERSIDAD CULTURAL</t>
  </si>
  <si>
    <t>VIVIENDO EL PAISAJE CULTURAL CAFETERO</t>
  </si>
  <si>
    <t xml:space="preserve">Apoyar treinta y dos (32) proyectos y/o actividades en gestión, investigación,  protección, divulgación y salvaguardia del patrimonio y diversidad cultural </t>
  </si>
  <si>
    <t>Nro de proyectos apoyados</t>
  </si>
  <si>
    <t>0310 - 5 - 3 1 3 10 32 5 49 - 109</t>
  </si>
  <si>
    <t xml:space="preserve"> Apoyo al reconocimiento, apropiación, salvaguardia y difusión del patrimonio cultural en todo el Departamento del Quindío.</t>
  </si>
  <si>
    <t>Valorar, apropiar y salvaguardar el Patrimonio cultural de los Quindianos, mediante el estimulo a la transmision de saberes y conocimientos a las nuevas generaciones como factor dinamizador del desarrollo del Quindío</t>
  </si>
  <si>
    <t>Implementar programas y proyectos para conservación, protección, salvaguardia, y difusión del Patrimonio Cultural</t>
  </si>
  <si>
    <t>Apoyo a actividades y proyectos del Patrimonio Cultural</t>
  </si>
  <si>
    <t>REINTEGRO  IVA TELEFONIA MOVIL CULTURA</t>
  </si>
  <si>
    <t>JAMES GONZALEZ MATA SECRETARIO DE CULTURA</t>
  </si>
  <si>
    <t xml:space="preserve"> 0310 - 5 - 1 3 42 35 13 - 20 / 0310-5-31310-32-5-49-20</t>
  </si>
  <si>
    <t xml:space="preserve">  0310 - 5 - 3 1 3 10 32 5 49 - 93 </t>
  </si>
  <si>
    <t>Aumento del número de proyectos  para conservar los atributos excepcionales del PCC y mayor liderazgo del sector cultural</t>
  </si>
  <si>
    <t>Apoyo a proyectos para el PCC</t>
  </si>
  <si>
    <t>SUPERAVIT IVA TELEFONIA MOVIL CULTURA</t>
  </si>
  <si>
    <t xml:space="preserve">  0310 - 5 - 3 1 3 10 32 5 49 - 47  </t>
  </si>
  <si>
    <t>Formación de actores, gestores,  funcionarios y NNJA de instituciones educativas en los temas del patrimonio cultural</t>
  </si>
  <si>
    <t>Formacion en patrimonio cultural</t>
  </si>
  <si>
    <t xml:space="preserve"> IVA TELEFONIA MOVIL CULTURA</t>
  </si>
  <si>
    <t>Generar espacios para el diálogo intercultural</t>
  </si>
  <si>
    <t>Diversidad poblacional y cultural</t>
  </si>
  <si>
    <t>COMUNICACIÓN, CIUDADANIA Y SISTEMA DEPARTAMENTAL DE CULTURA</t>
  </si>
  <si>
    <t xml:space="preserve">Apoyar diez (10) proyectos y/o actividades orientados a fortalecer la articulación comunicación y cultura </t>
  </si>
  <si>
    <t>0310 - 5 - 3 1 3 10 33 5 50 - 20</t>
  </si>
  <si>
    <t xml:space="preserve">  Fortalecimiento de la comunicación, la ciudadanía  y el sistema departamental de cultura  en el Quindio.</t>
  </si>
  <si>
    <t>Incrementar las iniciativas que integren comunicación y cultura, que contribuyan al fortalecimiento del Sistema Departamental de Cultura.</t>
  </si>
  <si>
    <t>Fortalecimiento del Sistema Departamental de Cultura</t>
  </si>
  <si>
    <t>Comunicación y cultura</t>
  </si>
  <si>
    <t xml:space="preserve">ordinario </t>
  </si>
  <si>
    <t>PROFESIONAL UNIVERSITARIO</t>
  </si>
  <si>
    <t>Apoyar  dieciséis (16) actividades y/o proyectos  para el afianzamiento del Sistema Departamental de Cultura</t>
  </si>
  <si>
    <t>Nro. De actividades y/o proyectos de afianzamiento apoyados</t>
  </si>
  <si>
    <t>Fortalecimiento de los  medios ciudadanos, comunitarios y de interés público</t>
  </si>
  <si>
    <t>Sistema departamental de cultura</t>
  </si>
  <si>
    <t xml:space="preserve">DIRECTOR ADMINISTRATIVO Y FINANCIERO </t>
  </si>
  <si>
    <t>JAMES GONZALEZ MATA</t>
  </si>
  <si>
    <t xml:space="preserve"> SECRETARIO DE CULTURA</t>
  </si>
  <si>
    <t>Juan Antonio Alvarez Osorio</t>
  </si>
  <si>
    <t>SEGURIDAD HUMANA</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</si>
  <si>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</si>
  <si>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</si>
  <si>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</si>
  <si>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Fortalecimiento de la seguridad vial  en el Departamento del Quindío</t>
  </si>
  <si>
    <t>Disminuir  el número de lesiones fatales y graves por accidentes de tránsito, en la población, a través de planes y programas institucionales para mejorar las condiciones de vida de la población de los municipios de la jurisdicción del instituto</t>
  </si>
  <si>
    <t>1. Disminuir  los riesgos de accidentes en las vias mediante la formulacion e implementacion de planes y programas de seguridad vial para el mejorameiento de las condiciones de vida de la poblacion en  la jurisdiccion del I.D.T.Q.    2. Generear oportunidadesinstitucionales a través de procesos de gestion orientados a insentivar programas de movilidad sostenible en la jurisdiccion del I.D.T.Q</t>
  </si>
  <si>
    <t>Realizar inventario, diagnostico situacional y diseño del programa de señalización vial</t>
  </si>
  <si>
    <t>13437</t>
  </si>
  <si>
    <t>19816</t>
  </si>
  <si>
    <t>5665</t>
  </si>
  <si>
    <t>17786</t>
  </si>
  <si>
    <t>46467</t>
  </si>
  <si>
    <t>15954</t>
  </si>
  <si>
    <t>FERNANDO BAENA VILLAREAL  - INSTITUTO DEPARTAMENTAL DE TRANSITO DEL QUINDIO</t>
  </si>
  <si>
    <t>Implementar el programa orientado a disminución de la accidentalidad en las vias</t>
  </si>
  <si>
    <t xml:space="preserve">Formular e implementar el Plan de Seguridad Vial del Departamento </t>
  </si>
  <si>
    <t>Formulación del Plan de Seguridad Vial</t>
  </si>
  <si>
    <t xml:space="preserve">Apoyar la implementación del programa: Ciclorutas en el departamento del Quindío </t>
  </si>
  <si>
    <t>Campañas de difusión y sensibilización a la población del Programa Nacional de ciclorutas</t>
  </si>
  <si>
    <t>FERNANDO BAENA VILLARREAL-DIRECTOR</t>
  </si>
  <si>
    <t>Convenio Consorcio FIA y convenio de uso de recursos entre el MVCT y el Departamento</t>
  </si>
  <si>
    <t xml:space="preserve">COMPRAVENTA 010 DE 2016, PRESTACION DE SERVICIOS No. 1213 DE 2016, CONTRATO DE PRESTACION DE SERVICIOS No. 1022 DE 2016 </t>
  </si>
  <si>
    <t>N/A</t>
  </si>
  <si>
    <t>SEGUIMIENTO  PLAN DE ACCIÓN</t>
  </si>
  <si>
    <t xml:space="preserve">Seguridad humana como dinamizador de la vida, la dignidad y libertad Quindío </t>
  </si>
  <si>
    <t>Seguridad ciudadana para prevención y control del delito</t>
  </si>
  <si>
    <t>Apoyar la implementación de seis (6) programas de resocialización  en establecimientos carcelarios  del Departamento (sustento legal 1709 de 2014)</t>
  </si>
  <si>
    <t>Numero</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</si>
  <si>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</si>
  <si>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</si>
  <si>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</si>
  <si>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como fortalecimiento institucional para la resocialización.</t>
  </si>
  <si>
    <t>42/92</t>
  </si>
  <si>
    <t>Héctor Alberto Marín Rios/ Sandra Patricia Gaviria</t>
  </si>
  <si>
    <t>Fortalecimiento de movilidad para los organismos de seguridad en el departamento</t>
  </si>
  <si>
    <t>Fortalecer 10 programas de prevención y superación del Sistema de responsabilidad penal para adolescentes</t>
  </si>
  <si>
    <t>Apoyo como fortalecimiento institucional para prevención y superación del Sistema de responsabilidad penal para adolescentes</t>
  </si>
  <si>
    <t>Apoyar la construcción, refacción o adecuación de  seis (6) estaciones de policía y/o guarniciones militares y/o instituciones carcelarias</t>
  </si>
  <si>
    <t>Insumos para mantenimientos locativos en establecimientos penitenciarios</t>
  </si>
  <si>
    <t>0309 - 5 - 3 1 4 23 75 18 28 - 20</t>
  </si>
  <si>
    <t>Mejoramiento de respuesta con adecuación y obras para los organismos de seguridad el depto</t>
  </si>
  <si>
    <t>Dotar cinco (5) organismos de seguridad de del departamento con elementos tecnológicos y logísticos que faciliten su operatividad y capacidad de respuesta</t>
  </si>
  <si>
    <t>0309 - 5 - 3 1 4 23 75 18 28 - 42</t>
  </si>
  <si>
    <t xml:space="preserve">Análisis de propuestas, como insusmos para procesos precontractulaes y contractuales, de acuerdo al plan de acción del comité de orden público </t>
  </si>
  <si>
    <t>Fondo de Seguridad 5%</t>
  </si>
  <si>
    <t>0309 - 5 - 3 1 4 23 75 18 28 - 92</t>
  </si>
  <si>
    <t>Análisis de propuestas, como insusmos para procesos precontractulaes y proyección de actos adtivos</t>
  </si>
  <si>
    <t>Superavid Fondo de Seguridad</t>
  </si>
  <si>
    <t>Análisis de propuestas, y estudios de mercado de propuestas, y proyectos presentados  ante el comité de orden público</t>
  </si>
  <si>
    <t xml:space="preserve">Fortalecimeinto institucional para la adecuada prestación del servicio a la comunidad </t>
  </si>
  <si>
    <t xml:space="preserve">Adecuación tecnologica de centros de inteligencia, CCTV en los municipios y plataforma satelital para los  organismos de seguridad del departamento </t>
  </si>
  <si>
    <t>Apoyar 3 observatorios locales del delito</t>
  </si>
  <si>
    <t>Diagnostico y levantamiento de información de los observatorios del departamento.</t>
  </si>
  <si>
    <t>Mejoramiento de respuesta con adecuación y obras para los organismos de seguridad del depto</t>
  </si>
  <si>
    <t>Convivencia,justicia y cultura de paz</t>
  </si>
  <si>
    <t>Apoyar la implementación de treinta y seis (36) programas de prevención del delito y mediación de conflictos en comunidades focalizadas del departamento</t>
  </si>
  <si>
    <t>0309 - 5 - 3 1 4 23 76 18 29 - 20</t>
  </si>
  <si>
    <t>Apoyo a la convivencia, justicia y cultura de paz en el departamento del Quindío</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</si>
  <si>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</si>
  <si>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</si>
  <si>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Levantamiento de información de aspectos social focalizado en comunidades vulnerables (diagnóstico)</t>
  </si>
  <si>
    <t>SANDRA GAVIRIA VILLAMIZAR</t>
  </si>
  <si>
    <t>Atencion integral de Barrios con situacion critica de convivencia en los 12 Municipios  del Departamento</t>
  </si>
  <si>
    <t xml:space="preserve">Atención social en localidades con situación critica de convivencia 
</t>
  </si>
  <si>
    <t>Actualizar el código departamental de Policía</t>
  </si>
  <si>
    <t xml:space="preserve">Logística y medios para socialización de programas y normativas en aspectos de seguridad y convivencia
</t>
  </si>
  <si>
    <t>Actualizar e implementar el Plan Integral de Seguridad y Convivencia Ciudadana (PISCC)</t>
  </si>
  <si>
    <t>15/0816</t>
  </si>
  <si>
    <t>Construcción de paz y reconcialización  en el Quindío</t>
  </si>
  <si>
    <t>Plan de Acción Territorial para las Víctimas del Conflicto</t>
  </si>
  <si>
    <t xml:space="preserve">Apoyar la articulación para la atención integral de las víctimas del conflicto por enfoque diferencial en  los 12 municipios del departamento
</t>
  </si>
  <si>
    <t>Implementación del Plan de Acción Territorial para la prevención, protección, asistencia, atención, reparación integral en el Departamento del Quindio.</t>
  </si>
  <si>
    <t xml:space="preserve">Incremento del porcentaje de cumplimiento de ley  1448 de 2011 atención a víctimas, que garntice  el goce efectivo de derchos
</t>
  </si>
  <si>
    <t xml:space="preserve">1.Entidades territoriales con asignación presupuestal por necesidad identificada 
2.Procesos de paz en ejecución  para el fin del conflicto 
3.Articulación institucional.
</t>
  </si>
  <si>
    <t xml:space="preserve">Procesos de articulación asistencia y atención a los municipios y su población víctima
</t>
  </si>
  <si>
    <t>20/88</t>
  </si>
  <si>
    <t>DIEGO FERNANDO ESCANDON MONTAÑO / MARÍA ALEJANDRA JARAMILLO</t>
  </si>
  <si>
    <t xml:space="preserve">Articulación de prevención y protección  dirigida a los municipios y su población víctima
</t>
  </si>
  <si>
    <t xml:space="preserve">Articulación para la  reparación integral dirigida a los municipios y su población víctima
</t>
  </si>
  <si>
    <t xml:space="preserve">Gestión para la participación </t>
  </si>
  <si>
    <t xml:space="preserve">Apoyo en proyectos productivos  para la población víctima ubicada en el departamento. 
</t>
  </si>
  <si>
    <t xml:space="preserve">0309 - 5 - 3 1 4 24 78 14 30 - 20  /  </t>
  </si>
  <si>
    <t xml:space="preserve">Publicidad y promoción foro departamental de interes cultural
</t>
  </si>
  <si>
    <t>0309 - 5 - 3 1 4 24 78 14 30 - 88</t>
  </si>
  <si>
    <t xml:space="preserve">Adecuación predio reubicación definitiva, cumplimiento fallo de tutela
</t>
  </si>
  <si>
    <t>20/19/2016</t>
  </si>
  <si>
    <t>Apoyar  la atención humanitaria inmediata a la población víctima del conflicto en los 12 municipios</t>
  </si>
  <si>
    <t xml:space="preserve">Atención inmediata de emergencia (suministro de ayudas) para la población que declara su hecho victimizante en el depto
</t>
  </si>
  <si>
    <t xml:space="preserve">Fortalecer el Comité departamental de justicia transicional y la mesa de participación efectiva de las víctimas del conflicto </t>
  </si>
  <si>
    <t>Desarrolo institucional a las sesiones de comites y sub-comites población víctima</t>
  </si>
  <si>
    <t xml:space="preserve">Apoyar la construcción y la actualización de los Planes de Acción Territorial de victimas PAT municipales y  el PAT departamental </t>
  </si>
  <si>
    <t xml:space="preserve">Procesos de apoyo para la implementación de la ley de víctimas (1448 de 2011) y sus decretos reglamentarios </t>
  </si>
  <si>
    <t xml:space="preserve">
Diseñar e implementar el sistema de información para la prevención, atención, asistencia y reparación integral a las víctimas del conflicto armado interno </t>
  </si>
  <si>
    <t xml:space="preserve">Adquisición de software y/o tecnología, para la implementación del sistema de información
</t>
  </si>
  <si>
    <t xml:space="preserve">Levantamiento información,organización y articulación de la misma.
</t>
  </si>
  <si>
    <t>Número</t>
  </si>
  <si>
    <t>0309 - 5 - 1 8 63 57 25 - 20</t>
  </si>
  <si>
    <t>Inversiones de desarrollo del PARIV y atención a víctimas del conflicto armado todo el departamento del Quindío</t>
  </si>
  <si>
    <t>Garantizar la cobertura en los municipios del departamento con programas de protección y garantía de derechos a la población víctima del conflicto armado y en condición de desplazamiento. </t>
  </si>
  <si>
    <t>1.Apropiación y gestión de recursos de entidades públicas para ayudas humanitarias destinadas a la población víctima
2. Estrategias de socializaciòn  y organizaciòn  de la poblaciòn victima  de aceurdo a  ley  1548 de 2011</t>
  </si>
  <si>
    <t>Enlace para levantamiento de información para el PAT departamental  (Componente técnico)</t>
  </si>
  <si>
    <t>Transporte víctimas 
(Adquisición de bienes y servicios)</t>
  </si>
  <si>
    <t>Convenio ESAP Asistencia soccial)</t>
  </si>
  <si>
    <t>Hogarde paso  (Adquisición de bienes y servicios)</t>
  </si>
  <si>
    <t xml:space="preserve">Suminsitro ayuda humanitaria (Adquisición de bienes y servicios) </t>
  </si>
  <si>
    <t>El Quindío departamento resiliente</t>
  </si>
  <si>
    <t>Protección  y garantias de no repetición</t>
  </si>
  <si>
    <t>Implementar el plan integral de prevención a las violaciones de  Derechos Humanos DDHH e infracciones  al Derecho Internacional Humanitario DIH</t>
  </si>
  <si>
    <t>0309 - 5 - 3 1 4 24 79 14 32 - 20</t>
  </si>
  <si>
    <t>Implementación del plan integral de prevención de vulneraciones de DDHH y DIH del departamento del Quindío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</si>
  <si>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</si>
  <si>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</si>
  <si>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Implementación plan integral de prevención de vulneración de DDHH  (un documento)</t>
  </si>
  <si>
    <t xml:space="preserve">Apoyar en los doce (12) municipios la articulación institucional para la prevención a las violaciones DDHH  e infracciones al DIH </t>
  </si>
  <si>
    <t>Diseño e imprenta material para prevención de delitos y vulneración de DDHH y DIH</t>
  </si>
  <si>
    <t>Actualizar e Implementar el plan lucha contra la trata de personas</t>
  </si>
  <si>
    <t>Apoyo en servicios enfocados  a las medidas de reubicación inmediata</t>
  </si>
  <si>
    <t>Actualizacón e implementación del  plan integral de prevención en  lucha contrata la trata de personas  (un documento)</t>
  </si>
  <si>
    <t>0309 - 5 - 1 8 63 56 29 - 20</t>
  </si>
  <si>
    <t>Inversiones prevención y protección a víctimas todo el departamento del Quindío.</t>
  </si>
  <si>
    <t>1. Políticas de atención para personas y familias receptoras en el departamento del Quindío
2.Implementaciòn  de Planes  en  Prevenciòn (No repeticiòn) ,protecciòn , asistencia  y atenciòn  a victtimas  del conflicto</t>
  </si>
  <si>
    <t>Participación comité, y activación de protocolo en caso necesario (componente técnico)</t>
  </si>
  <si>
    <t>2206/2016</t>
  </si>
  <si>
    <t xml:space="preserve">Transporte reubicación inemdiata </t>
  </si>
  <si>
    <t xml:space="preserve">Socialización y participación en la divulgación de los DDHH y DIH (Desarrollo institucional) </t>
  </si>
  <si>
    <t>Preparados para la paz</t>
  </si>
  <si>
    <t>Implementar plan de acción de Derechos Humanos articulado interinstitucionalmente, de  protección de los Derechos Humanos DDHH y la Paz en los doce (12) municipios del departamento</t>
  </si>
  <si>
    <t>0309 - 5 - 3 1 4 24 80 14 34 - 20</t>
  </si>
  <si>
    <t>Construcción de la paz territorial en el departamento del Quindío</t>
  </si>
  <si>
    <t xml:space="preserve">Promoción de sociedades pacíficas e inclusivas para el desarrollo sostenible,facilitar el acceso a la justicia para todos y crear instituciones eficaces, responsables e inclusivas a toodos los niveles (ODS 16). 
</t>
  </si>
  <si>
    <t xml:space="preserve">1.Factores generadores  de expresión de valores,actidudes,tradiciones y patrones de comporatmiento de respeto a la vida,los DDHH y la libertad de expresón 
2.Creación de una cultura en DDHH e igualdad y no discriminación 
</t>
  </si>
  <si>
    <t>Formulación e implemtación del plan de DDHH (un documento)</t>
  </si>
  <si>
    <t xml:space="preserve">Apoyar y articular en los doce (12) municipios  del departamento las actuaciones institucionales en procura de la garantía de la construcción de paz </t>
  </si>
  <si>
    <t xml:space="preserve">Estrategía de paz como dinamizador del respeto y no vulneración de los DDHH </t>
  </si>
  <si>
    <t>Semana por la paz y el foro de DDHH</t>
  </si>
  <si>
    <t>0309 - 5 - 1 8 63 58 24 - 20</t>
  </si>
  <si>
    <t>Inversiones desarrollo del plan departamental de prevención y protección DDHH y DIH en el departamento del Quindío</t>
  </si>
  <si>
    <t>Apoyar la formulación y actualización de los planes municipales de acción de DDHH y DIH.</t>
  </si>
  <si>
    <t xml:space="preserve">1. Alta cobertura en la difusiòn de la informaciòn
2.Aumento de los medios masivos que se vinculen a estos procesos.
3.  Incremento en el interès de la poblaciòn Y organsimos en el tema de derechos humanos y derecho internacional humanitario 
</t>
  </si>
  <si>
    <t>Participación en el levantamiento de indormación para el plan de acción  de DDHH  (componente técnico )</t>
  </si>
  <si>
    <t>Recursp Ordinario</t>
  </si>
  <si>
    <t>Apoyo en las actuciones institucionales  referentes al post-conflicto</t>
  </si>
  <si>
    <t>Quindío protegiendo el futuro</t>
  </si>
  <si>
    <t xml:space="preserve">Realizar catorce (14) estudios de riesgo y análisis de vulnerabilidad en  los municipios del departamento </t>
  </si>
  <si>
    <t>0309 - 5 - 3 1 4 25 81 12 36 - 20</t>
  </si>
  <si>
    <t>Administración del riesgo mediante el conocimiento, la reducción y el manejo del desastres  en el departamento del Quindío</t>
  </si>
  <si>
    <t xml:space="preserve">Lograr que las ciudadaes y los asentamientos humanos sean inclusivos,resilientes y sostenibles (ODS-objetivo 11)
</t>
  </si>
  <si>
    <t xml:space="preserve">1.Conocimiento de los riesgos en el departamento.
2.Diseñar modelos de reducción del riesgo en el departamento.
3.Fortalecer las instituciones  para el adecuado manejo de los desastres.  
</t>
  </si>
  <si>
    <t xml:space="preserve">Levantamiento de información cartográfica 
</t>
  </si>
  <si>
    <t>12/0816</t>
  </si>
  <si>
    <t xml:space="preserve">Suministro logístico y transporte para levenatamiento de información
</t>
  </si>
  <si>
    <t xml:space="preserve">Apoyo institucional para realización de estudis de Vulnerabilidad  
</t>
  </si>
  <si>
    <t xml:space="preserve">Apoyar a ciento cincuenta (150) instituciones educativas del departamento en la formulación de Planes Escolares de Gestión del Riesgo (PGERD) </t>
  </si>
  <si>
    <t xml:space="preserve">Realización de campañas educativas en instituciones.
</t>
  </si>
  <si>
    <t>Capacitación y difusión conocimiento del riesgo</t>
  </si>
  <si>
    <t xml:space="preserve">Suministro logístico para realización de campañas educativas  .
</t>
  </si>
  <si>
    <t xml:space="preserve">Apoyo institucional para realización de campañas educativas.   
</t>
  </si>
  <si>
    <t xml:space="preserve">Adquisición de material didáctico,elemetos de protección y amplificación. 
</t>
  </si>
  <si>
    <t>Apoyar a los doce (12) municipios del departamento en procesos de educación a las comunidades frente a la prevención y preparación para las emergencias por fenómenos de origen natural y/o antrópico no intencional</t>
  </si>
  <si>
    <t xml:space="preserve">Apoyo de recursos humano interdisciplinario para implementación de protocolos de emergencia.
</t>
  </si>
  <si>
    <t>Procesos de manejo de desastres</t>
  </si>
  <si>
    <t xml:space="preserve">Realizar 10 intervenciones en  áreas vulnerables del departamento </t>
  </si>
  <si>
    <t xml:space="preserve">Intervenciones, obras de ingeniería y/o análisis vulnerabilidad.
</t>
  </si>
  <si>
    <t xml:space="preserve">Fortalecer el comité departamental de gestión del riesgo de desastres </t>
  </si>
  <si>
    <t>Comité departamental de gestión del riesgo de desastres fortalecido</t>
  </si>
  <si>
    <t xml:space="preserve">Adquisición de equipos de comunicación y repetidoras.
</t>
  </si>
  <si>
    <t xml:space="preserve">Mantenimiento de las redes de comunicación. 
</t>
  </si>
  <si>
    <t>0309 - 5 - 1 18 97 125 22 - 20</t>
  </si>
  <si>
    <t>Inversiones conocimiento, reducción del riesgo y manejo de desastres en el departamento del Quindío.</t>
  </si>
  <si>
    <t>Aumentar el porcentaje de  cobertura cartográfica y estadística de riesgos del departamento por amenazas naturales; infraestructuras vulnerables y  asentamientos precarios.</t>
  </si>
  <si>
    <t>1. Asistencia en visitas técnicas para el levantamiento de información del asentamiento 
2.Adecuadas prácticas en construcción</t>
  </si>
  <si>
    <t xml:space="preserve">Realización de programas y talleres de prevención (componete técnico) </t>
  </si>
  <si>
    <t>FABER MOSQUERA ALVAREZ</t>
  </si>
  <si>
    <t xml:space="preserve">Ejecucón de Programas de conocimiento dirigido  ainstituciones (componen técnico) </t>
  </si>
  <si>
    <t>Apoyo profesional  en presentaciones y divulgaciones  de la prevención y el conocimiento del riesgo</t>
  </si>
  <si>
    <t xml:space="preserve">Ralización de Campañas lúdico educativas </t>
  </si>
  <si>
    <t>Suministro ayuda humanitaria alimentos (Adquisición de bienes y servicios )</t>
  </si>
  <si>
    <t>Seguimiento a los comites,levantamiento de actas y proyección de actos administrativos (componente técnico)</t>
  </si>
  <si>
    <t>Arrendamiento cerro azul para las comunicaciones (Campañas,publicidad y promociòn)</t>
  </si>
  <si>
    <t>Suminitro ayuda humanitaria tejas (Adquisición de bienes y servicios )</t>
  </si>
  <si>
    <t>Fortalecimiento institucional para la gestión del riesgo de desastres como una estrategía de desarrollo</t>
  </si>
  <si>
    <t>Poner en funcionamiento operativo la sala de crisis del Departamento</t>
  </si>
  <si>
    <t>0309 - 5 - 3 1 4 25 82 12 38 - 20</t>
  </si>
  <si>
    <t>Apoyo institucional en la gestión del riesgo en el departamento del Quindío</t>
  </si>
  <si>
    <t xml:space="preserve">1.Cumplimiento de los protocolos para la preparación y manejo de la emergencia.
2.Destinación de recursos en el ambito local para la atención de las emergencias.
</t>
  </si>
  <si>
    <t>Manejo de dinformación estadística relacionada con gestión del riesgo</t>
  </si>
  <si>
    <t xml:space="preserve">Adquisición de equipos de comunicación para la gestión del riesgo
</t>
  </si>
  <si>
    <t xml:space="preserve">Mantenimiento de equipos sala de crisis 
</t>
  </si>
  <si>
    <t>Fortalecer  la dotación de la bodega estratégica de la Unidad Departamental de la Gestión del Riesgo de Desastres UDEGER</t>
  </si>
  <si>
    <t>Suministro de ayudas humanitarias a los doce municipios (en los cuales la comunidad se vea afectada por fenómenos naturales y/o antropicos no intencionales)</t>
  </si>
  <si>
    <t>Qundío Transparente y Legal</t>
  </si>
  <si>
    <t>Veedurias  y rendición de cuentas</t>
  </si>
  <si>
    <t>Implementar un (1) programa de fortalecimiento de las veedurías ciudadanas del departamento</t>
  </si>
  <si>
    <t>Programa de fortalecimiento implementado</t>
  </si>
  <si>
    <t>0309 - 5 - 3 1 5 26 84 16 42 - 20</t>
  </si>
  <si>
    <t>Fortalecimiento de las veedurías ciudadanas en el departamento del Quindío</t>
  </si>
  <si>
    <t xml:space="preserve">Consolidar mecanismos  de integración  regional y municipal 
</t>
  </si>
  <si>
    <t xml:space="preserve">1. Conocimiento de la legislación que permite el ejercicio  del control social 
2. Difusión masiva sobre  el ejercicio del control social 
</t>
  </si>
  <si>
    <t xml:space="preserve">Fortalecimiento red institucional  de apoyo a las veedurias.
</t>
  </si>
  <si>
    <t>SANDRA PATRICIA GAVIRIA</t>
  </si>
  <si>
    <t xml:space="preserve">Apoyo a eventos y promoción del control social 
</t>
  </si>
  <si>
    <t xml:space="preserve">Comunicación social pertiente  para la promoción social.
</t>
  </si>
  <si>
    <t>Desarrollar estrategias tendientes a promover la participación ciudadana en el departamento</t>
  </si>
  <si>
    <t>0309 - 5 - 3 1 5 27 85 16 39 - 20</t>
  </si>
  <si>
    <t>Construcción de la participación ciudadana y control social en el departamento del Quindío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</si>
  <si>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</si>
  <si>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2.Convicción de la comunidad  en los programas encaminados a brindar el acercamiento a las instituciones públicas
3. Fortalecimeinto en la estructuración de políticas, programas ,legislación, proyectos sociales y desarrollo comunitario.
</t>
  </si>
  <si>
    <t xml:space="preserve">Servicios profesionales para desarrollar actividades  propias para la creacion y puesta en marcha del Consejo Departamental de Participación de Ciudadana  </t>
  </si>
  <si>
    <t>Recursos Ordinarios</t>
  </si>
  <si>
    <t xml:space="preserve">Funcionamiento y puesta en marcha  plan de acción  del  Consejo departamental de participación Ciudadana.
</t>
  </si>
  <si>
    <t>Actividades de diseño, imprenta, promoción y divulgación</t>
  </si>
  <si>
    <t>Creación y puesta en funcionamiento  del Consejo departamental de participación Ciudadana</t>
  </si>
  <si>
    <t xml:space="preserve">Planificación de estrategías (programas,campañas etc),para la
participación ciudadana. </t>
  </si>
  <si>
    <t xml:space="preserve">Levantamiento de información para estrategías (programas,campañas etc),para la participación ciudadana. </t>
  </si>
  <si>
    <t xml:space="preserve">Fortalecimiento institucional a través de diagnosticos que permitan identificar canales idóneos de participación.
</t>
  </si>
  <si>
    <t xml:space="preserve">Apoyo,promoción y divulgación para la  participación ciudadana  . 
</t>
  </si>
  <si>
    <t>Formular e implementar la política pública departamental de libertad religiosa en desarrollo  del árticulo 244 de la ley  1753 "por medio de la cual  se expide  el Plan Nacional de Desarrollo 2014-2018 TODOS POR UN NUEVO PAÍS"</t>
  </si>
  <si>
    <t xml:space="preserve">Diagnostico primario y levantamiento de información para la politíca pública departamental de libertad religiosa.
</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</si>
  <si>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</si>
  <si>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</si>
  <si>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</si>
  <si>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</si>
  <si>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Desarrollo de  los organismos comunales del departamento del Quindío</t>
  </si>
  <si>
    <t xml:space="preserve">Consolidar mecanismos  de integración  regional y municipal 
</t>
  </si>
  <si>
    <t xml:space="preserve">1. Fortalecer la estructuración deprogramas de capacitación en legislación, proyectos sociales y desarrollo comunitario.
2.Mejoramiento en  los procesos de inspección, vigilancia y control realizados a los organismos comunales.
</t>
  </si>
  <si>
    <t xml:space="preserve">Capacitaciones en legislación comunal dirigida a dignatarios 
</t>
  </si>
  <si>
    <t xml:space="preserve">Desarrollo institucional  dirigido a la federación comunal .
</t>
  </si>
  <si>
    <t xml:space="preserve">Conmemoraciones organismos comunales 
</t>
  </si>
  <si>
    <t>Formación y capacitación cursos básicos para los organismos comunales</t>
  </si>
  <si>
    <t>Asistencia y participación, en congresos,seminarios,diplomados de indole institucional para el fortaleciemiento de partaicipación comunal</t>
  </si>
  <si>
    <t xml:space="preserve">Promoción, divulgación y seguimiento organismos comunales
</t>
  </si>
  <si>
    <t>Organización de eventos,campañas o actividades  propias de las iniciativas comunales</t>
  </si>
  <si>
    <t xml:space="preserve">Desarrollo de actividades del programa de veedurias ciudadanas del departamento.
</t>
  </si>
  <si>
    <t xml:space="preserve">fortalecer  organismos comunales en los  12 municipios del departamento en el mejoramiento organizacional y participativo </t>
  </si>
  <si>
    <t>0309 - 5 - 1 21 103 136 26 - 20</t>
  </si>
  <si>
    <t>Inversiones fortalecimiento de los organismos comunales del departamento del Quindío.</t>
  </si>
  <si>
    <t>Incrementar la cobertura para el fortalecimiento organismos comunales del Departamento.</t>
  </si>
  <si>
    <t>Incremento de programas institucionales en apoyo y motivación  alas comunidades del departamento</t>
  </si>
  <si>
    <t>Compraventa de elementos de apoyo para  la realización de elecciones  de los organismos  comunales para el periodo 2016-2020</t>
  </si>
  <si>
    <t>HECTOR ALBERTO MARIN RIOS</t>
  </si>
  <si>
    <t>Secretario del Interior</t>
  </si>
  <si>
    <t>RECURSOS PROPIOS-SEÑALIZACION Y EDUCACION VIAL</t>
  </si>
  <si>
    <t>0-6</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</si>
  <si>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</si>
  <si>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</si>
  <si>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</si>
  <si>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</si>
  <si>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1803 - 5 - 3 1 3 11 35 2 132 - 61  /  1803 - 5 - 1 2 9 17 6 - 61</t>
  </si>
  <si>
    <t xml:space="preserve">  Aprovechamiento biológico y consumo de  alimentos idoneos  en el Departamento del Quindio</t>
  </si>
  <si>
    <t xml:space="preserve">Disminución de la desnutrición global y crónica en la primera infancia.
</t>
  </si>
  <si>
    <t xml:space="preserve"> Implementar y aplicar la resolucin 2674/2013
</t>
  </si>
  <si>
    <t>Implementar una estrategia para mejorar las buenas practicas de preparacion de alimentos en hogares, programas institucionales y en la via publica</t>
  </si>
  <si>
    <t>FONDO LOCAL DE SALUD - SGP</t>
  </si>
  <si>
    <t>NEBIO JAIRO LONDOÑO</t>
  </si>
  <si>
    <t xml:space="preserve"> CESAR AUGUSTO RINCON ZULUAGA SECRETARIA DE SALUD DEPARTAMENTAL</t>
  </si>
  <si>
    <t xml:space="preserve">Ejecutar el plan decenal de lactancia materna </t>
  </si>
  <si>
    <t xml:space="preserve">Adoptar e implementar de manera sistematica el plan decenal de lactancia materna con el fin de aumentar el cumplimiento de la practica de la lactancia materna exclusiva.
</t>
  </si>
  <si>
    <t>Implementacion de la estrategia Instituciones Amigas de la  Mujer y la  Infancia</t>
  </si>
  <si>
    <t>Fortalecer la atención integral  en seis (6) poblaciones vulnerables (etnias)  en menores de cinco años con casos de desnutrición</t>
  </si>
  <si>
    <t xml:space="preserve">Fortalecer la atención integral de la poblacion indigena  en menores de cinco años con el fin de disminnuir la prevalencia de casos de desnutrición.
</t>
  </si>
  <si>
    <t>Fortalecer la atención integral de la poblacion indigena  en menores de cinco años con el fin de disminnuir la prevalencia de casos de desnutrición</t>
  </si>
  <si>
    <t>Salud Pública para un Quindío saludable y posible</t>
  </si>
  <si>
    <t>Salud ambiental</t>
  </si>
  <si>
    <t>Formular, aprobar y divulgar  la Política Integral de Salud Ambiental (PISA)</t>
  </si>
  <si>
    <t xml:space="preserve">1803 - 5 - 3 1 3 12 36 2 133 - 61  /1803 - 5 - 1 2 9 18 134 - 61  </t>
  </si>
  <si>
    <t xml:space="preserve"> Control Salud Ambiental Departamento del Quindío.</t>
  </si>
  <si>
    <t>Disminución  de los factores de riesgo sanitarios y ambientales asociados a eventos de interés en salud pública relacionados con la salud ambiental como el aumento de la carga contaminante del agua, entre otros.</t>
  </si>
  <si>
    <t xml:space="preserve">Implementación y adopción en el departamento de la  Política integral de salud ambiental PISA reglamentada  </t>
  </si>
  <si>
    <t>Politica de atención integral de salud ambiental</t>
  </si>
  <si>
    <t>FONDOLOCAL DE SALUD - SGP</t>
  </si>
  <si>
    <t xml:space="preserve">Generar los mapas de riesgo y vigilancia de la calidad de agua para consumo humano en  los doce (12) municipios del departamento </t>
  </si>
  <si>
    <t>Implementación de los Decreto 1575 de 2007 y resolución  4716 de 2010  de manera articulada por las autoridades ambientales, de salud y los prestadores del servicio de acueducto y alcantarillado.</t>
  </si>
  <si>
    <t>Mapas de Riesgo</t>
  </si>
  <si>
    <t>Sexualidad, derechos sexuales y reproductivos</t>
  </si>
  <si>
    <t>Lograr que ocho (8) municipios del departamento operen el sistema de vigilancia en salud pública de la violencia intrafamiliar.</t>
  </si>
  <si>
    <t>1803 - 5 - 3 1 3 12 37 2 134 - 61</t>
  </si>
  <si>
    <t xml:space="preserve">  Fortalecimiento de acciones de intervención inherentes a los derechos sexuales y reproductivos  en el Departamento del Quindio.</t>
  </si>
  <si>
    <t xml:space="preserve"> Disminución de los eventos de interés en salud pública relacionados con la salud sexual y reproductiva en especial de la mortalidad materna  </t>
  </si>
  <si>
    <t xml:space="preserve">Eficiencia en la garantía en la  atención integral a la población en salud sexual y reproductiva </t>
  </si>
  <si>
    <t>Abordaje integral de las violencias de genero y violencias sexuales</t>
  </si>
  <si>
    <t>Desarrollar acciones articuladas intersectorialmente en los doce (12) municipios del departamento, con enfoque de derechos en colectivos LGTBI, jóvenes, mujeres gestantes adolescentes</t>
  </si>
  <si>
    <t>Prevencion y atención integralen ITS-VIH/SIDA con enfoque de vulnerabilidad</t>
  </si>
  <si>
    <t>Vincular cuatro mil ochocientos (4.800) mujeres gestantes al programa de control prenatal antes de la semana 12 de edad gestacional.</t>
  </si>
  <si>
    <t>Identificar tempranamente de los riesgos que impacten en la Salud del binomio madre e hijo</t>
  </si>
  <si>
    <t xml:space="preserve">Abordaje integral de la mujer antes, durante y despues del evento obstetrico
</t>
  </si>
  <si>
    <t>Canalizar acciones de promoción de la salud en el desarrollo de la política Nacional de sexualidad, derechos sexuales y reproductivos</t>
  </si>
  <si>
    <t xml:space="preserve">Fortalecimiento de la oferta en salud sexual y reproductiva, para adolescentes y jovenes </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</si>
  <si>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</si>
  <si>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</si>
  <si>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  1803 - 5 - 1 2 37 23 139 - 61</t>
  </si>
  <si>
    <t xml:space="preserve"> Fortalecimiento promoción de la salud y prevención primaria en salud mental en el Departamento del Quindío.</t>
  </si>
  <si>
    <t>Disminuir la morbimortalidad asociada a la salud mental principalmente de la violencia intrafamiliar</t>
  </si>
  <si>
    <t>Mejoramiento de la  percepción de riesgo y disminución de la  permisividad social frente al consumo de sustancias licitas e ilícitas</t>
  </si>
  <si>
    <t xml:space="preserve">Ajustar e implementar  la política de salud mental </t>
  </si>
  <si>
    <t>Adoptar e implementar el modelo de Atención primaria en Salud Mental (APS) en todos los municipios Quindiano</t>
  </si>
  <si>
    <t>Generación de capacidad de respuesta frente a la demanda de atención en salud mental</t>
  </si>
  <si>
    <t>Ajuste de Politica de Reducción del Consumo de Sustancias Psicoactivas</t>
  </si>
  <si>
    <t>Adoptar  e implementar en los doce (12) municipios el plan departamental de la reducción del consumo de sustancias psicoactivas SPA conforme a lineamientos y desarrollos técnicos entorno a la demanda</t>
  </si>
  <si>
    <t>Gestion integral del riesgo a la salud desde la Dimensión de convivencia social y salud mental (Violencia, conducta suicida, transtorno mental,  spa)</t>
  </si>
  <si>
    <t>1803 - 5 - 1 2 37 22 138 - 61</t>
  </si>
  <si>
    <t xml:space="preserve">  Fortalecimiento y promoción de la salud una razón más para sonreír en el Departamento del Quindío</t>
  </si>
  <si>
    <t>Estilos de vida saludable y condiciones no-transmisibles</t>
  </si>
  <si>
    <t>Implementar la estrategia  denominada "Cuatro por cuatro" para la promoción de la alimentación saludable</t>
  </si>
  <si>
    <t>1803 - 5 - 1 2 9 17 132 - 61</t>
  </si>
  <si>
    <t xml:space="preserve">  Control y Vigilancia en las acciones de intervención inherentes a la salud pública en el Quindío</t>
  </si>
  <si>
    <t>Disminución de la carga de la enfermedad asociada a las enfermedades crónicas no trasmisibles</t>
  </si>
  <si>
    <t>Implementación de la estrategia 4 x 4 para reducir la mortalidad, la morbilidad y los factores de riesgo prevenibles.</t>
  </si>
  <si>
    <t>Implementacion de normas tecnicas para la atencion del binomio madre e hija</t>
  </si>
  <si>
    <t>1803 - 5 - 3 1 3 12 39 2 138 - 61</t>
  </si>
  <si>
    <t xml:space="preserve"> Control y vigilancia en las acciones de condiciones no transmisibles y promoción de estilos de vida saludable en el Quindio  </t>
  </si>
  <si>
    <t>Estrategia 4 x 4 para promover la estrategia de hábitos y estilos de vida</t>
  </si>
  <si>
    <t>Implementar una estrategia de ambientes libres de humo de tabaco en los  municipios.</t>
  </si>
  <si>
    <t>Articulación interinstitucional que garantice la integralidad en la atención de los usuarios</t>
  </si>
  <si>
    <t>Convenios académicos de investigación</t>
  </si>
  <si>
    <t>Implementar una estrategia para mantener la edad de inicio de consumo de tabaco en los adolescentes escolarizados.</t>
  </si>
  <si>
    <t>Adopción y adherencia de las guías y protocolos de atención de las enfermedades crónicas no transmisibles por parte de las EPS e IPS</t>
  </si>
  <si>
    <t>Adherencia a guías y protocolos, articulación interinstitucional y gestión del riesgo de la salud</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</si>
  <si>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</si>
  <si>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</si>
  <si>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t>
  </si>
  <si>
    <t xml:space="preserve">  Fortalecimiento de las acciones de la prevención y protección en la población infantil en el Departamento del Quindío</t>
  </si>
  <si>
    <t xml:space="preserve">Reducir la exposición a condiciones y factores de riesgo ambientales, sanitarios y biológicos, de las contingencias y daños producidos por las enfermedades transmisibles
</t>
  </si>
  <si>
    <t xml:space="preserve"> implementar la estrategia que garantice el adecuado funcionamiento de la red de frío para el almacenamiento  de los biológicos del Programa Ampliado de Inmunización (PAI), permitiendo  la calidad de las vacunas, del programa ampliado de inmunizaciones para los menores de cinco años.
</t>
  </si>
  <si>
    <t xml:space="preserve">Fortalecimiento de la capacidad técnica, operativa, monitoreo y mantenimiento y municipios </t>
  </si>
  <si>
    <t>Implementar una estrategia que permita garantizar el adecuado funcionamiento de la red de frío para el almacenamiento  de los biológicos del Programa ampliado de inmunización (PAI).</t>
  </si>
  <si>
    <t xml:space="preserve"> Articular  la gestion del programa Ampliado de Inmunizaciones y poceso de conservacion, sistema de indormacion de vacunas</t>
  </si>
  <si>
    <t>Programa ampliado de inmunizaciones</t>
  </si>
  <si>
    <t>Implementar  la estrategia de gestión integral-enfermedades de transmisión vectorial (EGI ETV) en los 5 municipios hiperendémicos para enfermedades de transmisión vectorial</t>
  </si>
  <si>
    <t>1803 - 5 - 1 2 9 17 133 - 61</t>
  </si>
  <si>
    <t xml:space="preserve"> Fortalecimiento de estrategia de gestión integral, vectores y cambio climático en el Departamento del Quindio </t>
  </si>
  <si>
    <t xml:space="preserve">Minimizar la carga de las Enfermedades Transmitidas por Vectores ETV y zoonosis, producto de su discapacidad, mortalidad y morbilidad, que afecta a la población colombiana, a través de la implementación, monitoreo, evaluación y seguimiento de la estrategia de gestión integral para las ETV. </t>
  </si>
  <si>
    <t>realizar gestion integral frente  los determinantes sociales y ambientales que favorescan la presencia de enfermedades transmitidas por vectores ETV (dengue, malaria, lesmaniasis y enfermedades de chagas) y zoonosis (rabio y lectospirosis)</t>
  </si>
  <si>
    <t>desarrollar acciones en sectores e instituciones involocradas participando activamente en la modificacion de los determinates sociales y ambientales</t>
  </si>
  <si>
    <t>1803 - 5 - 3 1 3 12 40 2 141 - 108  /  1803 - 5 - 3 1 3 12 40 2 141 - 111  /  1803 - 5 - 3 1 3 12 40 2 141 - 112  /  1803 - 5 - 3 1 3 12 40 2 141 - 113  /  1803 - 5 - 3 1 3 12 40 2 141 - 114  /  1803 - 5 - 3 1 3 12 40 2 141 - 118</t>
  </si>
  <si>
    <t xml:space="preserve">  Fortalecimiento de estrategia de gestión integral, vectores, cambio climático y zoonosis en el Departamento  del Quindio </t>
  </si>
  <si>
    <t xml:space="preserve">Minimizar la carga de las Enfermedades Transmitidas por Vectores ETV y zoonosis, producto de su discapacidad, mortalidad y morbilidad, que afecta a la población colombiana, a través de la implementación, monitoreo, evaluación y seguimiento de la estrategia de gestión integral para las ETV. 
</t>
  </si>
  <si>
    <t xml:space="preserve">Reducción de la morbi-mortalidad por ETV en la población colombiana a riesgo 
</t>
  </si>
  <si>
    <t>Información, educación y comunicación</t>
  </si>
  <si>
    <t>Inteligencia epidemiológica y EGI ETV</t>
  </si>
  <si>
    <t xml:space="preserve">Implementar la estrategia  para ampliar coberturas útiles de vacunación antirrábica en animales (perros y gatos). </t>
  </si>
  <si>
    <t xml:space="preserve">Mantener la vigilancia de las agresiones animales provocadas por perros y gatos las cuales son un factor de riesgo para la ocurrencia de casos de rabia humana
</t>
  </si>
  <si>
    <t>Observación sanitaria de animales (caracol africano y leptospirosis)</t>
  </si>
  <si>
    <t>Censo de población canina y felina</t>
  </si>
  <si>
    <t>Implementar el plan estratégico hacia el fin de la tuberculosis</t>
  </si>
  <si>
    <t>1803 - 5 - 3 1 3 12 40 2 142 - 113  /  1803 - 5 - 3 1 3 12 40 2 142 - 114  /  1803 - 5 - 3 1 3 12 40 2 142 - 61</t>
  </si>
  <si>
    <t xml:space="preserve">  Fortalecimiento de la inclusión social para la disminución de riesgos de contraer enfermedades transmisibles  en el Departamento del Quindio </t>
  </si>
  <si>
    <t xml:space="preserve">Reducir la exposición a condiciones y factores de riesgo ambientales, sanitarios y biológicos, de las contingencias y daños producidos por las enfermedades transmisibles y respiratorias.
</t>
  </si>
  <si>
    <t xml:space="preserve">Desarrollar procesos de formación, capacitación e investigación sobre el   manejo integral del paciente, protocolos de atención de tuberculosis y lepra, y planes estratégicos  “Colombia hacia el fin de la tuberculosis” y plan estratégico “para aliviar la carga de la enfermedad y sostener” </t>
  </si>
  <si>
    <t>Gestión integral del riesgo para la vigilancia y la adherencia al tratamiento</t>
  </si>
  <si>
    <t>Insumos y reactivos para programs especiales</t>
  </si>
  <si>
    <t>Salud publica en emergencias y desastres</t>
  </si>
  <si>
    <t>Realizar catorce (14) simulacros de atención a emergencias en la Red Pública Hospitalaria</t>
  </si>
  <si>
    <t>1803 - 5 - 3 1 3 12 41 2 143 - 61</t>
  </si>
  <si>
    <t xml:space="preserve">  Prevención en emergencias y desastres de eventos relacionados con la salud pública en el Departamento del  Quindio</t>
  </si>
  <si>
    <t>Fortalecer  la gestión integral del riesgo en    salud  en  situaciones de emergencias y desastres   en el departamento del Quindío</t>
  </si>
  <si>
    <t xml:space="preserve">realizar  simulacros de atencion a emergencias en la red publica hospitalaria </t>
  </si>
  <si>
    <t>Planeacion  y ejecucion de  estrategias para la getion del riesgo en emergencias y desastres articuladas entre los sectores involucradas</t>
  </si>
  <si>
    <t>Mejorar el índice de seguridad hospitalaria en once (11) empresas sociales del estado (ESE) del departamento del nivel  I y II.</t>
  </si>
  <si>
    <t xml:space="preserve"> mejorar  los indices de seguridad hospitalria en el 100% de los hospitales publicos    </t>
  </si>
  <si>
    <t xml:space="preserve">Fortalecimiento de   la red integrada  para la atencion de emergencias y desastres  a través  del desarrollo tecnologico  para el manejo de software y bases   de datos en el monitoreo de los factores de riesgo </t>
  </si>
  <si>
    <t>Salud en el entorno laboral</t>
  </si>
  <si>
    <t>Fomentar en 8 municipios un programa de cultura preventiva en el trabajo formal e informal y entornos laborales saludables.</t>
  </si>
  <si>
    <t>1803 - 5 - 1 2 9 20 136 - 61</t>
  </si>
  <si>
    <t xml:space="preserve">  Prevención y vigilancia a los riesgos profesionales en el Departamento del Quindío.</t>
  </si>
  <si>
    <t xml:space="preserve">Disminucion de Eventos de Origen Laboral en los trabajadores del sector Formal del Departamentodel Quindio </t>
  </si>
  <si>
    <t>fortalecer las acciones de intervencion de los factores de riesgo en la poblacion mediante acciones de asesoria tecnica, inspeccion, vigilancia y control para disminuir la morbimortalidad de los eventos de interes en salud publica</t>
  </si>
  <si>
    <t>fortalecer las acciones de inspeccion vigilancia y control frente al cumplimiento de la normatividad en salud ocupacional</t>
  </si>
  <si>
    <t>1803 - 5 - 3 1 3 12 42 2 145 - 61  /  1803 - 5 - 1 2 9 19 135 - 61</t>
  </si>
  <si>
    <t xml:space="preserve">  Prevención vigilancia y control de eventos de origen laboral en el Departamento del Quindío.</t>
  </si>
  <si>
    <t xml:space="preserve">Disminucion de Eventos de Origen Laboral en los trabajadores del sector Formal del Departamentodel Quindio 
</t>
  </si>
  <si>
    <t xml:space="preserve">Dar cumplimiento a las normas y Decretos del Sistema General de Riesgos laborales con el fin de proteger la poblacion laboral de las 14 ESES del Departamento del Quindio
</t>
  </si>
  <si>
    <t xml:space="preserve">Seguimiento a las actividades de Promocion a la Salud y Prevencion de Riesgos  implementadas en el Sistema de  Gestion de la Seguridad y Salud en el Trabajo. 
</t>
  </si>
  <si>
    <t>Implementación en las 14 empresas sociales del estado (ESE) departamentales y de primer nivel, el Sistema de Gestión de la Seguridad y Salud en el Trabajo</t>
  </si>
  <si>
    <t xml:space="preserve">Acompañamiento en la implementación del  Sistema de Gestión de la Seguridad y Salud en el Trabajo en las 14 empresas sociales del estado (ESE) departamentales y de primer nivel. 
</t>
  </si>
  <si>
    <t>Levantamiento de linea base sobre las ESES del Depàrtamento con el Sistema de Seguridadad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</si>
  <si>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</si>
  <si>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</si>
  <si>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0318 - 5 - 3 1 3 12 43 2 146 - 20  /  1803 - 5 - 3 1 3 12 43 2 146 - 61</t>
  </si>
  <si>
    <t xml:space="preserve">  Fortalecimiento de la autoridad sanitaria en el Departamento del Quindio </t>
  </si>
  <si>
    <t xml:space="preserve">Fortalecer la operación del sistema de  inspeccion , vigilancia  y  control sanitario  del sistema de de salud </t>
  </si>
  <si>
    <t xml:space="preserve"> Fortalecimiento de la capacidad tecnica en las acciones  de Inspeccion, Vigilancia y Control Sanitario, en el analisis y  la gestion de los  riesgos asociados a al uso y consumo de bienes y servicios, que garanticen recurso humano idoneo,   con conocimientos en la aplicabilidad de la normatividad.</t>
  </si>
  <si>
    <t>Adquisición de bienes y servicios</t>
  </si>
  <si>
    <t>61 - 20</t>
  </si>
  <si>
    <t>Implementar  una estrategia oportuna de atención a sujetos de atención,  objetos de procesos de  inspección, vigilancia y control sanitario</t>
  </si>
  <si>
    <t xml:space="preserve"> Fortalecer las mesas de coordinacion intersectorial de seguridad quimica, aire  y entornos saludables   desde el   Consejo Territorial de Salud Ambiental </t>
  </si>
  <si>
    <t>Fortalecimiento de la capacidad tecnica en las acciones de IVC</t>
  </si>
  <si>
    <t xml:space="preserve">Implementar el   Plan territorial  de Adaptacion al  Cambio Climatico desde el componente de Salud Ambiental  en los municipios de competencia </t>
  </si>
  <si>
    <t>Plan territorial de adaptación al cambio climatico</t>
  </si>
  <si>
    <t xml:space="preserve">Consolidar y desarrollar  el sistema de inspección vigilancia y control (SIVC)  en 150 establecimientos farmacéuticos del departamento. </t>
  </si>
  <si>
    <t>1803 - 5 - 1 2 9 18 5 - 63  / 1803 - 5 - 3 1 3 12 43 2 147 - 63  /  1803 - 5 - 3 1 3 12 43 2 147 - 99</t>
  </si>
  <si>
    <t xml:space="preserve">  Fortalecimiento de las acciones del Fondo Rotatorio de Estupefacientes  en el Departamento del Quindio </t>
  </si>
  <si>
    <t>Aumentar las acciones de Inspección, Vigilancia y Control en cuanto al manejo o uso de productos Farmacéuticos y Medicamentos de Control Especial.</t>
  </si>
  <si>
    <t>Realizar visitas de Inspección, Vigilancia y Control a Establecimientos Farmacéuticos donde se verificara el cumplimiento de la normatividad vigente frente al manejo y uso adecuado de los productos farmacéuticos ocasionando una cultura y conciencia adecuada en  la prevención del riesgo asociado con la comercialización inadecuada de estos.</t>
  </si>
  <si>
    <t>Suministro de medicamentos de control especial monopolio del estado</t>
  </si>
  <si>
    <t>63 - 99</t>
  </si>
  <si>
    <t>AYLIN YOMARA SOLIS BOLIVAR</t>
  </si>
  <si>
    <t>Adquision de recetarios oficiales para la prescipción de medicamentos de control especial</t>
  </si>
  <si>
    <t>Fortalecimiento del sistema de información FRE</t>
  </si>
  <si>
    <t>Realizar visitas de Inspección, Vigilancia y Control a los Establecimientos Farmacéuticos de competencia Departamental. TRF</t>
  </si>
  <si>
    <t>Realizar actividades de promocion, prevención, asesoría y asistencia técnica a la población con el fin de disminuir los factores de riesgo del ambiente asociados al manejo o uso de productos farmacéuticos y medicamentos de control especial.</t>
  </si>
  <si>
    <t>Acciones de Inspección, vigilancia, seguimiento y/o control sobre la implementación del programa de farmacodependencia dentro de las Instituciones Prestadoras en Servicios de Salud (I.P.S).</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</si>
  <si>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</si>
  <si>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</si>
  <si>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0318 - 5 - 3 1 3 12 44 2 148 - 20  /  1803 - 5 - 3 1 3 12 44 2 148 - 61</t>
  </si>
  <si>
    <t xml:space="preserve">  Implementación de programas de promoción social en poblaciones  especiales en el Departamento del Quindío.</t>
  </si>
  <si>
    <t>Integralidad de la  gestión de los riesgos de la salud de los grupos con alta vulnerabilidad (grupos étnicos, nnaj, victimas y población con discapacidad, adulto mayor)</t>
  </si>
  <si>
    <t>Implementar programas de participación social que permitan fomentar buenas prácticas de gestión y desarrollo de capacidades que favorezcan la movilización social de todos los sectores, la participación de la sociedad civil y de los grupos organizados, en los procesos de planeación y control social con énfasis en poblaciones vulnerables y diferenciales (víctimas, discapacitados,  etnias, entre otros)</t>
  </si>
  <si>
    <t>Desarrollo de programas especiales orientados a poblaciones  vulnerables (étnicos, adulto mayor, genero, entre otros)</t>
  </si>
  <si>
    <t xml:space="preserve">                                     RECURSOS ORDINARIOS - FONDO LOCAL DE SALUD  - SGP</t>
  </si>
  <si>
    <t>Implementar el  Programa de atención psicosocial y salud integral a víctimas del conflicto armado.</t>
  </si>
  <si>
    <t>Implementar el programa de atención psicosocial  y salud integral para atender los impactos sufridos por las víctimas del conflicto armado; en ámbitos individuales, familiares y comunitarios cuyo  fin es mitigar el sufrimiento emocional, contribuyendo a la recuperación física y mental y  la reincorporación a la comunidad.</t>
  </si>
  <si>
    <t>Programa de atención psicosocial y salud integral a víctimas del conflicto armado</t>
  </si>
  <si>
    <t>Fortalecimiento de  la estrategia AIEPI en los 12 municipios del Departamento</t>
  </si>
  <si>
    <t>Fortalecer la estrategia de atención integral a las enfermedades prevalentes de la infancia (AIEPI) con la aplicación de prácticas clave</t>
  </si>
  <si>
    <t xml:space="preserve">Fortaleciemiento de la implementacion de la estrategia atención atencion integrada a las enfermadades prevalentes a la primera infancia </t>
  </si>
  <si>
    <t>Fortalecer en los doce (12) municipios del departamento los  comités municipales de discapacidad</t>
  </si>
  <si>
    <t>Fortalecer los deberes y derechos a las poblaciones en condición de discapacidad a través de los comités municipales.</t>
  </si>
  <si>
    <t>Fortalecimiento de la capacidad técnica municipal</t>
  </si>
  <si>
    <t>1803 - 5 - 1 2 9 17 2 - 61</t>
  </si>
  <si>
    <t xml:space="preserve">  Fortalecimiento de las acciones de la prevención y protección en la población infantil CRECIENDO SALUDABLES en el Departamento del Quindío</t>
  </si>
  <si>
    <t xml:space="preserve">disminuir la morbimortalidad de as enfermedades prevalientes en la primera infacia </t>
  </si>
  <si>
    <t xml:space="preserve">fortaleciemiento de las acciones de seguimiento a la aplicabilidad de las guias y protocolos en la prestacion de los servicos </t>
  </si>
  <si>
    <t>desarrollar la estrategia  AIEPI  en todos los municipios del deparatento del quindio</t>
  </si>
  <si>
    <t xml:space="preserve">FONDO LOCAL DE SALUD  - SGP </t>
  </si>
  <si>
    <t>Plan de intervenciones colectivas en el modelo de APS</t>
  </si>
  <si>
    <t>Evaluar en  once (11)   empresas sociales del estado (ESE)  Municipales la implementación del Plan de intervenciones colectivas (PIC).</t>
  </si>
  <si>
    <t>1803 - 5 - 3 1 3 12 45 2 150 - 61  /  1803 - 5 - 1 2 9 21 137 - 61</t>
  </si>
  <si>
    <t xml:space="preserve"> Asistencia atención a las personas y prioridades en salud pública en el  Departamento del Quindío.</t>
  </si>
  <si>
    <t>Disminución de la morbimortalidad asociada  a la carga de la enfermedad por los determinantes sociales fortaleciendo  las acciones de complementariedad  a los municipios</t>
  </si>
  <si>
    <t>Fortalecimiento  de monitoreo y evaluación de los planes, programas y estrategias orientadas a las actividades de promoción y prevención colectivas</t>
  </si>
  <si>
    <t>Fortalecimiento de la estrategia comunicación para influenciar comportamientos (combi)</t>
  </si>
  <si>
    <t>Auditoria a 8  planes de mejoramiento instaurados con la red pública ejecutora del Plan de Intervenciones Colectivas.</t>
  </si>
  <si>
    <t>Baja concurrencia de recursos económicos a los municipios</t>
  </si>
  <si>
    <t xml:space="preserve">
Convenios interadministrativos para la complementariedad con los municipios
</t>
  </si>
  <si>
    <t>Vigilancia en salud publica y del laboratorio departamental.</t>
  </si>
  <si>
    <t xml:space="preserve">Realizar  la vigilancia sanitaria a 300 establecimientos de consumo (Aguas, Alimentos y Bebidas Alcohólicas) </t>
  </si>
  <si>
    <t>1803 - 5 - 3 1 3 12 46 2 151 - 61  /  1803 - 5 - 1 2 9 21 126 - 61</t>
  </si>
  <si>
    <t xml:space="preserve">  Fortalecimiento de las actividades de vigilancia y control del laboratorio de salud pública en el Departamento del Quindio </t>
  </si>
  <si>
    <t xml:space="preserve">Fortalecimiento de la capacidad analítica del Laboratorio de Salud Pública Departamental  para dar respuesta  a las necesidades del Sistema de Vigilancia en Salud Pública (VSP) en el marco de la Seguridad Sanitaria (SS) en especial por la alta Incidencia de  afectados  por Enfermedad Diarreica Aguda –EDA-  y otros eventos          </t>
  </si>
  <si>
    <t xml:space="preserve"> Realizar a traves del Laboratorio de Salud Pública  las pruebas con enfoque de riesgo </t>
  </si>
  <si>
    <t>Fortalecimiento en la realización de pruebas y técnicos de laboratorio en E.N.O</t>
  </si>
  <si>
    <t>Mejoramiento de la infraestructura fisica del laboratorio de salud publica para dar respuesta a as necesidades del departamento..</t>
  </si>
  <si>
    <t>Ampliar la cobertura al 100% de la capacidda instlada y locativa del laboratorio departamental</t>
  </si>
  <si>
    <t>Clasificación entomológica de muestras de vectores</t>
  </si>
  <si>
    <t xml:space="preserve"> Adecuaciones técnicas en el laboratorio departamental  que minimicen los riesgos por derrames, contaminación o accidentes.</t>
  </si>
  <si>
    <t>crear diez (10) y fortalecer noventa (90) Comités de Vigilancia 
Epidemiológica  Comunitaria 
(COVECOM) municipales.</t>
  </si>
  <si>
    <t>1803 - 5 - 3 1 3 12 46 2 152 - 61  /  1803 - 5 - 1 2 9 21 127 - 61</t>
  </si>
  <si>
    <t xml:space="preserve"> Fortalecimiento del sistema de vigilancia en salud pública en el Departamento del Quindío.</t>
  </si>
  <si>
    <t>Altos índices de cumplimiento en los indicadores de calidad, cobertura y  oportunidad del sistema de vigilancia en salud publica departamental con  énfasis en la mortalidad por era en menores de 5 años</t>
  </si>
  <si>
    <t xml:space="preserve">Fortalecer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t>
  </si>
  <si>
    <t xml:space="preserve">Implementación del Sistema de Vigilancia Epidemiológica comunitaria en el contexto de los COVECOM en el nivel Departamental </t>
  </si>
  <si>
    <t>Apoyo en la activación y Mantenimiento de 90 COVECOM en los municipios del Departamento</t>
  </si>
  <si>
    <t>Gestionar y consolidar la notificación comunitaria de 11 municipios del Departamento del Quindío</t>
  </si>
  <si>
    <t>Sostener 83 Unidades Primarias Generadoras de Datos (UPGD) que integran el sistema de Vigilancia en Salud Publica</t>
  </si>
  <si>
    <t xml:space="preserve">Implementar el sistema de vigilancia epidemiológica comunitaria en los 12 Municvipios del Departamento, dando cumplimiento al proceso de notificación periódica según reglamentación Departamental
</t>
  </si>
  <si>
    <t>fortalecimiento  de los procesos de vigilancia epidemiológica institucional y municipal, por medio de la implementación y desarrollo del  plan de Asesoria y Asistencia técnica para la adherencia a protocolos de Vigilancia en Salud Pública de las enfermedades transmitidas por vectores y las zoonosis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</si>
  <si>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Infecciones de transmisión sexual, Maternidad Segura y vigilancia nutricional,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</si>
  <si>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Micobacterias,Infecciones asociadas a la atención en salud, resistencia a los antimicrobianos, consumo de antibióticos y las Infecciones Respiratorias Agudas,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</si>
  <si>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Enfermedades Crónicas no transmisibles, las intoxicaciones agudas por sustancias químicas y enfermedades huérfanas, en los 12 municipios del Departamento</t>
  </si>
  <si>
    <t>fortalecimiento de los procesos de vigilancia epidemiológica institucional y municipal, por medio de la implementación y desarrollo del  plan de Asesoria y Asistencia técnica para la realización de la Busqueda Activa Institucional  por medio de la herramienta SIANIESP y el apoyo estadístico para el manejo de las plataformas Nacionales.</t>
  </si>
  <si>
    <t xml:space="preserve">fortalecimiento de los procesos de vigilancia epidemiológica institucional y municipal, por medio de la implementación y desarrollo del  plan de Asesoria y Asistencia técnica para la operación del SIVIGILA y las acciones de campo en 5 municipios del Departamento </t>
  </si>
  <si>
    <t>Seguimiento en el proceso de gestión del riesgo individual, frente a las acciones de protección específica y deteccion temptrana desde el reporte del anexo tecnico de la resolucion 4505 de 2012 y el cumplimiento de la resolución 412 del 2000</t>
  </si>
  <si>
    <t>fortalecimiento de  los procesos de vigilancia epidemiológica institucional y municipal, por medio de la implementación y desarrollo del  plan de Asesoria y Asistencia técnica para la adherencia a protocolos de Vigilancia en Salud Pública de las enfermedades tranmitidas por alimentos, enfermedad diarreica aguda, hepatitis A y factores relcionados con riesgos sanitarios.</t>
  </si>
  <si>
    <t>convenio interadministrativo para el fortalecimiento de los procesos de confirmacion y analisis de informacion de los eventos de interes en salud publica de mayor impacto en el departamento del quindio</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</si>
  <si>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</si>
  <si>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</si>
  <si>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</si>
  <si>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 xml:space="preserve">1801 - 5 - 3 1 3 13 47 2 153 - 96  /  1801 - 5 - 3 1 3 13 48 2 153 - 100  /  1801 - 5 - 3 1 3 13 48 2 153 - 106  /  1801 - 5 - 3 1 3 13 48 2 153 - 64  /  1801 - 5 - 1 2 6 11 124 - 64  /  1801 - 5 - 1 2 6 11 124 - 71  /  </t>
  </si>
  <si>
    <t xml:space="preserve"> Subsidio afiliación al régimen subsidiado del Sistema General de Seguridad Social en Salud en el Departamento del Quindío.</t>
  </si>
  <si>
    <t xml:space="preserve">Mejoramiento en la  cobertura  universal  en  el aseguramiento  al sistema de atencion integral  para  la prestación de un mejor servicio de atencion a la poblacion del Departamento del Quindio
</t>
  </si>
  <si>
    <t xml:space="preserve">Mejorar los procesos de identificación de la población no sisbenizada y no afiliada.
</t>
  </si>
  <si>
    <t>Mejorar los procesos de identificación de la población no sisbenizada y no afiliada</t>
  </si>
  <si>
    <t xml:space="preserve">FONDO LOCAL DE SALUD  - RENTAS CEDIDAS  </t>
  </si>
  <si>
    <t xml:space="preserve"> 106 - 71 - 96 - 100 - 106 - 64 - 65 - 71 - 72</t>
  </si>
  <si>
    <t>HECTOR MARIO TABORDA</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</si>
  <si>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</si>
  <si>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</si>
  <si>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r>
      <t xml:space="preserve"> Gestion de recursos para cofinanciación de la afialicon  MPO</t>
    </r>
    <r>
      <rPr>
        <sz val="11"/>
        <color indexed="10"/>
        <rFont val="Arial"/>
        <family val="2"/>
      </rPr>
      <t xml:space="preserve"> </t>
    </r>
    <r>
      <rPr>
        <sz val="11"/>
        <color indexed="8"/>
        <rFont val="Arial"/>
        <family val="2"/>
      </rPr>
      <t xml:space="preserve">y lugares de afiliación
</t>
    </r>
  </si>
  <si>
    <r>
      <t xml:space="preserve"> Gestion de recursos para cofinanciación de la afialico</t>
    </r>
    <r>
      <rPr>
        <sz val="11"/>
        <rFont val="Arial"/>
        <family val="2"/>
      </rPr>
      <t>n  MPO</t>
    </r>
    <r>
      <rPr>
        <sz val="11"/>
        <color indexed="8"/>
        <rFont val="Arial"/>
        <family val="2"/>
      </rPr>
      <t xml:space="preserve"> y lugares de afiliación
</t>
    </r>
  </si>
  <si>
    <t xml:space="preserve">FONDO LOCAL DE SALUD  - RENTAS CEDIDAS  - FONDO LOCAL DE SALUD  - LEY 1393 - FONDO LOCAL DE SALUD  - RECURSOS DE CAPITAL - NACION  </t>
  </si>
  <si>
    <t>Asistencia técnica  a los actores del sistema en el proceso de aseguramiento de la población</t>
  </si>
  <si>
    <t>Brindar asistencia técnica a 12 Municipios del departamento,  en los procesos del régimen subsidiado</t>
  </si>
  <si>
    <t xml:space="preserve"> Aumento en la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</si>
  <si>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</si>
  <si>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</si>
  <si>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</si>
  <si>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2 154 - 102  /  0318 - 5 - 3 1 3 14 50 2 154 - 35  / 1802 - 5 - 1 2 6 12 125 - 103  /  1802 - 5 - 1 2 6 12 125 - 104  /  1802 - 5 - 1 2 6 12 125 - 105  /  1802 - 5 - 1 2 6 12 125 - 58  /  1802 - 5 - 1 2 6 12 125 - 59  /  1802 - 5 - 1 2 6 12 125 - 60  /  1802 - 5 - 1 2 6 12 125 - 96  /  1802 - 5 - 3 1 3 14 50 2 154 - 105  /  1802 - 5 - 3 1 3 14 50 2 154 - 110  /  1802 - 5 - 3 1 3 14 50 2 154 - 121  /  1802 - 5 - 3 1 3 14 50 2 154 - 35  /  1802 - 5 - 3 1 3 14 50 2 154 - 58  /1802 - 5 - 3 1 3 14 50 2 154 - 59  /    1802 - 5 - 3 1 3 14 50 2 154 - 60  /  1802 - 5 - 3 1 3 14 50 2 154 - 72  /  1802 - 5 - 3 1 3 14 50 2 154 - 96  /  1802 - 5 - 3 1 3 14 50 2 154 - 97</t>
  </si>
  <si>
    <t xml:space="preserve"> Población no afiliada al Sistema General de Seguridad Social en Salud en el Departamento del Quindio</t>
  </si>
  <si>
    <t>Garantizar la atención en salud a la población pobre no asegurada y/o víctima del conflicto armado en un rango de afiliación 51.57 según resolución 3778. De 2011. En  e l departamento del Quindío</t>
  </si>
  <si>
    <t xml:space="preserve">Bajar los  indices de morbimortalidad en el Departamento.
</t>
  </si>
  <si>
    <t>realizar seguimiento vigilancia y control a los actores del sistema en lo referente al cumplimiento de la normatividad del sistema de seguridad social en salud</t>
  </si>
  <si>
    <t>102, 105, 110, 121, 35, 58, 59, 60, 72, 96, 92</t>
  </si>
  <si>
    <t>Mantener la contratación con la red pública y privada (15)  para la atención de la población no afiliada.</t>
  </si>
  <si>
    <t>Seguimiento, control e implementacion de las estrategias de atencion primaria en participacion con los actores del sistema en Salud del departamento del Quindio.</t>
  </si>
  <si>
    <t xml:space="preserve">Garantizar la gestion de Recursos por parte de los Entes territoriales.
</t>
  </si>
  <si>
    <t>Implementacion de Procesos referentes al manejo y auditoria de cuentas medicas-urgencias y recobros en el Departamento del Quindio</t>
  </si>
  <si>
    <t>FONDOLOCAL DE SALUD - RENTAS CEDIDAS</t>
  </si>
  <si>
    <t>Realizar asistencia técnica en la construcción y ejecución del plan bienal de inversiones, a catorce (14) Empresas sociales del estado (ESE) del departamento.</t>
  </si>
  <si>
    <t>establecer los procedimientos para la formulacion, presentacion, aprobacion, ajuste seguimiento ejecucion y control de los planes bienales de inversion publica en salud</t>
  </si>
  <si>
    <t>Prestacion de servicios en los NO POS, de la población afiliada al Régimen Subsidiado en el Departamento del Quindío</t>
  </si>
  <si>
    <t>Bajar los  indices de morbimortalidad en el Departamento.
Garantizar la gestion de Recursos por parte de los Entes territoriales</t>
  </si>
  <si>
    <t>SUPERAVIT LEY 1391</t>
  </si>
  <si>
    <t>58 - 71 - 72</t>
  </si>
  <si>
    <t>Fortalecimiento de la  gestión de la entidad territorial municipal</t>
  </si>
  <si>
    <t>Realizar asistencia Técnica  en los 12 municipios, en la capacidad de gestión en salud</t>
  </si>
  <si>
    <t>1802 - 5 - 3 1 3 14 51 2 155 - 72</t>
  </si>
  <si>
    <t xml:space="preserve"> Asistencia técnica para el fortalecimiento de la gestión de las entidades territoriales del Departamento del Quindio </t>
  </si>
  <si>
    <t xml:space="preserve">Apoyo en el proceso de articulacion y competencias territoriarles en el SGSS
</t>
  </si>
  <si>
    <t xml:space="preserve">Fortalecimiento en los procesos de financiacion a los municpios para ejercer procesos de afiliacion y atencion al SGSS
</t>
  </si>
  <si>
    <t>Fortalecimiento en los procesos de financiacion a los municpios para ejercer procesos de afiliacion y atencion al SGSS</t>
  </si>
  <si>
    <t>Conocimiento en los procesos de gestion tecnica en salud</t>
  </si>
  <si>
    <t>Garantizar red de servicios en eventos de emergencias</t>
  </si>
  <si>
    <t xml:space="preserve">Ajustar los 14 planes de emergencia de las instituciones prestadoras de salud de todo el Departamento.  </t>
  </si>
  <si>
    <t>1802 - 5 - 3 1 3 14 52 2 156 - 72</t>
  </si>
  <si>
    <t xml:space="preserve">  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</si>
  <si>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</si>
  <si>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Fortalecer el compromiso y conocimiento de la norma  para la preparacion en casos de emergencias parte de las ESES del Departametno y los entes desentralizados
</t>
  </si>
  <si>
    <t>Apoyo en el proceso de implementacion del desarrollo en simulacros de atencion a emercias en la red publica</t>
  </si>
  <si>
    <t>Apoyo en procesos de atencion en emergencias de la red publica</t>
  </si>
  <si>
    <t>Ajustar un (1) Plan de Emergencias en Salud Departamental.</t>
  </si>
  <si>
    <t xml:space="preserve">Articular  la red hospitalaria del Departamento.
</t>
  </si>
  <si>
    <t>convenio interadministrativo para el desarrollo de un plan de Emergancias de salud departamental</t>
  </si>
  <si>
    <t>Atender en los 12 municipios  del departamento, los eventos de emergencia y urgencias, y el sistema de referencia y contra referencia  de la población  no afiliada.</t>
  </si>
  <si>
    <t>0318 - 5 - 3 1 3 14 52 2 157 - 20</t>
  </si>
  <si>
    <t xml:space="preserve">  Fortalecimiento de la red de urgencias y emergencias en el Departamento del Quindio </t>
  </si>
  <si>
    <t>Fortalecimiento  en la integración de  la red hospitalaria  del departamento del  Quindío. Mediante la modernización del CRUE en el departamento del Quindío</t>
  </si>
  <si>
    <t>Mejorar la  oportunidad en la  respuesta ante una emergencia en   salud  del departamento del Quindío</t>
  </si>
  <si>
    <t>Mejorar la  oportunidad en la  respuesta ante una emergencia en   salud  del departamento del Quindío Y articular el proceso de  planeación de los actores involucrados</t>
  </si>
  <si>
    <t>20 - 50</t>
  </si>
  <si>
    <t>FONDOLOCAL DE SALUD - RENTAS CEDIDAS - RECURSO ORDINARIO</t>
  </si>
  <si>
    <t>Articular el proceso de  planeación de los actores involucrados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</si>
  <si>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</si>
  <si>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</si>
  <si>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1802 - 5 - 3 1 3 14 53 2 158 - 72</t>
  </si>
  <si>
    <t xml:space="preserve"> Apoyo al proceso del sistema obligatorio de garantía de calidad a los prestadores de salud en el Departamento del Quindio.</t>
  </si>
  <si>
    <t xml:space="preserve">Adecuada Implementacion del plan de Auditoria para el mejoramiento de la Calidad y cumplimiento de los estandares de Verificacion 
</t>
  </si>
  <si>
    <t xml:space="preserve">Adecuados procesos de implementacion, auditoria y seguimiento.
</t>
  </si>
  <si>
    <t xml:space="preserve">Acompañamiento en la verificacion y evaluacion del  proceso PAMEC </t>
  </si>
  <si>
    <t>Cumpliemiento de los procesos de certificacion en calidad</t>
  </si>
  <si>
    <t>Verificacion de los procesos de calidad</t>
  </si>
  <si>
    <t>Servicios tecnicos para acompañamiento a los procesos PAMEC</t>
  </si>
  <si>
    <t>Realizar visitas de verificación de los requisitos de habilitación a 150 prestadores de servicios de salud.</t>
  </si>
  <si>
    <t>Realizar visitas de verificación de los requisitos de habilitación prestadores de servicios de salud</t>
  </si>
  <si>
    <t>Fortalecimiento financiero de la red de servicios publica</t>
  </si>
  <si>
    <t>Evaluar semestralmente los indicadores de monitoreo del sistema de catorce (14) ESE´s del nivel I, II y III</t>
  </si>
  <si>
    <t>1802 - 5 - 3 1 3 14 54 2 159 - 72</t>
  </si>
  <si>
    <t xml:space="preserve">  Fortalecimiento de la red de prestación de servicios pública  del Departamento del Quindío</t>
  </si>
  <si>
    <t xml:space="preserve">Apoyo y seguimiento al proceso de reporte, vigilancia y control en el manejo de los recursos de salud en el Departamento del Quindio
</t>
  </si>
  <si>
    <t xml:space="preserve">Fortalecimiento  en los procesos financienros  del Sector Salud en el Departamento del Quindio. 
</t>
  </si>
  <si>
    <t>Fortalecimiento  en los procesos financienros  del Sector Salud en el Departamento del Quindio</t>
  </si>
  <si>
    <t xml:space="preserve">Adecuados procesos para la auditoria en el flujo de recursos de las IPS 
</t>
  </si>
  <si>
    <t xml:space="preserve">Adecuados procesos para la auditoria en el flujo de recursos de las IPS  </t>
  </si>
  <si>
    <t>Apoyar 2 programas  de saneamiento fiscal y financiero a las IPS categorizadas en riesgo por el Ministerio de Salud</t>
  </si>
  <si>
    <t>Auditoria financiera a los fondos locales de salud</t>
  </si>
  <si>
    <t>Gestión Posible</t>
  </si>
  <si>
    <t>Apoyo y Fortalecimiento Institucional</t>
  </si>
  <si>
    <t>Evaluar los municipios de Armenia y Calarcá que se encuentran  certificados en salud</t>
  </si>
  <si>
    <t>1804 - 5 - 3 1 3 15 55 2 160 - 72</t>
  </si>
  <si>
    <t xml:space="preserve"> Apoyo Operativo a la inversión social en salud en el Departamento del Quindio</t>
  </si>
  <si>
    <t xml:space="preserve">Incrementar el porcentaje de apoyo de la dirección estratégica en los procesos administrativos y misionales de la secretaria de salud
</t>
  </si>
  <si>
    <t xml:space="preserve">Mejorar la operatividad de los procesos administrativos, misionales y estratégicos de la secretaria de salud
</t>
  </si>
  <si>
    <t xml:space="preserve">realizar visitas para evaluacion de la capacidad de gestion y renovacion de la certificacion como municipios desentralizados en salud  </t>
  </si>
  <si>
    <t>116- 72</t>
  </si>
  <si>
    <t>CECILIA INES JARAMILLO</t>
  </si>
  <si>
    <t>Lograr que los procesos misionales y estratégicos de la Secretaría de Salud, que así lo requieran cuente con el apoyo y gestión de la Dirección Estratégica.</t>
  </si>
  <si>
    <t>Seguimiento evaluación y ajuste de los procesos estratégicos, misionales y de apoyo de la secretaria de salud</t>
  </si>
  <si>
    <t>Sistematización y adquisición de datos</t>
  </si>
  <si>
    <t>Control y seguimiento al vencimiento de los términos de respuesta de los PQRS atendidos por la Dirección  de Prevención, vigilancia y control y la Dirección de Calidad y Prestación de Servicios</t>
  </si>
  <si>
    <t>Seguimiento y evaluación a los procesos contractuales en cumplimiento de las disposiciones legales en materia de salud</t>
  </si>
  <si>
    <t>Seguimiento y evaluación de cumplimiento de las disposiciones legales en materia de salud</t>
  </si>
  <si>
    <t>Verificación, seguimiento y control trimestral a la ejecución presupuestal de los recursos del Sector Salud</t>
  </si>
  <si>
    <t xml:space="preserve">generra los informes de ejecucion mensual  de gastos de la secretaria de salud </t>
  </si>
  <si>
    <t xml:space="preserve">CESAR AUGUSTO RINCON ZULUAGA </t>
  </si>
  <si>
    <t>SECRETARIA DE SALUD DEPARTAMENTAL</t>
  </si>
  <si>
    <t>ACTIVIDADES CUANTIFICADAS
2016</t>
  </si>
  <si>
    <t>PROSPERIDAD CON EQUIDAD</t>
  </si>
  <si>
    <t>.</t>
  </si>
  <si>
    <t>Quindío rural, inteligente, competitivo y empresarial</t>
  </si>
  <si>
    <t>Quindío Prospero y productivo</t>
  </si>
  <si>
    <t xml:space="preserve">Crear (1) y fortalecer (3) rutas competitivas </t>
  </si>
  <si>
    <t>0311 - 5 - 3 1 2 2 8 13 51 - 20</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</si>
  <si>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</si>
  <si>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</si>
  <si>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 xml:space="preserve">Creación (1) y fortalecimiento (3) de rutas competitivas </t>
  </si>
  <si>
    <t xml:space="preserve">Identificar la metodologia para crear la ruta competitiva y apoyar el fortalecimeinto de las rutas existentes  </t>
  </si>
  <si>
    <t>72.224</t>
  </si>
  <si>
    <t>27.477</t>
  </si>
  <si>
    <t>86.843</t>
  </si>
  <si>
    <t>236.429</t>
  </si>
  <si>
    <t>81.384</t>
  </si>
  <si>
    <t>Contrato No. 803</t>
  </si>
  <si>
    <t>Juan José Botero Villa. Director de Emprendimiento y Competitividad</t>
  </si>
  <si>
    <t>15/08/16</t>
  </si>
  <si>
    <t>09/09/16</t>
  </si>
  <si>
    <t>08/12/16</t>
  </si>
  <si>
    <t>Carlos Alfonso Rodriguez Orozco  - Secretaria de Turismo, Industria y Comercio.</t>
  </si>
  <si>
    <t>Conformar e implementar (3) tres clúster priorizados en el Plan de Competitividad</t>
  </si>
  <si>
    <t xml:space="preserve">Conformación e implementación de tres (3) cluster </t>
  </si>
  <si>
    <t>Identificar la metodologia para el desarrollo de las iniciativas  cluster y desarrollar su primera fase</t>
  </si>
  <si>
    <t>Contrato No.739</t>
  </si>
  <si>
    <t>06/09/16</t>
  </si>
  <si>
    <t>16/12/16</t>
  </si>
  <si>
    <t xml:space="preserve">Diseño, formulación y puesta en marcha del Centro  para el desarrollo y el  fortalecimiento de la investigación, tecnología,  Ciencia e Innovación .    </t>
  </si>
  <si>
    <t>0311 - 5 - 3 1 2 2 8 13 52 - 20</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</si>
  <si>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</si>
  <si>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</si>
  <si>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 xml:space="preserve"> Diseño, formulación y puesta en marcha del Centro  para el desarrollo y el  fortalecimiento de la investigación, tecnología,  Ciencia e Innovación </t>
  </si>
  <si>
    <t xml:space="preserve">Apoyar la elaboracion del plan de accion del Centro  para el desarrollo y el  fortalecimiento de la investigación, tecnología,  Ciencia e Innovación .    </t>
  </si>
  <si>
    <t xml:space="preserve">Apoyar la formulación del proyecto: Red de conocimiento de agro negocios del departamento </t>
  </si>
  <si>
    <t xml:space="preserve">Apoyar las actividades requeridas para la formulacion  y ejecucion del proyecto red  de conocimiento de agronegocios </t>
  </si>
  <si>
    <t xml:space="preserve">Diseñar y fortalecer un proyecto de I+D+I </t>
  </si>
  <si>
    <t>Desarrollar el documento correspondiente al  diseño  y fortalecimiento de la segunda fase del proyecto I+D+I</t>
  </si>
  <si>
    <t>Contrato No.806
(Cancelado bilateralmente)</t>
  </si>
  <si>
    <t>Contrato No. 1294 de 2016</t>
  </si>
  <si>
    <t>Hacia el Emprendimiento, Empresarismo, asociatividad y generación de empleo en el Departamento del Quindío</t>
  </si>
  <si>
    <t>Apoyar a doce (12) unidades de emprendimiento para jóvenes emprendedores.</t>
  </si>
  <si>
    <t xml:space="preserve">0311 - 5 - 3 1 2 2 9 13 53 - 20  </t>
  </si>
  <si>
    <t>Apoyo al emprendimiento, empresarismo, asociatividad y generación de empleo en el departamento del Quindio</t>
  </si>
  <si>
    <t>Mejoramiento de los niveles de emprendimiento, empresarismo y asociatividad en el departamento del Quindio</t>
  </si>
  <si>
    <t>Apoyar la existencia de un ecosistema regional de emprendimiento en el departamento del Quindío, a traves de la elaboración de una propuesta de alianzas estratégicas.</t>
  </si>
  <si>
    <t>Apoyar tres unidades de emprendimiento para jóvenes emprendedores</t>
  </si>
  <si>
    <t>Contrato No. 709</t>
  </si>
  <si>
    <t>Diana Marcela Martinez Correa
Directora de Industria y Comercio</t>
  </si>
  <si>
    <t xml:space="preserve">Diseñar un ecosistema Regional de Emprendimiento y Asociatividad  </t>
  </si>
  <si>
    <t>Diseñar  la estructura del  ecosistema regional de emprendimiento y asociatividad en el Departamento del Quindio.</t>
  </si>
  <si>
    <t>Convenio 043 de 2016</t>
  </si>
  <si>
    <t>Contrato No. 1256 de 2016</t>
  </si>
  <si>
    <t>Contrato No. 1280</t>
  </si>
  <si>
    <t>Apoyar   doce (12) Unidades de emprendimiento de grupos poblacionales con enfoque diferencial.</t>
  </si>
  <si>
    <t>Apoyar tres unidades de emprendimiento de grupos poblacionales con enfoque diferencial</t>
  </si>
  <si>
    <t>Contrato No. 775</t>
  </si>
  <si>
    <t>Implementar un programa de gesiton financiera para el desarrollo de emprendimiento, empresarismo y asociatividad</t>
  </si>
  <si>
    <t xml:space="preserve">  0311 - 5 - 3 1 2 2 9 13 53 - 88</t>
  </si>
  <si>
    <t>Apoyar con recursos financieros el fortalecimiento del emprendimiento, empresarismo y asociatividad en el departamento del Quindío</t>
  </si>
  <si>
    <t xml:space="preserve"> Convenio con una entidad financiera  para el fortalecimiento del emprendimiento, empresarismo y asociatividad</t>
  </si>
  <si>
    <t>Convenio de asociación</t>
  </si>
  <si>
    <t>ordinario 88</t>
  </si>
  <si>
    <t>Diana Marcela Martinez Correa</t>
  </si>
  <si>
    <t>Quindío Sin Fronteras</t>
  </si>
  <si>
    <t>Fortalecer  doce (12) empresas en procesos internos y externos para la apertura a mercados regionales, nacionales e internacionales</t>
  </si>
  <si>
    <t xml:space="preserve">No. </t>
  </si>
  <si>
    <t>0311 - 5 - 1 13 78 82 101 - 20</t>
  </si>
  <si>
    <t>Fortalecimiento de las empresas y gremios del departamento del Quindío</t>
  </si>
  <si>
    <t>Fortalecer el tejido empresarial para contribuir a la disminución de los niveles de informalidad, la generación de empleo y la articulación con las instituciones publico privadas del Departamento.</t>
  </si>
  <si>
    <t>Fortalecer esquemas colaborativos en los municipios del departamento.</t>
  </si>
  <si>
    <t>asistemcia a  grupos asociativos en temas organizacionales y productivos</t>
  </si>
  <si>
    <t>cps 437-467-424</t>
  </si>
  <si>
    <t>Juan José Botero Villa</t>
  </si>
  <si>
    <t>Apoyar programas de financiamiento a las mipymes</t>
  </si>
  <si>
    <t>gestión para la inversión</t>
  </si>
  <si>
    <t>Acompañar a empresas en temas de certificación en calidad</t>
  </si>
  <si>
    <t>asistencia tecnica en procesos de certificación</t>
  </si>
  <si>
    <t>Apoyar a los microempresarios del departamento con diferentes capacitaciones en temas empresariales</t>
  </si>
  <si>
    <t xml:space="preserve">capacitar a en temas realcionados con mejoramiento productivo y acceso a mercados </t>
  </si>
  <si>
    <t>Sensiblizar a los empresarios a cerca de la necesidad e importancia de la certificación</t>
  </si>
  <si>
    <t>programar y llevar a cabo jornadas de sencibilización relacionadas con la certificación en calidad</t>
  </si>
  <si>
    <t>Promover actividades que permitan el fortalecimiento de las cadenas productivas</t>
  </si>
  <si>
    <t xml:space="preserve">desarrollar cronográma de actividades y su agenda. con los actores de las cadenas productivas </t>
  </si>
  <si>
    <t>0311 - 5 - 1 13 80 84 103 - 20</t>
  </si>
  <si>
    <t xml:space="preserve"> Implementación de estrategias de exportaciones para el Departamento del Quindío</t>
  </si>
  <si>
    <t>Generar herramientas para la promoción de las exportaciones del departamento del Quindío</t>
  </si>
  <si>
    <t>Mejorar la capacidad exportadora de los empresarios</t>
  </si>
  <si>
    <t>brindar asistencia técnica basada en el acceso a mercados globales</t>
  </si>
  <si>
    <t>cps 437</t>
  </si>
  <si>
    <t>Acompañamiento técnico a los empresarios en temas de exportación</t>
  </si>
  <si>
    <t xml:space="preserve">brindar asistencia técnica </t>
  </si>
  <si>
    <t>Intercambio de conocimiento entre empresarios</t>
  </si>
  <si>
    <t>generar espacos de intercambio de experiencias y conocimientos</t>
  </si>
  <si>
    <t>Direccionamiento institucional con énfasis en exportaciones</t>
  </si>
  <si>
    <t xml:space="preserve">realizar enlaces con instituciones o entidades relacionadas con los procesos de exportación </t>
  </si>
  <si>
    <t>0311 - 5 - 3 1 2 2 10 13 56 - 20</t>
  </si>
  <si>
    <t xml:space="preserve">56. 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</si>
  <si>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</si>
  <si>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</si>
  <si>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Apoyo  a las actividades para el fortalecimiento de las empresas  en procesos internos y/o externos para apertura a mercados regionales, nacionales e internacionales</t>
  </si>
  <si>
    <t>Contrato No.713</t>
  </si>
  <si>
    <t>15/08/2016</t>
  </si>
  <si>
    <t>12/09/16</t>
  </si>
  <si>
    <t xml:space="preserve"> 31/12/2016</t>
  </si>
  <si>
    <t>20/12/16</t>
  </si>
  <si>
    <t>Convenio 037 de 2016</t>
  </si>
  <si>
    <t>15/08/2017</t>
  </si>
  <si>
    <t>Convenio 051de 2016</t>
  </si>
  <si>
    <t>contrato 1281 de 2016</t>
  </si>
  <si>
    <t>Contrato 1356 de 2016</t>
  </si>
  <si>
    <t>Constituir e implementar una agencia de inversión empresarial</t>
  </si>
  <si>
    <t>Fortalecimiento de mecanismos de inversion y de herramientas tecnologicas de servicios logisticos en el sector empresarial para su conexión a mercados globales</t>
  </si>
  <si>
    <t>Apoyo a la creacion de alianzas estrategicas para la constitucion de una agencia de inversion empresarial</t>
  </si>
  <si>
    <t>Contrato No.730</t>
  </si>
  <si>
    <t>Juan David Pachón Morales
Director Turismo, Cluster y Asociatividad</t>
  </si>
  <si>
    <t>02/09/16</t>
  </si>
  <si>
    <t>01/11/16</t>
  </si>
  <si>
    <t>Diseñar la  plataforma de servicios logísticos nacionales e internacionales tendiente a lograr del departamento un centro de articulación de occidente</t>
  </si>
  <si>
    <t>Apoyar  el  diseño de la plataforma de servicios logisticos nacionales e internacionales</t>
  </si>
  <si>
    <t>Contrato No. 782</t>
  </si>
  <si>
    <t>05/12/16</t>
  </si>
  <si>
    <t>QUINDIO POTENCIA TURISTICA DE NATURALEZA Y DIVERSION</t>
  </si>
  <si>
    <t xml:space="preserve">Fortalecimiento de la oferta de productos y atractivos turísticos </t>
  </si>
  <si>
    <t>Diseñar, crear y/o fortalecer 15 Productos turísticos para ser ofertados</t>
  </si>
  <si>
    <t>0311 - 5 - 1 14 81 87 108 - 20</t>
  </si>
  <si>
    <t>Consolidación de productos turísticos en todo el Departamento, Quindío, Occidente.</t>
  </si>
  <si>
    <t>Apoyar la consolidación de productos turísticos del departamento del Quindío</t>
  </si>
  <si>
    <t>Realizar acciones tendientes  a la consolidación de productos turísticos en el departamento del Quindío</t>
  </si>
  <si>
    <t>desarrollar estratégias para la consolidación de productos turísticos</t>
  </si>
  <si>
    <t>conv interadministrativo 015</t>
  </si>
  <si>
    <t>Rocío Acosta Jiménez</t>
  </si>
  <si>
    <t>0311 - 5 - 1 14 83 93 114 - 20</t>
  </si>
  <si>
    <t>Apoyo a actividades en las diferentes modalidades del turísmo en todo el Departamento, Quindío, Occidente.</t>
  </si>
  <si>
    <t>Apoyar actividades en las diferentes modalidades de turismo que permitan un desarrollo continuo del destino Quindío.</t>
  </si>
  <si>
    <t>Apoyar el desarrollo de actividades ambientales, culturales, recreativas, entre otras que promuevan el turismo en el departamento del Quindío</t>
  </si>
  <si>
    <t>desarrollar Campañas de publicidad y promoción</t>
  </si>
  <si>
    <t>Desarrollar procesos ambientales que contribuyan a la sostenibilidad turistica del departamento.</t>
  </si>
  <si>
    <t>desarrollar estratégias de sencibilización y sostenibiliad turística</t>
  </si>
  <si>
    <t xml:space="preserve">0311 - 5 - 3 1 2 3 11 13 59 - 20  </t>
  </si>
  <si>
    <t>Fortalecimiento de la oferta de prestadores de servicos, productos y atractivos turísticos en el Departamento del Quindío.</t>
  </si>
  <si>
    <t>Fortalecimiento del posicionamiento del departamento del Quindío como destino turistico en Colombia.</t>
  </si>
  <si>
    <t>Mejorar el nivel de fortalecimiento y diseño de nuevos productos turísticos en el departamento del Quindío.</t>
  </si>
  <si>
    <t>Diseñar y poner en marcha dos productos turisticos de naturaleza</t>
  </si>
  <si>
    <t>Contrato No. 790</t>
  </si>
  <si>
    <t>Oedinario 
Otros (Iva telefonía móvil y registro)</t>
  </si>
  <si>
    <t>Cotrato No. 684</t>
  </si>
  <si>
    <t xml:space="preserve">Oedinario 
</t>
  </si>
  <si>
    <t>Contrato No. 845</t>
  </si>
  <si>
    <t xml:space="preserve">Ordinario 
</t>
  </si>
  <si>
    <t>Adición cps 483</t>
  </si>
  <si>
    <t xml:space="preserve">  0311 - 5 - 3 1 2 3 11 13 59 - 52</t>
  </si>
  <si>
    <t>Adición convenio 043</t>
  </si>
  <si>
    <t>Otros (Iva telefonía móvil y registro)</t>
  </si>
  <si>
    <t>Mejoramiento de la competitividad del Quindío como destino turístico</t>
  </si>
  <si>
    <t>Gestionar y ejecutar (3) proyectos para mejorar la competitividad del Quindío como destino turístico</t>
  </si>
  <si>
    <t xml:space="preserve">0311 - 5 - 3 1 2 3 12 13 60 - 20 </t>
  </si>
  <si>
    <t>Apoyo a la competitividad  como destino turístico en el Departamento del Quindío.</t>
  </si>
  <si>
    <t>Mejorar el nivel de competitividad de las empresas prestadoras de servicios turisticos en el departamento del Quindio</t>
  </si>
  <si>
    <t>Mejoramiento del nivel de gestion de recursos para proyectos de competitividad del destino turistico</t>
  </si>
  <si>
    <t>Apoyo al diseño de la conformación de los cluster de Turismo de Naturaleza, MICE y Salud</t>
  </si>
  <si>
    <t>Contrato No. 743</t>
  </si>
  <si>
    <t>06/09/216</t>
  </si>
  <si>
    <t>31/12/2016</t>
  </si>
  <si>
    <t>16/12/2016</t>
  </si>
  <si>
    <t>Contrato No. 816</t>
  </si>
  <si>
    <t>12/09/2016</t>
  </si>
  <si>
    <t>20/12/2016</t>
  </si>
  <si>
    <t>Apoyo a Actualizacion del Plan Decenal de Turismo</t>
  </si>
  <si>
    <t>Contrato No. 828</t>
  </si>
  <si>
    <t>14/09/2016</t>
  </si>
  <si>
    <t>24/12/2016</t>
  </si>
  <si>
    <t>Rediseño y ajuste al programa Haciendas del Café</t>
  </si>
  <si>
    <t xml:space="preserve"> otros (IVA, Telefonia movil, registro)</t>
  </si>
  <si>
    <t>Contrato No. 827</t>
  </si>
  <si>
    <t xml:space="preserve"> 0311 - 5 - 3 1 2 3 12 13 60 - 52</t>
  </si>
  <si>
    <t>Apoyo para la capacitación en planeación, diseño y venta de productos turisticos a operadores receptivos</t>
  </si>
  <si>
    <t>Contrato No. 831</t>
  </si>
  <si>
    <t>21/12/2016</t>
  </si>
  <si>
    <t>Adición convenio 044</t>
  </si>
  <si>
    <t>Acciones de trabajo contra Informalidad, Prevención del ESCNNA y de Turismo Responsable</t>
  </si>
  <si>
    <t>Contrato No. 922</t>
  </si>
  <si>
    <t>27/09/2016</t>
  </si>
  <si>
    <t>22/12/2016</t>
  </si>
  <si>
    <t>0311 - 5 - 1 14 83 92 113 - 20</t>
  </si>
  <si>
    <t>Fortalecimiento del encadenamiento empresarial turístico todo el Departamento, Quindío, Occidente</t>
  </si>
  <si>
    <t>Fortalecer el encadenamiento de las empresas del sector turismo a través del impulso a redes empresariales, capacitaciones a los actores involucrados en la cadena productiva, elaboración del plan de turismo departamental y planes de negocios</t>
  </si>
  <si>
    <t xml:space="preserve">Apoyar a las cadenas productivas del turismo y actores involucrados </t>
  </si>
  <si>
    <t>diseñar programa de trabajo y cronogama de actividades</t>
  </si>
  <si>
    <t>cps 427</t>
  </si>
  <si>
    <t>Juan David Pachón Morales</t>
  </si>
  <si>
    <t>Capacitar y asesorar a los sectores involucrados con la cadena productiva del turismo y en la elaboración e implementación de planes de negocio</t>
  </si>
  <si>
    <t xml:space="preserve">asistencia técnica para el diseño e implementación de  planes de negocios turísticos </t>
  </si>
  <si>
    <t>Promoción nacional e internacional del departamento como destino turístico</t>
  </si>
  <si>
    <t>Construcción del Plan de Mercadeo Turístico</t>
  </si>
  <si>
    <t>0311 - 5 - 3 1 2 3 13 13 62 - 52</t>
  </si>
  <si>
    <t>Apoyo a la promoción nacional e internacional como destino  turístico del Departamento del Quindío.</t>
  </si>
  <si>
    <t>Mejorar el nivel de impacto de las acciones de "Promocion del destino turistico del departamento del Quindio"</t>
  </si>
  <si>
    <t>Incrementar el nivel de impacto de las acciones de promocion de los productos turisticos</t>
  </si>
  <si>
    <t>Diseño de material para la promocion del Quindio como destino turistico</t>
  </si>
  <si>
    <t>20-52</t>
  </si>
  <si>
    <t>Recurso Ordinario-Otros (IVA, Telefonia movil, registro)</t>
  </si>
  <si>
    <t>Contrato No. 704</t>
  </si>
  <si>
    <t>100</t>
  </si>
  <si>
    <t>31/10/2013</t>
  </si>
  <si>
    <t>Dar a conocer la oferta de productos turisticos especializados atraves de campañas en medios</t>
  </si>
  <si>
    <t xml:space="preserve">convenio de asociación </t>
  </si>
  <si>
    <t>cps 736</t>
  </si>
  <si>
    <t>Promocion de productos turisticos  en mercados nacionales e internacionales</t>
  </si>
  <si>
    <t>cps 761</t>
  </si>
  <si>
    <t>Incrementar el nivel de impacto de las acciones de mercadeo de los productos turisticos</t>
  </si>
  <si>
    <t>Apoyo para la elaboracion de la propuesta de trabajo para la construccion e implementacion del Plan de Mercadeo Turistico</t>
  </si>
  <si>
    <t>contato ps No.1232</t>
  </si>
  <si>
    <t>Carlos Alfonso Rodíguez Orozco</t>
  </si>
  <si>
    <t>Adición convenio 015 de 2016</t>
  </si>
  <si>
    <t>contato ps No. 1214</t>
  </si>
  <si>
    <t>0311 - 5 - 1 14 81 86 107 - 20</t>
  </si>
  <si>
    <t>Fortalecimiento de la promoción del destino a nivel nacional e internacional en todo El Departamento, Quindío, Occidente.</t>
  </si>
  <si>
    <t>Fortalecer la promoción del destino en el territorio nacional e internacional con el fin de aumentar el flujo de turistas que llegan al departamento en el año 2016.</t>
  </si>
  <si>
    <t xml:space="preserve">Diseñar estrategias promocionales en el territorio nacional e internacional </t>
  </si>
  <si>
    <t>diseñar estrategias de promoción turistica del destino quindío</t>
  </si>
  <si>
    <t>convenio interinstitucional 001</t>
  </si>
  <si>
    <t>Formular y ejecutar proyectos para la consecución de recursos que ayuden a la promoción nacional e internacional del Quindío</t>
  </si>
  <si>
    <t>Asistencia técnica para el diseño de proyectos</t>
  </si>
  <si>
    <t>convenio interadministrativo 015</t>
  </si>
  <si>
    <t xml:space="preserve">Ordinario </t>
  </si>
  <si>
    <t>Desarrollar estrategias promocionales en el territorio nacional e internacional</t>
  </si>
  <si>
    <t>Difusión de la oferta de productos turisticos especializados atraves de campañas en medios</t>
  </si>
  <si>
    <t>contrato de arrendamiento 013</t>
  </si>
  <si>
    <t>CARLOS ALFONSO RODRIGUEZ  OROZCO</t>
  </si>
  <si>
    <t>SECRETARIO DE TURISMO, INDUSTRIA Y COMERCIO</t>
  </si>
  <si>
    <t>&lt;</t>
  </si>
  <si>
    <t>Quindío territorio vital</t>
  </si>
  <si>
    <t>Generación de entornos favorables y sostenibilidad ambiental</t>
  </si>
  <si>
    <t xml:space="preserve">Implementar un (1)  Sistema de Gestión Ambiental Departamental SIGAD </t>
  </si>
  <si>
    <t>0312 - 5 - 3 1 1 1 1 10 64 - 20</t>
  </si>
  <si>
    <t xml:space="preserve"> Generación de entornos favorables y sostenibilidad ambiental para el Departamento del Quindío</t>
  </si>
  <si>
    <t xml:space="preserve">Mantener  de la oferta hídrica promedio anual  de las Unidades de Manejo de Cuenca (UMC) del departamento del Quindío, a través procesos de consevación y mantenimiento de las areas de protección ambiental y  apoyo insterinsticuional en el Departamento del Quindio 
</t>
  </si>
  <si>
    <t xml:space="preserve">Implementar sistemas de gestión ambiental a traves de la fomentacion de las buenas prácticas ambientales en el departamento
</t>
  </si>
  <si>
    <t>Implementar un sistema de gestión ambiental SIGAD</t>
  </si>
  <si>
    <t>8808</t>
  </si>
  <si>
    <t>CARLOS ALBERTO SOTO RAVE SECRETARIO DE AGRICULTURA, DESARROLLO RURAL Y MEDIO AMBIENTE</t>
  </si>
  <si>
    <t xml:space="preserve">Apoyar cuatro (4) planes de manejo de áreas protegidas del departamento </t>
  </si>
  <si>
    <t xml:space="preserve">Apoyar el plan departamental para la gestion integral de la biodiversidad a traves el acompañamiento de personal calificado.
</t>
  </si>
  <si>
    <t>Elaborar, revisar, capacita citar , asistencia técnica, seguimiento y evaluación de planes de manejo ambiental</t>
  </si>
  <si>
    <t xml:space="preserve">Apoyar el Plan Departamental  para la Gestión Integral de la Biodiversidad y sus Servicios Ecosistémicos PDGIB 2013-2024  </t>
  </si>
  <si>
    <t>0.9</t>
  </si>
  <si>
    <t>Apoyar los controles  de vigilancia para  el buen uso de los recursos naturales a traves del acompañamiento con los entes de control ambiental y los municipios</t>
  </si>
  <si>
    <t>Apoyar el plan departamental para la gestión integral de la biodiversidad y sus servicios ambientales</t>
  </si>
  <si>
    <t>LUZ AIDA BARACALDO GALLEGO</t>
  </si>
  <si>
    <t xml:space="preserve">Apoyar a los doce (12) municipios en las acciones de control y vigilancia de la explotación minera en coordinación con la autoridad ambiental </t>
  </si>
  <si>
    <t xml:space="preserve">Apoyar planes de manejo de areas protegidas en del departamento a traves de la socializacion de dichos planes.
</t>
  </si>
  <si>
    <t xml:space="preserve">Apoyo a los municipios en acciones de control y vigilancia de la explotación minera en coordinación con la autoridad ambiental </t>
  </si>
  <si>
    <t xml:space="preserve">Desarrollar en (5) cinco de los sectores productivos del departamento, actividades de producción más limpia y Buenas Prácticas Ambientales (BPA) </t>
  </si>
  <si>
    <t>0312 - 5 - 1 18 96 119 93 - 20</t>
  </si>
  <si>
    <t xml:space="preserve">  Diseño de buenas practicas ambientales</t>
  </si>
  <si>
    <t>Incrementar el número de programas de Buenas Prácticas Ambientales a través del apoyo y acompañamiento a instituciones  y organizaciones propias del sector</t>
  </si>
  <si>
    <t>1. Difundir y Socializar las ventajas de la implementación de Buenas Prácticas Ambientales;2. Fortalecer las capacidades de los agricultores para el buen manejo de su finca y/o  proyecto productivo;3. Articulación entre las entidades del sector para implementar proyectos de Buenas Prácticas Ambientales con el apoyo y concurso de todos los involucrado</t>
  </si>
  <si>
    <t xml:space="preserve">Componente Tecnico </t>
  </si>
  <si>
    <t>0312 - 5 - 1 18 96 120 94 - 20</t>
  </si>
  <si>
    <t xml:space="preserve">  Apoyo a acuerdos de producción limpia y sostenible, en el sector productivo del Departamento del Quindío
 </t>
  </si>
  <si>
    <t xml:space="preserve"> Los Planes de Ordenamiento Territorial cuentan con los ejes estructurantes faciltando la identificación de los impactos ambientales por los sectores productivos y sustentabilidad ambiental para el buen desarrollo de las actividades economicas.</t>
  </si>
  <si>
    <t>Concertar con los muncipios las zonas de alto riesgo y amenza con el fin de generar alternativas de manejo y mitigación
Fortalecer por medio del asesoramiento tecnico la capacidad y prearación de los equipos de planeación y planificación de los municipios
Estructura medidas de mitigación de las actividades prodcutivas que generan un alto grado de transformación de la estructura del paisaje natural.
Aplicar correctamente las medidas de planificación ambiantal generadas por la coproración autonoma regional con el fin de porteger el entorno natural generador de bienes y servicios ambientales.
Pormover la incorporación de las determinantes ambientales en los PBOT ́s y EOT ́s de los municipios del departamento.</t>
  </si>
  <si>
    <t>Componente técnico</t>
  </si>
  <si>
    <t>Manejo integral del agua y saneamiento básico</t>
  </si>
  <si>
    <t>Caracterizar los servicios ecosistémicos en seis  (6) cuencas de abastecimiento de los acueductos municipales con sus correspondientes acciones de mejoramiento</t>
  </si>
  <si>
    <t>0312 - 5 - 3 1 1 1 2 10 67 - 20</t>
  </si>
  <si>
    <t>67. Gestón integral de cuencas hirdográficas en el Departamento del Quindío</t>
  </si>
  <si>
    <t xml:space="preserve">  Mantener  de la oferta hídrica promedio anual  de las Unidades de Manejo de Cuenca (UMC) del departamento del Quindío, a través procesos de consevación y mantenimiento de las areas de proytecció ambiental y  apoyo insterinsticuional de las instacias ambientales en el Departamento del Quindio 
</t>
  </si>
  <si>
    <t>Realizar el diagnostico de los servicios eco sistémicos de las cuencas de abastecimiento, a través de la elaboración del inventario, la adquisición de bienes y suministros y la logística en el departamento del Quindío</t>
  </si>
  <si>
    <t>Caracterización de los servicios ecosistémicos en cuencas de abastecimiento de los acueductos municipales con sus correspondientes acciones de mejoramiento</t>
  </si>
  <si>
    <t>CARLOS ALBERTO SOTO RAVE  SECRETARIO DE AGRICULTURA, DESARROLLO RURAL Y MEDIO AMBIENTE</t>
  </si>
  <si>
    <t xml:space="preserve">Crear e implementar el Fondo del Agua del departamento del Quindío  </t>
  </si>
  <si>
    <t>Crear e implementar el fondo del agua, a través de la construcción del modelo de participación y la socialización respectiva en el departamento del Quindío</t>
  </si>
  <si>
    <t>CREAR E IMPLEMENTAR EL FONDO DEL AGUA DEL DEPARTAMENTO DEL QUINDIO</t>
  </si>
  <si>
    <t>Bienes y servicios ambientales para las nuevas generaciones</t>
  </si>
  <si>
    <t xml:space="preserve">Conservar y restaurar seis (6) áreas de importancia estratégica para el recurso hídrico del departamento </t>
  </si>
  <si>
    <t>0312 - 5 - 3 1 1 1 3 10 68 - 20  /  0312 - 5 - 3 1 1 1 3 10 68 - 88  /  0312 - 5 - 1 18 94 115 89 - 20</t>
  </si>
  <si>
    <t xml:space="preserve">  Aplicación de mecanismos de protección ambiental en el Departamento del Quindío.</t>
  </si>
  <si>
    <t xml:space="preserve">1, Conservar y mantener las areas de protección del recursos hídrico del departamento en 6 areas  de importancia estrategica, a través de procesos de seguimiento, control y vigilancia, adecuación   en el departamento del Quindio 
2. Realizar trabajo insterinstiucional para el fortalecimiento del desarrollo social de la instancias de protección ambiental COMEDA, SIGAD. SIRAP, SIDAP, SIMAP en el departamento 
</t>
  </si>
  <si>
    <t xml:space="preserve">Personal técnico para el control , vigilancia y seguimiento a las áreas de protección </t>
  </si>
  <si>
    <t xml:space="preserve">Adquisición de material vegetal, herramientas, equipos etc., para los procesos de consevación de las areas de protección ambiental. </t>
  </si>
  <si>
    <t>Personal para los procesos de manteniemiento y restauración de las áreas de protección Personal</t>
  </si>
  <si>
    <t>Construccion, adecuación y conservación de cuarteles para la custodia de las herramientas, material, equipos, etc., en los predios donde se encuentran las áreas de protección</t>
  </si>
  <si>
    <t>Trabajo interinstitucional para el fortalecimiento del desarrollo social de las áreas de proteccion ( SIMAP, COMEDA, SIGAP)</t>
  </si>
  <si>
    <t>Conservar para la sostenibilidad ambiental dos (2) cuencas de los municipios con declaratoria de Paisaje Cultural Cafetero PCC</t>
  </si>
  <si>
    <t>0312 - 5 - 3 1 1 1 3 10 69 - 20</t>
  </si>
  <si>
    <t xml:space="preserve">  Fortalecimiento y potencialización de los servicios eco sistémicos en el departamento del Quindío</t>
  </si>
  <si>
    <t xml:space="preserve">Mantener la oferta hídrica promedio anual  de las Unidades de Manejo de Cuenca (UMC) del departamento del Quindío, a través procesos de consevación, restauracion y capacitacion para el mantenimiento de lo servicios ecosistemicos del departamento del Quindio
</t>
  </si>
  <si>
    <t>Conservar las cuencas de los municipios con declaratoria de paisaje cultural cafetero pcc mediante la implementación de herramientas del paisaje y otras estrategias</t>
  </si>
  <si>
    <t xml:space="preserve">Diagnostico y diseño de corredores de conservación </t>
  </si>
  <si>
    <t xml:space="preserve">Personal tecnico para la conservacion de las cuencas del paisaje cultural ambiental </t>
  </si>
  <si>
    <t xml:space="preserve">Trabajo interinstitucional para el fortalecimiento del desarrollo social de las áreas de proteccion </t>
  </si>
  <si>
    <t>Desarrollar treinta y un (31) estrategias de educación ambiental  en los espacios participativos, comunitarios y educativos del departamento</t>
  </si>
  <si>
    <t>Desarrollar estrategias para fortalecer las capacidades de educación ambiental en los espacios participativos, comunitarios y educativos del departamento con inclusión de las líneas estratégicas, de cultura del agua, cambio climático, gestión de riesgo, biodiversidad y paisaje cultural cafetero pcc.</t>
  </si>
  <si>
    <t>Desarrollar estrategias para fortalecer las capacidades de educación y multiplicador ambiental en los espacios participativos</t>
  </si>
  <si>
    <t>Capacitar a doscientos cincuenta (250)   jóvenes,  mujeres, población vulnerable y con enfoque diferencial como líderes ambientales en el departamento.</t>
  </si>
  <si>
    <t xml:space="preserve">Capacitar a jovenes mujeres, población vulnerable y con enfoque diferencial como lideres en educación ambiental y en la generación de hábitos y estilos de vida saludables y sostenibles.
</t>
  </si>
  <si>
    <t>Capacitar a jóvenes, mujeres por población vulnerable y con enfoque diferencial como líderes de educación ambiental</t>
  </si>
  <si>
    <t>0312 - 5 - 1 11 73 78 87 - 20</t>
  </si>
  <si>
    <t xml:space="preserve"> Fortalecimiento a la sostenibilidad productiva y ambiental del paisaje cultural cafetero en el Departamento del Quindío.</t>
  </si>
  <si>
    <t>Avanzar en un crecimiento sustentable que logre asegurar el uso apropiado del patrimonio natural y de los bienes y servicios que de él se generan, reduciendo la vulnerabilidad a los efectos negativos de la variabilidad climática y de los efectos antrópicos sobre el ambiente.</t>
  </si>
  <si>
    <t>Conservar las cuencas de los municipios con declaratoria de Paisaje Cultural Cafetero PCC mediante la implementación de herramientas del paisaje y otras estrategias</t>
  </si>
  <si>
    <t>Componente Ambiental</t>
  </si>
  <si>
    <t>0312 - 5 - 1 19 98 126 97 - 20</t>
  </si>
  <si>
    <t xml:space="preserve">  Apoyo al manejo y gestión sustentable del paisaje Departamento del Quindío.</t>
  </si>
  <si>
    <t>Disminución del deterioro paisaje Quindiano</t>
  </si>
  <si>
    <t xml:space="preserve">Apoyo técnico y acompañamiento a los municipios en la incorporación de calidad paisajística
fomentar la legalización de las actividades de pequeña minería y pequeña empresa en el departamento
apoyar la elaboración de documento técnico que contenga la cartografía departamental de los componentes del paisaje.
</t>
  </si>
  <si>
    <t>Innovación para una caficultura sostenible en el departamento del Quindío</t>
  </si>
  <si>
    <t>Capacitar a cuatrocientos (400) caficultores del departamento en producción limpia y sostenible con producción de café con taza limpia, catación, tostión y barismo</t>
  </si>
  <si>
    <t>0312 - 5 - 3 1 2 2 4 13 72 - 20</t>
  </si>
  <si>
    <t>Mejorar la calidad de vida de las familias caficultores del departamento del Quindío, a través de la mejora de ingresos, procesos de formación y organización social, del mejoramiento de la calidad del café, con la realización de buenas prácticas agrícolas que permitan una caficultura sostenible y realizando cadenas de valor agregado que permitan resaltar el café de origen Quindío, en los mercados locales, naciones e internacionales</t>
  </si>
  <si>
    <t xml:space="preserve">Aumentar los caficultores con producción limpia y sostenible con producción de café y con taza limpia, a traves de capacitaciones 
</t>
  </si>
  <si>
    <t xml:space="preserve">Capacitacion a productores </t>
  </si>
  <si>
    <t>MARIA TERESA MENESES RAMIREZ</t>
  </si>
  <si>
    <t xml:space="preserve"> Realizar trabajo insterinstiucional para el mejoramiento de las practicas productivas sostenibles.</t>
  </si>
  <si>
    <t xml:space="preserve">Fortalecimiento institucional para el desarrollo social </t>
  </si>
  <si>
    <t>0312 - 5 - 1 11 73 77 86 - 20</t>
  </si>
  <si>
    <t xml:space="preserve"> Mejoramiento de la competitividad de la actividad cafetera, en el Departamento del Quindío.</t>
  </si>
  <si>
    <t xml:space="preserve"> Mejorar la competitvidad rural del departamento del Quindio por medio del fortalecimiento a las cadenas productivas, las lineas prodcutivas tradiconales y control fito y zoosanitario.</t>
  </si>
  <si>
    <t>Apoyar las lineas agropecuarias productivas tradicionales en el departamento.
Apoyar porgramas de buenas practicas e iniciativas fito y zoosanitarias
Acompañar y fortalecer procesos de encadenamientos productivos departamental y regional
Apoyar programas financieros directo a sectores agropecuarios de importancia estrategica
Fortalecimiento por medio del acompañamiento tecnico para el mejoramiento de la implementación de buenas practicas que permitan el buen desarrollo de las actividades productivas Optimización de los sistemas productivos por medio de la planificación, implementación de nuevas tecnologias que permitan el mejoramiento de la productividad
Propiciar la tranferencia y apropiación de tecnologia en los sectores productivos del departamento
Fortalecimiento de la planeación territorial para el desarrollo rural
Promocionar el mejoramiento de la infraestructura en el sector rural en el departamento</t>
  </si>
  <si>
    <t>Emprendimiento y empleo rural</t>
  </si>
  <si>
    <t>Apoyar la formalización de empresas en cuatro (4)  sectores productivos agropecuarios del Departamento</t>
  </si>
  <si>
    <t>0312 - 5 - 3 1 2 2 6 13 75 - 20  /  0312 - 5 - 3 1 2 2 6 13 75 - 88</t>
  </si>
  <si>
    <t xml:space="preserve"> Generar las  condiciones para aumentar  crecimiento del PIB del departamento  del Quindio a frente al PIB Nacional </t>
  </si>
  <si>
    <t xml:space="preserve"> 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</si>
  <si>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a la formulación de empresas en los sectores productivos sgropecuarios del Departamento</t>
  </si>
  <si>
    <t>ANA MARIA CARDONA VALDEZ</t>
  </si>
  <si>
    <t>Generar un apalancamiento a 100  iniciativas productivas rurales</t>
  </si>
  <si>
    <r>
      <t xml:space="preserve"> Realizar apálacamiento a las iniciativas productivas rurales, a través  de  procesos de acompañamiento  a la consolidación de  ideas de negocio e  implementación de garantias complementarias para el facilitar el acceso a la diferentes fuentes financiación </t>
    </r>
    <r>
      <rPr>
        <sz val="11"/>
        <color indexed="8"/>
        <rFont val="Arial"/>
        <family val="2"/>
      </rPr>
      <t xml:space="preserve">con el fin de contribuir a generar condiciones para  aumentar   producto interno bruto  el departamento   durante la vigencia 2016 </t>
    </r>
  </si>
  <si>
    <t>Apalancamiento  a iniciativas producctivas rurales: identificación, análisis y viabilización de proyectos</t>
  </si>
  <si>
    <t xml:space="preserve">Capacitar mil doscientos (1200)  jóvenes y mujeres rurales en actividades agrícolas y no agrícolas </t>
  </si>
  <si>
    <t>Acompañamiento financiero  y fortalecimiento de la iniciativa a emprender  y apoyo a ideas de negocios</t>
  </si>
  <si>
    <t>Beneficiar a  dos mil cuatrocientas  (2400) mujeres rurales campesinas, personas en condición de vulnerabilidad y con enfoque diferencial en formación para el trabajo y el desarrollo humano</t>
  </si>
  <si>
    <r>
      <t xml:space="preserve">Capacitar a jóvenes y mujeres en actividadeas agricolas y no agricolas con procesois de seguimiento y evaluación  en la generación de ideas y/o consolidación de negocios </t>
    </r>
    <r>
      <rPr>
        <sz val="11"/>
        <color indexed="8"/>
        <rFont val="Arial"/>
        <family val="2"/>
      </rPr>
      <t xml:space="preserve">con el fin de contribuir a generar condiciones para  aumentar   producto interno bruto  el departamento   durante la vigencia 2016 </t>
    </r>
  </si>
  <si>
    <t>Capacitación a jóvenes y mujeres rurales en actividades agrícolas y no agrícolas . Formación para el trabajo y desarrollo Humano</t>
  </si>
  <si>
    <t>0312 - 5 - 1 11 72 73 82 - 20</t>
  </si>
  <si>
    <t>Fortalecimiento de la Planeación Territorial en el Desarrollo Rural en el Departamento del Quindío</t>
  </si>
  <si>
    <t>Implementar Instrumentos de planificación desarrollados para la promoción del desarrollo rural en el departamento aplicandolos de forma eficaz en los municipios para lograr la consolidación de esquemas competitivos de producción sostenible.</t>
  </si>
  <si>
    <t>Fomentar la adopción del plan Estratégico de Desarrollo Rural por los municipios y la reactivación de los CMDRs y el CONSEA Mantenimiento y actualización de lal información del EVA/SIG de los municipios del Departamento</t>
  </si>
  <si>
    <t>Impulso a la competitividad productiva y empresarial del sector Rural</t>
  </si>
  <si>
    <t>Apoyar (5) cinco sectores productivos del Departamento en ruedas de negocio</t>
  </si>
  <si>
    <t xml:space="preserve"> 0312 - 5 - 3 1 2 2 7 13 78 - 88/ 0312 - 5 - 3 1 2 2 7 13 78 - 20</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</si>
  <si>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</si>
  <si>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 xml:space="preserve"> IMPULSAR LA COMPETITIVIDAD PRODUCTIVA Y EMPRESARIAL DEL SECTOR RURAL, APOYANDO SECTORES PRODUCTIVOS DEL DEPARTAMENTO EN RUEDAS DE NEGOCIO</t>
  </si>
  <si>
    <t>identificacion de actores a capacitar y logistica del evento</t>
  </si>
  <si>
    <t>88/ 20</t>
  </si>
  <si>
    <t xml:space="preserve">04/10/2016
</t>
  </si>
  <si>
    <t>Realizar (3) tres eventos  de capacitación para acceder a mercados internacionales</t>
  </si>
  <si>
    <t>Capacitar al sector empresarial rural para el acceso a mercados internacionales.</t>
  </si>
  <si>
    <t>Identificacion y vinculacion de actores y logistica para las ruedas de negocio</t>
  </si>
  <si>
    <t>0312 - 5 - 1 11 72 74 83 - 20  /  0312 - 5 - 1 11 72 74 83 - 88</t>
  </si>
  <si>
    <t xml:space="preserve"> Mejoramiento de la Competitividad Rural en el Departamento del Quindio</t>
  </si>
  <si>
    <t>Apoyar las lineas agrpecuarias productivas tradicionales en el departamento.
Apoyar porgramas de buenas practicas e iniciativas fito y zoosanitarias
Acompañar y fortalecer procesos de encadenamientos productivos departamental y regional
Apoyar programas financieros directo a sectores agropecuarios de importancia estrategica
Fortalecimiento por medio del acompañamiento tecnico para el mejoramiento de la implementación de buenas practicas que permitan el buen desarrollo de las actividades productivas Optimización de los sistemas productivos por medio de la planificación, implementación de nuevas tecnologias que permitan el mejoramiento de la productividad
Propiciar la tranferencia y apropiación de tecnologia en los sectores productivos del departamento
Fortalecimiento de la planeación territorial para el desarrollo rural
Promocionar el mejoramiento de la infraestructura en el sector rural en el departamento</t>
  </si>
  <si>
    <t>20-88</t>
  </si>
  <si>
    <t>20 -  88</t>
  </si>
  <si>
    <t xml:space="preserve"> 0312 - 5 - 1 11 72 75 84 - 20</t>
  </si>
  <si>
    <t>Mejoramiento de la producción agropecuaria sostenible, en el Departamento del Quindío.</t>
  </si>
  <si>
    <t>Fomento a la Agricultura Familiar Campesina, agricultura urbana y mercados campesinos para la soberanía y  Seguridad alimentaria</t>
  </si>
  <si>
    <t>Diseñar e implementar un (1) programa de agricultura familiar campesina</t>
  </si>
  <si>
    <t>0312 - 5 - 3 1 3 11 34 8 79 - 20</t>
  </si>
  <si>
    <t xml:space="preserve">AUMENTAR LA PRODUCCION DE FRUTAS Y VERDURAS PARA EL AUTOCONSUMO DEL DEPARTAMENTO DEL QUINDIO A TRAVEZ DE LA IMPLEMENTACION DE UN SISTEMA DE PARCELAS CAMPESINAS Y COMERCIO DE EXCEDENTES
</t>
  </si>
  <si>
    <t xml:space="preserve"> DISEÑAR E IMPLEMENTAR EL PROGRAMA DE AGRICULTURA FAMILIAR CAMPESINA PARA FORTALECER LA CANASTA FAMILIAR CON PRODUCTOS COMO FUTAS Y VERDURAS QUE ESTAN SIENDO IMPORTADA DE OTROS DEPARTAMENTOS</t>
  </si>
  <si>
    <t xml:space="preserve">Diseñar e implementar el programa de agricultura familiar campesina </t>
  </si>
  <si>
    <t>CARLOS ALBERTO GÓMEZ CHACÓN SECRETARIO DE AGRICULTURA, DESARROLLO RURAL Y MEDIO AMBIENTE</t>
  </si>
  <si>
    <t>Comprar los insumos agrícolas y pecuarios para la implementación de las parcelas campesinas, las que contribuiran a la produccion necesaria para suplir el deficit alimentario.</t>
  </si>
  <si>
    <t xml:space="preserve">Compra de insumos agrícolas y pecuarios para la implementación de las parcelas </t>
  </si>
  <si>
    <t>Elaborar y distribuir Plegables ilustrativos en el sistema de manejo de la parcela agropecuaria y alternativas de preparación de dietas alimenticias nutritivas balanceadas</t>
  </si>
  <si>
    <t>Impresión de plegables ilusssstrativo en el manejo  de la parcela agropecuaria y alternativas de preparación  de aolimentos nutritivos y balanceados</t>
  </si>
  <si>
    <t>Apoyar la conformación de cuatro (4) alianzas para contratos de compra anticipada de productos de la agricultura familiar en el departamento del Quindío</t>
  </si>
  <si>
    <t xml:space="preserve">Conformación de alianzas productivas agropecuaria </t>
  </si>
  <si>
    <t>Beneficiar a 2400 familias urbanas y periurbanas con parcelas de agricultura familiar para autoconsumo y comercio de excedentes</t>
  </si>
  <si>
    <t>0312 - 5 - 1 11 72 76 85 - 20</t>
  </si>
  <si>
    <t xml:space="preserve">  Fortalecimiento a programas de seguridad alimentaria en el Departamento del Quindío.</t>
  </si>
  <si>
    <t xml:space="preserve"> Aumentar la capacidad de produccion y adquisicion de alimentos sanos e inocuos de la poblacion Quindiana que presenta altos grados de vulnerabilidad.</t>
  </si>
  <si>
    <t>Apoyar proyectos productivos con énfasis en seguridad alimentaria, dirigidos a grupos poblacionales vulnerables.
Promover la cultura en la produccion de alimentos para autoconsumo en la zona rural y urbana del Departamento del Quindio
Incrementar el numero de convenios en ejecuciòn para consecuciòn y/o suministro de propagaciòn de los productos agropecuarios considerados dentro de los proyectos de seguridad alimentaria.
Mediante proyectos y/o programas de seguridad alimentaria mejorara las condiciones de vida de la poblaciòn que se encuentran en condiciones vulnerables. Realizar asistencia técnica a proyectos de mejora en centros de abastecimiento urbano municipales</t>
  </si>
  <si>
    <t>CARLOS ALBERTO SOTO RAVE</t>
  </si>
  <si>
    <t xml:space="preserve"> SECRETARIO DE AGRICULTURA, DESARROLLO RURAL Y MEDIO AMBIENTE</t>
  </si>
  <si>
    <t>FERNANDO BAENA VILLAREAL</t>
  </si>
  <si>
    <t>INSTITUTO DEPARTAMENTAL DE TRANSITO</t>
  </si>
  <si>
    <t>Infraestructura Sostenible para la Paz</t>
  </si>
  <si>
    <t>Apoyar la construcción y  el mejoramiento de mil (1000) viviendas urbana y rural priorizada en el Departamento del Quindío.</t>
  </si>
  <si>
    <t>Apoyo en la formulación y ejecución de proyectos de vivienda, infraestructura y equipamientos colectivos y comunitarios</t>
  </si>
  <si>
    <t xml:space="preserve">Disminuir el porcentaje de personas en situación de pobreza en el Departamento del Quindio.
</t>
  </si>
  <si>
    <t>Aumento de la cobertura  en los componentes de vivienda, infraestructura y equipamiento colectivo y comunitarioAumento de la cobertura  en los componentes de vivienda, infraestructura y equipamiento colectivo y comunitario.</t>
  </si>
  <si>
    <t>Construcción y/o mejoramiento de Vivienda (obras sanitarias)</t>
  </si>
  <si>
    <t>EPD</t>
  </si>
  <si>
    <t>55583</t>
  </si>
  <si>
    <t>EPD
IR</t>
  </si>
  <si>
    <t xml:space="preserve">HERNAN MAURICIO CAÑAS PIEDRAHITA
JULIAN DAVID OSPINA LONDOÑO
NAZLY NATHALY SALAZAR HEYNE
VANESA FONSECA VEGA
LAURA JULIANA TORO LOPEZ
JUAN VICENTE URIBE MELENDEZ
EDUARDO MUÑOZ SIERRA
</t>
  </si>
  <si>
    <t>HERNAN MAURICIO CAÑAS PIEDRAHITA - GERENTE PROMOTORA DE VIVIENDA Y DESARROLLO DEL QUINDIO</t>
  </si>
  <si>
    <t>IR</t>
  </si>
  <si>
    <t xml:space="preserve">Desarrollo de Programas y Proyectos, en los componentes de vivienda, infraestructura, equipamiento colectivo y comunitario.
</t>
  </si>
  <si>
    <t>Construcción, mejoramiento y/o rehabilitación de escenarios deportivos y/o recreativos</t>
  </si>
  <si>
    <t>Mejoramiento y rehabilitación la Infraestructura educativa</t>
  </si>
  <si>
    <t>Construcción y/o mantenimiento de equipamientos públicos y colectivos</t>
  </si>
  <si>
    <t xml:space="preserve">Mejoramiento y/o rehabilitación de vías en el Departamento </t>
  </si>
  <si>
    <t>TOTAL</t>
  </si>
  <si>
    <t>HERNAN MAURICIO CAÑAS PIEDRAHITA</t>
  </si>
  <si>
    <t xml:space="preserve"> GERENTE PROMOTORA DE VIVIENDA Y DESARROLLO DEL QUINDIO</t>
  </si>
  <si>
    <t xml:space="preserve">Ordinario -Transferencia de la Nación </t>
  </si>
  <si>
    <t>Recurso destinado del Monopolio Ordinario</t>
  </si>
  <si>
    <t>ADALBERT ESPAÑA.
ARLES LOPEZ ESPINOSA
ALVARO BETANCURT.
MARIA AMPARO LONDOÑO - MARIA EUGENIA RIVERA C.</t>
  </si>
  <si>
    <t>Monopolio- SGP</t>
  </si>
  <si>
    <t>Arles Lopez Esponosa</t>
  </si>
  <si>
    <t>LEONARDO MORALES</t>
  </si>
  <si>
    <t>Ordinario-SGP</t>
  </si>
  <si>
    <t xml:space="preserve">DIANA PATRICIA GARCIA - GLORIA CASTRO </t>
  </si>
  <si>
    <t>JANET ARIAS</t>
  </si>
  <si>
    <t>Sgp</t>
  </si>
  <si>
    <t>Javier Garcia Sepulveda</t>
  </si>
  <si>
    <t>Ordinario}</t>
  </si>
  <si>
    <t>META PRODUCTO PLAN DE DESARROLLO</t>
  </si>
  <si>
    <t>META FISICA 2016</t>
  </si>
  <si>
    <t xml:space="preserve">NOMBRE DEL PROYECTO </t>
  </si>
  <si>
    <t xml:space="preserve">VALOR META </t>
  </si>
  <si>
    <t>VALOR ACTIVIDADES</t>
  </si>
  <si>
    <t>18-62</t>
  </si>
  <si>
    <t>Apoyo al deporte asociado</t>
  </si>
  <si>
    <t xml:space="preserve"> Ligas deportivas del departamento del Quindío</t>
  </si>
  <si>
    <t xml:space="preserve">Apoyar  y fortalecer veintitrés (23) ligas deportivas   </t>
  </si>
  <si>
    <t>0344332068-12</t>
  </si>
  <si>
    <t>Apoyo al deporte asociado en el Departamento del Quindio</t>
  </si>
  <si>
    <t xml:space="preserve">Apoyar  a los deportistas convencionales y no convencionales de reserva y altos logros para el posesionamiento del deporte a nivel  nacional e internacional departamento del Quindío  </t>
  </si>
  <si>
    <t xml:space="preserve">Ejecutar  acciones que fortalezcan el area administrativa y tecnica de los  clubes y ligas . .deportivas </t>
  </si>
  <si>
    <t xml:space="preserve">Realizar acompañamiento y asesoria a las Ligas y clubes del Departamento </t>
  </si>
  <si>
    <t>WILMAN MACIAS  Q- IVAN DARIO CASTAÑEDA</t>
  </si>
  <si>
    <t>OLGA LUCIA FERNANDEZ CARDENAS - GERENTE INDEPORTES</t>
  </si>
  <si>
    <t>apoyar  a veinte  (20) deportistas en nivel de talento, de proyección y de altos logros con el programa de incentivos económicos a deportistas.</t>
  </si>
  <si>
    <t xml:space="preserve"> 0344332068-3</t>
  </si>
  <si>
    <t>Generar estrategias que descentralicen los organos deportivos del Departamento</t>
  </si>
  <si>
    <t xml:space="preserve">Apoyo a Deportistas de altos Logros y Reserva Deportiva </t>
  </si>
  <si>
    <t>044338143-12</t>
  </si>
  <si>
    <t>Apoyo al rescate del deporte asociado orientado a altos logros en el Departamento del Quindío.</t>
  </si>
  <si>
    <t>Garantizar el desarrollo del deporte asociado, con miras a mejorar los resultados en las competencias de ciclo olímpico y juegos nacionales de 2016, brindando asesoría técnico científica a las ligas departamentales, priorizando inversión de recursos en la participación digna del Quindío, gestionando recursos para organismos con intención de organizarse y proyectar sus deportistas al mediano y largo plazo , así como generar programas de incentivos y asistencia al desarrollo masivo del deporte escolar como base del deporte asociado.</t>
  </si>
  <si>
    <t>Posicionar al departamento en los resultados de ciclo olímpico partiendo desde la base.</t>
  </si>
  <si>
    <t>044338143-3</t>
  </si>
  <si>
    <t>Apoyo a las Ligas Deportivas en el Departamento Quindío.</t>
  </si>
  <si>
    <t>044339144-12</t>
  </si>
  <si>
    <t>Apoyo a las ligas con capacidades especiales en el Departamento del Quindío.</t>
  </si>
  <si>
    <t>Apoyar organizaciones de base comunitario y deporte asociado.</t>
  </si>
  <si>
    <t>Apoyo a eventos deportivos</t>
  </si>
  <si>
    <t>Apoyar trece (13)  ligas en   los eventos deportivos de carácter federado  nacional y departamental.</t>
  </si>
  <si>
    <t>0344332969-3</t>
  </si>
  <si>
    <t>Apoyar  a los deportistas convencionales y no convencionales de reserva y altos logros para el posesionamiento del deporte a nivel  nacional e internacional departamento del  Quindio</t>
  </si>
  <si>
    <t>Generar estrategias que descentralicen los organos deportivos del Departamento|</t>
  </si>
  <si>
    <t xml:space="preserve">OLGA LUCIA FERNANDEZ CARDENAS - GERENTE INDEPORTES </t>
  </si>
  <si>
    <t xml:space="preserve"> Juegos intercolegiados </t>
  </si>
  <si>
    <t>Desarrollar cuatro (4) juegos Intercolegiados  en sus diferentes fases.</t>
  </si>
  <si>
    <t>Apoyo a los juegos intercolegiados en el Deparrtamento del Quindìo</t>
  </si>
  <si>
    <t>Desarrollar un (1) juegos Intercolegiados  en sus diferentes fases.</t>
  </si>
  <si>
    <t>0344332070-3</t>
  </si>
  <si>
    <t>044337142-3</t>
  </si>
  <si>
    <t>Generar espacios de sana competencia a las Instituciones Educativas para el reconocimiento deportivo de los niños y niñas del Departamento del Quindio</t>
  </si>
  <si>
    <t xml:space="preserve">Creacion de espacios de formacion y competencia deportiva escolar </t>
  </si>
  <si>
    <t>GLORIA INES HERRERA FRANCO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</si>
  <si>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</si>
  <si>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</si>
  <si>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0344332071-3</t>
  </si>
  <si>
    <t xml:space="preserve">Apoyar la creacion de  espacios de formacion y maxificacion deportiva  en el Departamento del Quindio  </t>
  </si>
  <si>
    <t xml:space="preserve">Fortalecer los Municipios y Ligas Deportivas en la creacion y Desarrollo de Escuelas Deportivas y Desarrollo Eventos </t>
  </si>
  <si>
    <t xml:space="preserve">Asesorar  los doce (12) municipios del departamento del Quindío </t>
  </si>
  <si>
    <t>Promover el aprovechamiento del tiempo libre mediante la  práctica  del  deporte formativo para el   desarrollo  físico  e  integración de la comunidad .</t>
  </si>
  <si>
    <t>Realizacion de un evento de deporte social y comunitario.</t>
  </si>
  <si>
    <t>Apoyar  técnicamente un 1  evento de  Juegos Comunales en la fase Departamental</t>
  </si>
  <si>
    <t xml:space="preserve"> Apoyar  eventos y torneos deportivos y recreativos, que promuevan la sana competencia en la comunidad</t>
  </si>
  <si>
    <t xml:space="preserve">Apoyar un evento de  Juegos Comunales </t>
  </si>
  <si>
    <t xml:space="preserve"> Si Recreación y actividad física para ti</t>
  </si>
  <si>
    <t>Recreación,  para el Bien Común</t>
  </si>
  <si>
    <t>Apoyar de forma articulada el desarrollo del programa (1) "Campamentos Juveniles"</t>
  </si>
  <si>
    <t>0345332172-3</t>
  </si>
  <si>
    <t xml:space="preserve"> Apoyo a la Recreación,  para el Bien Común en el Departamento del Quindío</t>
  </si>
  <si>
    <t>Generar alternativas  que  permitan el buen uso del  del  tiempo libre  de los  diferentes grupos poblacionales (primera infancia, infancia, adolescencia, juventud, personas mayores y personas discapacitadas) que habitan en el Departamento del Quindio .</t>
  </si>
  <si>
    <t>Generar espacios de ocio y recreación, tendientes a la ocupación del tiempo libre y al fomento de valores y normas para que nuestros niños y jóvenes se desempañen mejor dentro de la sociedad</t>
  </si>
  <si>
    <t>Apoyo tecnico y logistico campamento juveniles</t>
  </si>
  <si>
    <t>MANUEL ANTONIO RODRIGUEZ Q</t>
  </si>
  <si>
    <t>Apoyar de forma articulada el programa nuevo comienzo "Otro Motivo para Vivir" (1).</t>
  </si>
  <si>
    <t>Apoyo tecnico y logistico nuevo comienzo</t>
  </si>
  <si>
    <t>Crear y desarrollar una estrategia para articular la actividad recreativa social comunitaria desde la primera infancia hasta las personas mayores.</t>
  </si>
  <si>
    <t xml:space="preserve">Afianzar valores a través de  actividades recreativas, ecológicas, culturales y deportivas. </t>
  </si>
  <si>
    <t>Apoyo tecnico y logistico primera infancia hasta el adulto mayor.</t>
  </si>
  <si>
    <t>0444410145-3</t>
  </si>
  <si>
    <t>Apoyo a la recreación base social en el Departamento del Quindío.</t>
  </si>
  <si>
    <t>Promover la educación ciudadana y juegos de roles desde la institución educativa y la familia, a partir de los diferentes ciclos vitales y grupos poblacionales priorizados por nivel de vulnerabilidad y enfoque diferencial, generando alternativas de inclusión social mediante el deporte y la recreación.</t>
  </si>
  <si>
    <t>Garantizar el desarrollo del deporte asociado, con miras a mejorar los resultados en las competencias de ciclo olímpico y juegos nacionales de 2016, brindando asesoría técnico científica a las ligas departamentales, priorizando inversión de recursos en la participación digna del Quindío, gestionando recursos para organismos con intención de organizarse y proyectar sus deportistas al mediano y largo plazo , así como generar programas de incentivos y asistencia al desarrollo masivo del deporte escolar como base del deporte asociado</t>
  </si>
  <si>
    <t> Apoyar la promoción del deporte y la recreación y su reconocimiento.</t>
  </si>
  <si>
    <t xml:space="preserve"> Actividad física, hábitos y estilos de vida saludables</t>
  </si>
  <si>
    <t xml:space="preserve">implementar un (1) programa que permita ejecutar proyectos  de actividad física para la promoción de hábitos y estilos de vida saludables </t>
  </si>
  <si>
    <t>0345332173-12</t>
  </si>
  <si>
    <t>Apoyo al Programa de actividad fìsica, hàbitos y estilos de vida saludables "Palpita Quindìo, por un Quindìo saludable"</t>
  </si>
  <si>
    <t>Falta de  implementacion de programas en actividad fisica en el departamento del Quindio</t>
  </si>
  <si>
    <t xml:space="preserve">Estructurar y fortalecer redes  de actividad física en los municipios, que promuevan y fomenten cambios en los hábitos de movilidad de las comunidades. </t>
  </si>
  <si>
    <t>MANUEL ANTONIO RODRIGUEZ QUINTERO</t>
  </si>
  <si>
    <t>Deporte, recreación, actividad fisica en los municipios del departamento del Quindío</t>
  </si>
  <si>
    <t xml:space="preserve"> Implementación y apoyo a los proyectos deportivos, recreativos y de actividad fisica en los municipios del Departamento del Quindío</t>
  </si>
  <si>
    <t>Apoyar doce (12) municipios en proyectos deportivos, recreactivos y de actividad fisica</t>
  </si>
  <si>
    <t>Apoyo a proyectos deportivos, recreativos y de actividad fisica, en el Departamento del Quindìo</t>
  </si>
  <si>
    <t xml:space="preserve"> Acompañar los Municipios del Departamento del Quindio en  la priorizacion y  ejecucion de los recursos correspondientes a  IVA a la telefonia Movil.</t>
  </si>
  <si>
    <t xml:space="preserve">Asesorar  y hacer seguimiento a los Municipios del Departamento del Quindio  en los procesos de  implementacion de </t>
  </si>
  <si>
    <t>SANDRA YELITZA CASTELBLANCO CELIS</t>
  </si>
  <si>
    <t>Apoyo a los JUEGOS INTERCOLEGIADOS y eventos deportivos en el Departamento del Quindío.</t>
  </si>
  <si>
    <t>Desarrollar  4 eventos de deporte social y comunitario.</t>
  </si>
  <si>
    <t xml:space="preserve"> Apoyo al Deporte formativo, deporte social comunitario y juegos  tradicionales en el Departamento del Quindío</t>
  </si>
  <si>
    <t>SECRETARIA ADMINISTRATIVA</t>
  </si>
  <si>
    <t>3.1.2-3.1.3</t>
  </si>
  <si>
    <t>3.1.1</t>
  </si>
  <si>
    <t xml:space="preserve">Garantizar el transporte escolar a los niños, niñas, jóvenes y adolescentes de la zona rural de los 11 municipios no certificados del Departamento del Quindío para disminuir las distancias de desplazamiento </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</si>
  <si>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</si>
  <si>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</si>
  <si>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</si>
  <si>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</si>
  <si>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Implementación de un modelo de atenciòn integral a niños y niñas en entornos protectores en el Departamento del Quindìo</t>
  </si>
  <si>
    <t>Promover la atención integral  de los niños, niñas, madres gestantes,  sus familias y cuidadores</t>
  </si>
  <si>
    <t>Implementar un modelo intersectorial  de atención  integral  y entornos protectores (hogar,  educativo, salud, espacio público e institucionales) ,  que permita garantizar  los derechos de  la primera infancia y   madres gestantes, y brindar apoyo a los cuidadores  y la familia de la población objetivo.</t>
  </si>
  <si>
    <t xml:space="preserve">Apoyar acciones que conlleven a garantizar la atención integral a la primera infancia, así como promover factores protectores  en las familias con niños y niñas en primera infancia </t>
  </si>
  <si>
    <t>NATALIA  ALVAREZ</t>
  </si>
  <si>
    <t>LILIANA JARAMILLO CARDENAS
         SECRETARIO DE FAMILIA</t>
  </si>
  <si>
    <t>Implementar rutas de protección integral de niños y niñas (0-5 años),  encaminadas a lograr la  protección integral y promover su desarrollo</t>
  </si>
  <si>
    <t>Logistica operativa (Transporte y refrigerios)</t>
  </si>
  <si>
    <t>Apoyar la creación y/o implementación de Rutas integrales de Atención a la primera infancia.</t>
  </si>
  <si>
    <t>Numero de rutas integrales de atención  a al a primera infancia implementadas y/o creadas</t>
  </si>
  <si>
    <t>Creación y puesta en marcha  de un programa de atención integral a la primera infancia que contenga las rutas integrales de atención</t>
  </si>
  <si>
    <t>Campañas publicitarias de prevención y atención</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</si>
  <si>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</si>
  <si>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</si>
  <si>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</si>
  <si>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</si>
  <si>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</si>
  <si>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 xml:space="preserve"> Formulación e implementación de  la politica pública  de la familia en el departamento del Quindio</t>
  </si>
  <si>
    <t>Promover los derechos de los integrantes de la familia, como núcleo fundamental de la sociedad Quindiana, alrededor de ambientes de protección, autocuidado y atención integral forjando seres al servicios de la sociedad</t>
  </si>
  <si>
    <t>Formular e implementar la política pública departamental de familia  de forma concertada con  la comunidad,  buscando  garantizar los derechos de la población en el ámbito familiar a través de la promoción  de entornos protectores, pautas de crianza y cultura de paz.</t>
  </si>
  <si>
    <t>Cumplimiento de la fase preliminar de formulacion de la politica puiblica de  familia</t>
  </si>
  <si>
    <t>Implementación de programas dirigidos al rescate de los valores éticos y morales, que generen proyectos de vida en las familias quindianas</t>
  </si>
  <si>
    <t>Logística Operativa</t>
  </si>
  <si>
    <t>Campañas publicitarias de difusión y atención a las familias</t>
  </si>
  <si>
    <t>0316 - 5 - 1 9 70 69 51 - 20</t>
  </si>
  <si>
    <t>Apoyo y fortalecimiento con los programas del centro de atención integral a las familias del Departamento del Quindío.</t>
  </si>
  <si>
    <t>Apoyo Institucional</t>
  </si>
  <si>
    <t>GLORIA CRISTINA ZULETA R</t>
  </si>
  <si>
    <t xml:space="preserve">Adquisición de Bienes y Servicios </t>
  </si>
  <si>
    <t xml:space="preserve">Quindío departamento de derechos  de niñas, niños y adolescentes </t>
  </si>
  <si>
    <t>Implementar la política pública de primera infancia, infancia y adolescencia</t>
  </si>
  <si>
    <t>Política publica de primera infancia, infancia y adolescencia implementada</t>
  </si>
  <si>
    <t>0316 - 5 - 1 9 64 63 45 - 20</t>
  </si>
  <si>
    <t>Divulgación de la política pública de infancia adolescencia en el Quindío.</t>
  </si>
  <si>
    <t>Implementar  la política pública de primera infancia, infancia y adolescencia del Departamento, buscando la garantía de derechos (salud, educación, deporte, recreación, cultura, participación y otros) en entornos protectores .</t>
  </si>
  <si>
    <t>0316 - 5 - 1 9 64 59 41 - 20</t>
  </si>
  <si>
    <t>Asistencia y participación de niños, niñas y adolescentes en los  Consejos de Política Social en todo el Departamento del Quindío.</t>
  </si>
  <si>
    <t>Implementar  una estrategia de prevención y atención de embarazos y segundos embarazos a temprana edad.</t>
  </si>
  <si>
    <t>Estrategia de prevención  y atención de embarazos a temprana edad implementada</t>
  </si>
  <si>
    <t>0316 - 5 - 1 9 64 60 42 - 20</t>
  </si>
  <si>
    <t>Apoyo en la Prevención, disminución del maltrato y abuso sexual en niños, niñas y adolescentes en el Departamento del Quindío.</t>
  </si>
  <si>
    <t>15/03/20016</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</si>
  <si>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</si>
  <si>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</si>
  <si>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0316 - 5 - 1 9 64 61 43 - 20</t>
  </si>
  <si>
    <t>Apoyo a la disminución de niños, niñas y adolescentes entre 0 y 17 años explotados laboral y sexualmente en el Departamento del Quindío.</t>
  </si>
  <si>
    <t xml:space="preserve">Campañas, Publicidad y Promoción </t>
  </si>
  <si>
    <t>MONICA MURILLO ARIAS</t>
  </si>
  <si>
    <t>0316 - 5 - 3 1 3 17 59 14 109 - 20</t>
  </si>
  <si>
    <t>Implementación de la  política de primera infancia, infancia y adolescencia en el Departamento del Quindio</t>
  </si>
  <si>
    <t xml:space="preserve">Seguimiento, monitoreo y evaluación de la implementación   de la   política publica que garantice los derechos de los niños, niñas y adolescentes del depto. Del Quindío </t>
  </si>
  <si>
    <t>GLORIA CRISTINA ZULETA R
LILIANA JARAMILLO CARDENAS
NATALIA ALVAREZ RUALES</t>
  </si>
  <si>
    <t>Garantizar los derechos de los niños, niñas y adolescentes y el restablecimiento de ellos en el depto. Del Quindío</t>
  </si>
  <si>
    <t>Implementar la estrategia de prevención y atención de embarazos a temprana edad y segundos embarazos, con el fin de controlar el número de embarazos en menores de edad  en el departamento del Quindío</t>
  </si>
  <si>
    <r>
      <t>Implementar</t>
    </r>
    <r>
      <rPr>
        <sz val="11"/>
        <color indexed="10"/>
        <rFont val="Arial"/>
        <family val="2"/>
      </rPr>
      <t xml:space="preserve"> </t>
    </r>
    <r>
      <rPr>
        <sz val="11"/>
        <color indexed="8"/>
        <rFont val="Arial"/>
        <family val="2"/>
      </rPr>
      <t>estrategias  de prevención y atención en erradicación del abuso, explotación sexual, comercial, actividades delictivas,  trabajo infantil  y peores formas de trabajo  (esclavitud, trata de personas, reclutamiento forzoso, explotación sexual comercial y demás) ,  con el fin de disminuir la vulnerabilidad de la población en riesgo social y brindar garantías en el cumplimiento de los derechos de los niños, niñas y adolescentes.</t>
    </r>
  </si>
  <si>
    <t>Apoyar la Implementacion de  una  estrategia  de prevención y atención de la erradicación del abuso, explotación sexual comercial, trabajo infantil y peores formas de trabajo, y actividades delictivas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</si>
  <si>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</si>
  <si>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</si>
  <si>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</si>
  <si>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</si>
  <si>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Desarrollar de acciones encaminadas a la atención integral  de los adolescentes y jóvenes del Departamento del Quindio</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</si>
  <si>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</si>
  <si>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Creación  y reglamentación del Comité Departamental de implementación de la política pública de juventud </t>
  </si>
  <si>
    <t xml:space="preserve">MONICA MURILLO ARIAS
</t>
  </si>
  <si>
    <t>Implementar  dos (2) estrategias de prevención para adolescentes y jóvenes en riesgo social y/o vinculados a la Ley de responsabilidad  penal</t>
  </si>
  <si>
    <t>Número  de estrategias  de prevención  para adolescentes y jóvenes implementadas</t>
  </si>
  <si>
    <t>Implementar  estrategias de prevención para adolescentes y jóvenes en riesgo social y/o vinculados a la  Ley de responsabilidad  penal, coadyuvando en el mejoramiento de  la calidad de vida del individuo, la  familia y  la comunidad.</t>
  </si>
  <si>
    <t>Apoyo en la generación de estrategias de articulación y gestión para la atención integral de los jóvenes, incluyendo los sectores y actores</t>
  </si>
  <si>
    <t>Realización y difusión de la Oferta Instiucional, generación del conocimiento</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</si>
  <si>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</si>
  <si>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</si>
  <si>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sensibilizar  la población frente  a  los daños colaterales generados por  el consumo.</t>
  </si>
  <si>
    <t>Articulación  interinstitucional e intersectorial y  personal competente para generar procesos de intervención social, a los jóvenes del depto.</t>
  </si>
  <si>
    <t>ADQUISICION DE BIENES Y SERVICIOS: Logistica operativa, transporte, refrigerios,etc. Para la realizacion de acitivades y eventosque beneficien a los adolescentes y jovenes</t>
  </si>
  <si>
    <t>0316 - 5 - 1 2 37 22 30 - 20</t>
  </si>
  <si>
    <t>Diseño e implementación de programas para la prevención y reducción del consumo de sustancias psicoactivas  en el Departamento del Quindío.</t>
  </si>
  <si>
    <t>0316 - 5 - 1 9 69 67 49 - 20</t>
  </si>
  <si>
    <t>Apoyo a la promoción de espacios y estilos de vida saludables para jóvenes en el Departamento del Quindío.</t>
  </si>
  <si>
    <t>Asistencia Social</t>
  </si>
  <si>
    <t>0316 - 5 - 1 9 69 65 47 - 20</t>
  </si>
  <si>
    <t>Implementación de estrategias de promoción y participación de la juventud en el Departamento del Quindío.</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</si>
  <si>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</si>
  <si>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</si>
  <si>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</si>
  <si>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</si>
  <si>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Actualización e implementación  de   la política pública departamental de discapacidad  "Capacidad sin limites" en el Quindio</t>
  </si>
  <si>
    <t>Revisar, ajustar e implementar    la política pública departamental de discapacidad  "Capacidad sin limites.", con el fin de brindar  garantías en la protección, inclusión y restitución de los derechos de las personas con discapacidad del departamento del Quindío, la cual  incluye la implementación de la estrategia de Rehabilitación Basada en Comunidad (RBC)</t>
  </si>
  <si>
    <t>Inclusión social, laboral, educativa  y representatividad de las personas con discapacidad</t>
  </si>
  <si>
    <t>Ajustes y actualización  a la Política Publica de Discapacidad</t>
  </si>
  <si>
    <t>Procesos de Rehabilitación Integral y funcional de las personas con discapacidad y sus familias</t>
  </si>
  <si>
    <t>Elaboración de material didactico para la divulgacion de la politica publica</t>
  </si>
  <si>
    <t>Procesos de sensibilización y concientización en torno a la discapacidad</t>
  </si>
  <si>
    <t>Adquisicion de bienes y servicios: Logistica Operativa</t>
  </si>
  <si>
    <t>0316 - 5 - 1 7 62 54 39 - 20</t>
  </si>
  <si>
    <t>Asistencia y apoyo a la población con discapacidad en el Departamento del Quindío.</t>
  </si>
  <si>
    <t>GLORIA EUGENIA VASQUEZ</t>
  </si>
  <si>
    <t>0316 - 5 - 1 7 62 55 40 - 20</t>
  </si>
  <si>
    <t>Implementación de un programa de rehabilitación basado en comunidad, en el Departamento del Quindío.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</si>
  <si>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</si>
  <si>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</si>
  <si>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</si>
  <si>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</si>
  <si>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</si>
  <si>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 xml:space="preserve">Diseño e implementación  de la estratégica para la atención de la  población  en vulnerabiliada extrema  en el Departamento del Quindio  </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</si>
  <si>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</si>
  <si>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 xml:space="preserve">Diseñar e implementar una estrategia para la  atención de la población en estado de vulnerabilidad extrema (habitantes de calle, trabajo sexual,    reincidencia delictiva, drogadicción, bandas delincuenciales, entre otras), promoviendo desde su entorno familiar el acompañamiento necesario para mejorar su calidad de vida. </t>
  </si>
  <si>
    <t>Apoyar programas específicos, dirigidos a grupos  que viven en entornos de alto riesgo: Extrema pobreza, desarraigo social,  drogadicción, delincuencia, prostitución, o pertenecen a familias    multiproblemáticas  y de las personas privadas de la libertad y otras en alto riesgo social</t>
  </si>
  <si>
    <t>Realizar un acercamiento con las instituciones involucradas en la problemática de habitabilidad en la calle, como estrategia de sensibilización para la inclusión social</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</si>
  <si>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</si>
  <si>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</si>
  <si>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</si>
  <si>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 xml:space="preserve"> Implementación del programa  para la atención y acompañamiento  del ciudadano migrante  y de repatración en el Departamento del Quindio.</t>
  </si>
  <si>
    <t xml:space="preserve">implementar  programa departamental  para la atención y acompañamiento a la población migrante y de repatriación, acorde al Plan de Acompañamiento al Ciudadano Migrante , en el marco de la Ley 1565/2011. </t>
  </si>
  <si>
    <t>Realizar  procesos  de capacitación, asistencia técnica, seguimiento y evaluación en cuanto a la garantia de derechos de la población migrante del Departamento</t>
  </si>
  <si>
    <t>EL SA ADRIANA SANCHEZ CAÑAS</t>
  </si>
  <si>
    <t>Ejecutar un programa de asistencia social y de repatriación de quindianos fallecidos en el exterior</t>
  </si>
  <si>
    <t>0316 - 5 - 1 10 71 71 53 - 20</t>
  </si>
  <si>
    <t>Implementación del plan de acompañamiento al Ciudadano Migrante, (el que sale y el que retorna) del Departamento del Quindío.</t>
  </si>
  <si>
    <t>0316 - 5 - 1 10 71 72 54 - 20</t>
  </si>
  <si>
    <t>Implementación del plan de acompañamiento para el empleo en el exterior, en escenarios corresponsables de cooperación en el Departamento del Quindío.</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</si>
  <si>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</si>
  <si>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</si>
  <si>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</si>
  <si>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</si>
  <si>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Fortalecimiento resguardo  indígena DACHI AGORE DRUA del municipio de Calarcá del Departamento del Quindío.</t>
  </si>
  <si>
    <t>Apoyar los planes de vida  y/o pervivencia de los pueblos indígenas asentados en el Departamento del Quindío, mediante el fortalecimiento de la seguridad alimentaria, la cultura, el emprendimiento, la educación propia,  género, familia, usos, costumbres, gobernabilidad, medicina tradicional y justicia indígena</t>
  </si>
  <si>
    <t>Asistencia Social: Procesos de apoyo, gestión, asesoria y acompañamiento al Resguardo Dachi Agore Drua del Departamento para garantizar los derechos fundamentales y Especiales.</t>
  </si>
  <si>
    <t xml:space="preserve">Adquisición de bienes y servicios como: Herramientas,   materiales e insumos para beneficiar a la población indígena DACHI AGORE DRUA
</t>
  </si>
  <si>
    <t>Apoyar   y fortalecer  la elaboración y puesta en marcha  de  planes de vida de los pueblos indígenas asentados en el Departamento del Quindío.</t>
  </si>
  <si>
    <t>Planes de vida apoyados y fortalecidos</t>
  </si>
  <si>
    <t>0316 - 5 - 3 1 3 18 63 14 122 - 20</t>
  </si>
  <si>
    <t xml:space="preserve">Apoyo  a la elaboración y puesta marcha de Planes de Vida  de los cabildos indigenas en el departamento del Quindio  </t>
  </si>
  <si>
    <t xml:space="preserve"> Apoyo, acompañamiento y fortalecimiento en cuanto procesos de seguridad alimentaria, saneamiento basico, educación, salud, justicia, gobernabilidad y territorio </t>
  </si>
  <si>
    <t>Diseño e implementación de la ruta metodologica para la formulación y puesta en marcha de planes de vida</t>
  </si>
  <si>
    <t>Compra de herramientas, materiales, insumos, etc.</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</si>
  <si>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</si>
  <si>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</si>
  <si>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0316 - 5 - 1 7 61 53 38 - 20</t>
  </si>
  <si>
    <t>Apoyo y formación en procesos productivos, culturales que tienen como propósito el rescate de la tradición y la cultura en el Departamento del Quindío.</t>
  </si>
  <si>
    <t xml:space="preserve">Implementar un programa articulado interinstitucional  para la atención integral  con enfoque diferencial  que garantice el cumplimiento de los derechos de población afrodescendiente del Departamento del Quindío,  permitiendo fortalecer la identidad cultural de esta población </t>
  </si>
  <si>
    <t>EL SA ADRIANA SANCHEZ CAÑAS
GUILLERMO ANDRES MURILLO</t>
  </si>
  <si>
    <t>Programa  articulado interinstitucional para la  atención integral con enfoque diferencial a la población afro descendiente implementado</t>
  </si>
  <si>
    <t>0316 - 5 - 3 1 3 18 64 14 124 - 20</t>
  </si>
  <si>
    <t xml:space="preserve">Implementación de un  programa de atención integral a la población  afrodescendiente en el Departamento del Quindio </t>
  </si>
  <si>
    <t>Capacitaciones dirigidas a comunidades Afros del Departamento</t>
  </si>
  <si>
    <t>LILIANA JARAMILLO CARDENAS</t>
  </si>
  <si>
    <t xml:space="preserve">Asistencia Social: Apoyo, acompañamiento y fortalecimiento en cuanto procesos de seguridad alimentaria, saneamiento basico, educación, salud y vivienda  </t>
  </si>
  <si>
    <t>Adquisicion de Bienes y Servicios: Compra de herramientas, materiales, insumos, etc.</t>
  </si>
  <si>
    <t>Sí a la diversidad sexual e identidad de género y su familia.</t>
  </si>
  <si>
    <t>Formular  la política pública departamental de diversidad sexual e identidad de género</t>
  </si>
  <si>
    <t>Política pública formulada e implementada</t>
  </si>
  <si>
    <t>0316 - 5 - 3 1 3 18 65 14 125 - 20</t>
  </si>
  <si>
    <t>Fomulación e implementación de la politca pública  de diversidad sexual en el Departamento del Quindio</t>
  </si>
  <si>
    <t>Formular  una política pública integral para el respeto a los derechos,  la diversidad sexual y la identidad de género, para fortalecer espacios de participación ciudadana  y movilización social, la caracterización,  la generación de cultura y la construcción de paz, a través de la promoción del respeto por la diferencia.</t>
  </si>
  <si>
    <t>Cumplimiento de la fase preliminar de formulación de la política pública de  diversidad sexual</t>
  </si>
  <si>
    <t>Realización de  campañas educativas con miras a fortalecer  la tolerancia y el respeto a la diversidad sexual</t>
  </si>
  <si>
    <t>Logistica Operativa: CELEBRACION DE EVENTOS RELACIONADOS CON LA POBLACION LGTBI</t>
  </si>
  <si>
    <t>Mujeres constructoras de Familia y de paz.</t>
  </si>
  <si>
    <t>Revisar, ajustar  e  implementar  la política publica de equidad de género para la  mujer del departamento</t>
  </si>
  <si>
    <t>Política pública  de equidad de genero revisada, ajustada e implementada.</t>
  </si>
  <si>
    <t>0316 - 5 - 1 6 51 46 32 - 20</t>
  </si>
  <si>
    <t>Apoyo a programas que generen oportunidades a las mujeres rurales de todo el Departamento del Quindío.</t>
  </si>
  <si>
    <t>Revisar, ajustar e implementar la política publica de equidad de género para las mujeres del departamento a través del fortalecimiento de los consejos comunitarios de mujeres, la estructuración de rutas, el fomento a la igualdad de género, promoción de derechos y procesos productivos, consolidación de la arquitectura institucional para la atención y la creación de la Casa de Refugio para la mujer, en perspectiva de la construcción territorial de paz y atendiendo la normatividad vigente</t>
  </si>
  <si>
    <t>DORA BEATRIZ ARBELAEZ A</t>
  </si>
  <si>
    <t>0316 - 5 - 1 6 51 47 33 - 20</t>
  </si>
  <si>
    <t>Prevención y atención integral a las mujeres víctimas de la violencia en todo el Departamento del Quindío.</t>
  </si>
  <si>
    <t>0316 - 5 - 3 1 3 18 66 14 128 - 20</t>
  </si>
  <si>
    <t>Implementaciòn de la polìtica pùblica de equidad de género para la mujer en el Departamento del Quindìo</t>
  </si>
  <si>
    <t xml:space="preserve">Capacitacion  y concientización  para lograr la igualdad de género y empoderar a las mujeres </t>
  </si>
  <si>
    <t xml:space="preserve">Implementacion de los planes de acción de la Politica Publica de  Equidad de Género para la mujer
</t>
  </si>
  <si>
    <t>Campañas de socialización de las normas y las leyes que cobijan a la Mujer</t>
  </si>
  <si>
    <t>Conmemoración Día de la No violencia contra la Mujer</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</si>
  <si>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</si>
  <si>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</si>
  <si>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</si>
  <si>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</si>
  <si>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0316 - 5 - 1 9 70 70 52 - 20</t>
  </si>
  <si>
    <t xml:space="preserve">Apoyo y bienestar integral a las personas mayores del Departamento del Quindio </t>
  </si>
  <si>
    <t>Contribuir al cuidado, la independencia y la autonomía de las personas mayor por medio de la gestión integral dl desarrollo, el fortalecimiento en la atención, la formación de capacidades humanas y la promoción de estilos de vida saludables acorde a la política publica de envejecimiento y vejez 2010-2020</t>
  </si>
  <si>
    <t>Apoyar los centros de bienestar y centros vida del departamento, desarrollando estrategias de  control, seguimiento y evaluación a los recursos transferidos a los entes territoriales municipales  por concepto de la Estampilla pro bienestar del adulto mayor , de acuerdo a  lo señalado por la ley</t>
  </si>
  <si>
    <t>Ajustes y actualización  a la Política Publica de envejecimiento y vejez: UN QUINDIO PARA TODAS LAS EDADES</t>
  </si>
  <si>
    <t>GLORIA EUGENIA VASQUEZ
LILIANA JARAMILLO CARDENAS</t>
  </si>
  <si>
    <t>0316 - 5 - 3 1 3 19 67 14 129 - 20</t>
  </si>
  <si>
    <t>Realizar procesos de motivación para incentivar el interés por la vida disminuyendo índices  de morbilidad del adulto mayor</t>
  </si>
  <si>
    <t>LOGISTICA OPERATIVA: Para los eventos a realizar y/o elementos como distintivos representativos Institucionales</t>
  </si>
  <si>
    <t>Celebraciones y eventos donde se resalte la importancia del rol del adulto mayor y su trayectoria de vida en la familia y la sociedad</t>
  </si>
  <si>
    <t xml:space="preserve">Apoyar 12 Centros de Bienestar del Departamento </t>
  </si>
  <si>
    <t xml:space="preserve">Apoyar 12 centros de bienestar del departamento </t>
  </si>
  <si>
    <t xml:space="preserve">0316 - 5 - 3 1 3 19 67 14 129 - 84
0316 - 5 - 3 1 3 19 67 14 129 - 06
</t>
  </si>
  <si>
    <t>Apoyar la realización de la entrega del  producido de estampilla pro adulto mayor a los Centros Vida del 70%  y a los CBA    del 30%  correspondiente (Según la LEY 1276 de 2009)
Centros de bienestar del adulto mayor y centros vida (entrega de estampilla pro-adulto mayor)</t>
  </si>
  <si>
    <t>Superavit Estampilla Pro Adulto Mayor</t>
  </si>
  <si>
    <t xml:space="preserve">Apoyar 14 Centros Vida del Departamento </t>
  </si>
  <si>
    <t xml:space="preserve">Apoyar 14 centros vida del departamento </t>
  </si>
  <si>
    <t>Estampilla Pro Adulto Mayor</t>
  </si>
  <si>
    <t>PROYECTO Y ELABORO: DORIS CASTAÑO AGUDELO</t>
  </si>
  <si>
    <t>N/D</t>
  </si>
  <si>
    <t>Realizar (8) eventos académicos, investigativos y culturales, liderados por la Secretaría de Educación Departamental para el fortalecimiento de la calidad educativa, la convivencia, la paz, la formación ciudadana y pensamiento ambiental</t>
  </si>
  <si>
    <t>Fortalecer cuarenta y siete (47) instituciones educativas con el programa de articulación con la educación superior y Educacion para el Trabajo y Desarrollo  Humano ETDH</t>
  </si>
  <si>
    <t xml:space="preserve">Recurso Ordinario- Fondo de Educación SGP </t>
  </si>
  <si>
    <t>CAMPAÑAS PUBLICITARIAS DE PREVENCION Y ATENCION</t>
  </si>
  <si>
    <t>LOGISTICA OPERATIVA</t>
  </si>
  <si>
    <t>04/10/20156</t>
  </si>
  <si>
    <t>04/10/20157</t>
  </si>
  <si>
    <t>2012/2016</t>
  </si>
  <si>
    <t>SECRETARIA DE FAMILIA</t>
  </si>
  <si>
    <t>Fortalecimiento e innovación empresarial  de la caficultura en el Departamento del Quindio</t>
  </si>
  <si>
    <t xml:space="preserve">Fomento al emprendimiento y  al empleo rural en el Departamento del Quindío  </t>
  </si>
  <si>
    <t>Fomento a la agricultura familiar , urbana y  mercados campesinos para la soberanía y  Seguridad alimentaria en el Departamento del Quindio.</t>
  </si>
  <si>
    <t>Apoyar la construcción, el mantenimiento, el mejoramiento y/o la rehabilitación de la infraestructura de dos (2) equipamientos públicos y colectivos del Departamento del Quindío.</t>
  </si>
  <si>
    <t>Mejora de la Infraestructura Vial del Departamento del Quindío</t>
  </si>
  <si>
    <t>km</t>
  </si>
  <si>
    <t>Disminuir el porcentaje de personas en situación de pobreza en el Departamento del Quindio.</t>
  </si>
  <si>
    <t xml:space="preserve">OLGA LUCIA FERNANDEZ </t>
  </si>
  <si>
    <t>GERENTE</t>
  </si>
  <si>
    <t>Apoyo a la actividad fisica, salud y productividad en el Departamento del Quindio.</t>
  </si>
  <si>
    <t>Héctor Alberto Marín Ríos Secretario del Interior</t>
  </si>
  <si>
    <t>Héctor Alberto Marín Ríos Secretario del Interior
DIRECTOR UDEGERD</t>
  </si>
  <si>
    <t xml:space="preserve">Héctor Alberto Marín Ríos Secretario del Interior
</t>
  </si>
  <si>
    <t>1 octubre de 2016</t>
  </si>
  <si>
    <t>Fortalecimiento a la competitividad productiva y empresarial del sector rural en el departamento del Quindio</t>
  </si>
  <si>
    <t>Otros (Iva Cedido Licores - Registro)</t>
  </si>
  <si>
    <t>Recurso Ordinario- Iva Cedido</t>
  </si>
  <si>
    <t>Recursos Ordinarios- Otros (Iva Cedido Licores - Registro)</t>
  </si>
  <si>
    <t>Recurso Ordinario-Otros (Iva Cedido Licores - Registro)</t>
  </si>
  <si>
    <t>Otros (Iva Cedido Licores - Registro)- Recurso Ordinario</t>
  </si>
  <si>
    <t>Octubre 1 de 2016</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</si>
</sst>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 #,##0.00_-;\-* #,##0.00_-;_-* &quot;-&quot;??_-;_-@_-"/>
    <numFmt numFmtId="167" formatCode="_ [$€-2]\ * #,##0.00_ ;_ [$€-2]\ * \-#,##0.00_ ;_ [$€-2]\ * &quot;-&quot;??_ "/>
    <numFmt numFmtId="168" formatCode="_(* #,##0_);_(* \(#,##0\);_(* &quot;-&quot;??_);_(@_)"/>
    <numFmt numFmtId="169" formatCode="dd/mm/yy;@"/>
    <numFmt numFmtId="170" formatCode="&quot;$&quot;\ #,##0"/>
    <numFmt numFmtId="171" formatCode="_ &quot;$&quot;\ * #,##0.00_ ;_ &quot;$&quot;\ * \-#,##0.00_ ;_ &quot;$&quot;\ * &quot;-&quot;??_ ;_ @_ "/>
    <numFmt numFmtId="172" formatCode="_-* #,##0_-;\-* #,##0_-;_-* &quot;-&quot;??_-;_-@_-"/>
    <numFmt numFmtId="173" formatCode="_-* #,##0.00\ &quot;€&quot;_-;\-* #,##0.00\ &quot;€&quot;_-;_-* &quot;-&quot;??\ &quot;€&quot;_-;_-@_-"/>
    <numFmt numFmtId="174" formatCode="00"/>
    <numFmt numFmtId="175" formatCode="_(&quot;$&quot;\ * #,##0_);_(&quot;$&quot;\ * \(#,##0\);_(&quot;$&quot;\ * &quot;-&quot;??_);_(@_)"/>
    <numFmt numFmtId="176" formatCode="_-* #,##0.0_-;\-* #,##0.0_-;_-* &quot;-&quot;_-;_-@_-"/>
    <numFmt numFmtId="177" formatCode="&quot;$&quot;#,##0.00"/>
    <numFmt numFmtId="178" formatCode="[$$-240A]\ #,##0"/>
    <numFmt numFmtId="179" formatCode="&quot;$&quot;#,##0"/>
    <numFmt numFmtId="180" formatCode="0.0"/>
    <numFmt numFmtId="181" formatCode="dd/mm/yyyy;@"/>
    <numFmt numFmtId="182" formatCode="#,##0.00_);\-#,##0.00"/>
    <numFmt numFmtId="183" formatCode="&quot;$&quot;\ #,##0.00"/>
    <numFmt numFmtId="184" formatCode="0_ ;\-0\ "/>
    <numFmt numFmtId="185" formatCode="#,##0_ ;\-#,##0\ "/>
    <numFmt numFmtId="186" formatCode="[$$-240A]\ #,##0.00"/>
    <numFmt numFmtId="187" formatCode="_([$$-240A]\ * #,##0_);_([$$-240A]\ * \(#,##0\);_([$$-240A]\ * &quot;-&quot;_);_(@_)"/>
    <numFmt numFmtId="188" formatCode="#,##0.00_ ;\-#,##0.00\ "/>
    <numFmt numFmtId="189" formatCode="_-* #,##0.00_-;\-* #,##0.00_-;_-* &quot;-&quot;_-;_-@_-"/>
    <numFmt numFmtId="190" formatCode="0.0%"/>
    <numFmt numFmtId="191" formatCode="_-[$$-240A]* #,##0_-;\-[$$-240A]* #,##0_-;_-[$$-240A]* &quot;-&quot;_-;_-@_-"/>
    <numFmt numFmtId="192" formatCode="_-[$$-240A]* #,##0.00_-;\-[$$-240A]* #,##0.00_-;_-[$$-240A]* &quot;-&quot;??_-;_-@_-"/>
    <numFmt numFmtId="193" formatCode="_([$$-240A]\ * #,##0.00_);_([$$-240A]\ * \(#,##0.00\);_([$$-240A]\ * &quot;-&quot;??_);_(@_)"/>
    <numFmt numFmtId="194" formatCode="#,##0.00;[Red]#,##0.00"/>
    <numFmt numFmtId="195" formatCode="#,##0;[Red]#,##0"/>
    <numFmt numFmtId="196" formatCode="&quot;$&quot;\ #,##0.00;[Red]&quot;$&quot;\ #,##0.00"/>
    <numFmt numFmtId="197" formatCode="#,##0.0_ ;\-#,##0.0\ "/>
    <numFmt numFmtId="198" formatCode="_-* #,##0.000_-;\-* #,##0.000_-;_-* &quot;-&quot;_-;_-@_-"/>
  </numFmts>
  <fonts count="51">
    <font>
      <sz val="11"/>
      <color indexed="8"/>
      <name val="Calibri"/>
      <family val="2"/>
    </font>
    <font>
      <sz val="11"/>
      <color indexed="8"/>
      <name val="Arial"/>
      <family val="2"/>
    </font>
    <font>
      <b/>
      <sz val="11"/>
      <color indexed="8"/>
      <name val="Arial"/>
      <family val="2"/>
    </font>
    <font>
      <sz val="10"/>
      <name val="Arial"/>
      <family val="2"/>
    </font>
    <font>
      <sz val="11"/>
      <name val="Arial"/>
      <family val="2"/>
    </font>
    <font>
      <b/>
      <sz val="11"/>
      <name val="Arial"/>
      <family val="2"/>
    </font>
    <font>
      <sz val="11"/>
      <color indexed="10"/>
      <name val="Arial"/>
      <family val="2"/>
    </font>
    <font>
      <b/>
      <sz val="11"/>
      <color indexed="10"/>
      <name val="Arial"/>
      <family val="2"/>
    </font>
    <font>
      <sz val="11"/>
      <color indexed="10"/>
      <name val="Calibri"/>
      <family val="2"/>
    </font>
    <font>
      <sz val="11"/>
      <name val="Times New Roman"/>
      <family val="1"/>
    </font>
    <font>
      <b/>
      <sz val="10"/>
      <color indexed="8"/>
      <name val="Arial"/>
      <family val="2"/>
    </font>
    <font>
      <sz val="10"/>
      <color indexed="8"/>
      <name val="MS Sans Serif"/>
      <family val="0"/>
    </font>
    <font>
      <b/>
      <sz val="16"/>
      <color indexed="8"/>
      <name val="Times New Roman"/>
      <family val="1"/>
    </font>
    <font>
      <sz val="10"/>
      <color indexed="8"/>
      <name val="Times New Roman"/>
      <family val="1"/>
    </font>
    <font>
      <b/>
      <sz val="10"/>
      <color indexed="10"/>
      <name val="Times New Roman"/>
      <family val="1"/>
    </font>
    <font>
      <sz val="11"/>
      <color indexed="10"/>
      <name val="Times New Roman"/>
      <family val="1"/>
    </font>
    <font>
      <b/>
      <sz val="14"/>
      <color indexed="8"/>
      <name val="Arial"/>
      <family val="2"/>
    </font>
    <font>
      <b/>
      <sz val="14"/>
      <color indexed="10"/>
      <name val="Arial"/>
      <family val="2"/>
    </font>
    <font>
      <sz val="14"/>
      <color indexed="8"/>
      <name val="Arial"/>
      <family val="2"/>
    </font>
    <font>
      <sz val="12"/>
      <color indexed="8"/>
      <name val="Arial"/>
      <family val="2"/>
    </font>
    <font>
      <sz val="11"/>
      <color indexed="8"/>
      <name val="Times New Roman"/>
      <family val="1"/>
    </font>
    <font>
      <sz val="10"/>
      <color indexed="8"/>
      <name val="Arial"/>
      <family val="2"/>
    </font>
    <font>
      <b/>
      <sz val="10"/>
      <color indexed="10"/>
      <name val="Arial"/>
      <family val="2"/>
    </font>
    <font>
      <sz val="9"/>
      <color indexed="8"/>
      <name val="Arial"/>
      <family val="2"/>
    </font>
    <font>
      <b/>
      <sz val="11"/>
      <color indexed="8"/>
      <name val="Times New Roman"/>
      <family val="1"/>
    </font>
    <font>
      <b/>
      <sz val="11"/>
      <color indexed="10"/>
      <name val="Times New Roman"/>
      <family val="1"/>
    </font>
    <font>
      <sz val="11"/>
      <name val="Calibri"/>
      <family val="2"/>
    </font>
    <font>
      <b/>
      <sz val="9"/>
      <color indexed="8"/>
      <name val="Arial"/>
      <family val="2"/>
    </font>
    <font>
      <b/>
      <sz val="9"/>
      <color indexed="10"/>
      <name val="Arial"/>
      <family val="2"/>
    </font>
    <font>
      <sz val="12"/>
      <name val="Arial"/>
      <family val="2"/>
    </font>
    <font>
      <sz val="10"/>
      <color indexed="10"/>
      <name val="Arial"/>
      <family val="2"/>
    </font>
    <font>
      <sz val="12"/>
      <color indexed="10"/>
      <name val="Arial"/>
      <family val="2"/>
    </font>
    <font>
      <sz val="11"/>
      <name val="Tahoma"/>
      <family val="2"/>
    </font>
    <font>
      <sz val="10"/>
      <color indexed="10"/>
      <name val="Times New Roman"/>
      <family val="1"/>
    </font>
    <font>
      <b/>
      <sz val="9"/>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54"/>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style="medium"/>
    </border>
    <border>
      <left style="thin"/>
      <right style="thin"/>
      <top/>
      <bottom style="thin"/>
    </border>
    <border>
      <left/>
      <right style="thin"/>
      <top/>
      <bottom style="thin"/>
    </border>
    <border>
      <left/>
      <right/>
      <top style="thin"/>
      <bottom/>
    </border>
    <border>
      <left style="thin"/>
      <right/>
      <top style="thin"/>
      <bottom style="thin"/>
    </border>
    <border>
      <left/>
      <right style="thin"/>
      <top style="thin"/>
      <bottom style="thin"/>
    </border>
    <border>
      <left/>
      <right/>
      <top style="thin"/>
      <bottom style="thin"/>
    </border>
    <border>
      <left/>
      <right/>
      <top style="thin"/>
      <bottom style="medium"/>
    </border>
    <border>
      <left/>
      <right style="thin"/>
      <top style="thin"/>
      <bottom/>
    </border>
    <border>
      <left/>
      <right style="medium"/>
      <top style="thin"/>
      <bottom/>
    </border>
    <border>
      <left/>
      <right/>
      <top style="medium"/>
      <bottom style="medium"/>
    </border>
    <border>
      <left/>
      <right style="medium"/>
      <top style="medium"/>
      <bottom style="medium"/>
    </border>
    <border>
      <left style="medium"/>
      <right/>
      <top style="medium"/>
      <bottom style="medium"/>
    </border>
    <border>
      <left style="thin"/>
      <right style="thin"/>
      <top/>
      <bottom/>
    </border>
    <border>
      <left style="thin"/>
      <right/>
      <top/>
      <bottom/>
    </border>
    <border>
      <left style="thin"/>
      <right/>
      <top/>
      <bottom style="thin"/>
    </border>
    <border>
      <left style="thin"/>
      <right style="medium"/>
      <top style="thin"/>
      <bottom style="thin"/>
    </border>
    <border>
      <left style="medium"/>
      <right style="thin"/>
      <top style="thin"/>
      <bottom style="thin"/>
    </border>
    <border>
      <left/>
      <right style="medium"/>
      <top style="thin"/>
      <bottom style="thin"/>
    </border>
    <border>
      <left style="thin"/>
      <right/>
      <top style="thin"/>
      <bottom style="medium"/>
    </border>
    <border>
      <left/>
      <right style="medium"/>
      <top style="thin"/>
      <bottom style="medium"/>
    </border>
    <border>
      <left style="medium"/>
      <right style="medium"/>
      <top style="medium"/>
      <bottom style="medium"/>
    </border>
    <border>
      <left style="medium"/>
      <right/>
      <top style="thin"/>
      <bottom/>
    </border>
    <border>
      <left/>
      <right/>
      <top/>
      <bottom style="thin"/>
    </border>
    <border>
      <left style="thin"/>
      <right style="thin"/>
      <top/>
      <bottom style="medium"/>
    </border>
    <border>
      <left style="thin"/>
      <right style="medium"/>
      <top/>
      <bottom style="thin"/>
    </border>
    <border>
      <left style="thin"/>
      <right style="thin"/>
      <top style="thin"/>
      <bottom/>
    </border>
    <border>
      <left/>
      <right style="thin"/>
      <top/>
      <bottom/>
    </border>
    <border>
      <left style="thin"/>
      <right style="medium"/>
      <top/>
      <bottom/>
    </border>
    <border>
      <left style="medium"/>
      <right/>
      <top style="thin"/>
      <bottom style="thin"/>
    </border>
    <border>
      <left/>
      <right style="medium"/>
      <top/>
      <bottom style="thin"/>
    </border>
    <border>
      <left style="thin"/>
      <right/>
      <top style="thin"/>
      <bottom/>
    </border>
    <border>
      <left style="medium"/>
      <right/>
      <top/>
      <bottom/>
    </border>
    <border>
      <left/>
      <right style="medium"/>
      <top/>
      <bottom/>
    </border>
    <border>
      <left style="medium"/>
      <right style="thin"/>
      <top/>
      <bottom/>
    </border>
    <border>
      <left/>
      <right/>
      <top/>
      <bottom style="medium"/>
    </border>
    <border>
      <left/>
      <right style="medium"/>
      <top/>
      <bottom style="medium"/>
    </border>
    <border>
      <left style="thin"/>
      <right/>
      <top/>
      <bottom style="medium"/>
    </border>
    <border>
      <left style="medium"/>
      <right style="thin"/>
      <top/>
      <bottom style="thin"/>
    </border>
    <border>
      <left style="medium"/>
      <right/>
      <top/>
      <bottom style="thin"/>
    </border>
    <border>
      <left style="thin"/>
      <right style="thin"/>
      <top/>
      <bottom style="double"/>
    </border>
    <border>
      <left style="medium"/>
      <right/>
      <top/>
      <bottom style="medium"/>
    </border>
    <border>
      <left style="medium"/>
      <right style="medium"/>
      <top/>
      <bottom style="medium"/>
    </border>
    <border>
      <left style="thin"/>
      <right style="medium"/>
      <top style="medium"/>
      <bottom/>
    </border>
    <border>
      <left style="thin"/>
      <right style="medium"/>
      <top style="thin"/>
      <bottom/>
    </border>
    <border>
      <left style="medium"/>
      <right style="thin"/>
      <top style="medium"/>
      <bottom style="thin"/>
    </border>
    <border>
      <left style="thin"/>
      <right/>
      <top style="medium"/>
      <bottom style="thin"/>
    </border>
    <border>
      <left/>
      <right/>
      <top style="medium"/>
      <bottom style="thin"/>
    </border>
    <border>
      <left/>
      <right style="medium"/>
      <top style="medium"/>
      <bottom style="thin"/>
    </border>
    <border>
      <left/>
      <right style="thin"/>
      <top style="thin"/>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right style="thin"/>
      <top style="medium"/>
      <bottom style="medium"/>
    </border>
    <border>
      <left/>
      <right style="thin"/>
      <top style="medium"/>
      <bottom style="thin"/>
    </border>
    <border>
      <left style="medium"/>
      <right style="thin"/>
      <top style="thin"/>
      <bottom/>
    </border>
    <border>
      <left style="thin"/>
      <right style="thin"/>
      <top style="medium"/>
      <bottom/>
    </border>
    <border>
      <left style="thin"/>
      <right/>
      <top style="medium"/>
      <bottom/>
    </border>
    <border>
      <left/>
      <right style="thin"/>
      <top style="medium"/>
      <bottom/>
    </border>
    <border>
      <left style="medium"/>
      <right style="thin"/>
      <top style="medium"/>
      <bottom/>
    </border>
    <border>
      <left style="thin"/>
      <right style="thin"/>
      <top style="medium"/>
      <bottom style="thin"/>
    </border>
    <border>
      <left/>
      <right style="thin"/>
      <top/>
      <bottom style="medium"/>
    </border>
    <border>
      <left style="thin"/>
      <right style="thin"/>
      <top style="thin"/>
      <bottom style="double"/>
    </border>
    <border>
      <left style="thin"/>
      <right style="medium"/>
      <top/>
      <bottom style="medium"/>
    </border>
    <border>
      <left style="medium"/>
      <right style="thin"/>
      <top style="thin"/>
      <bottom style="medium"/>
    </border>
    <border>
      <left style="thin"/>
      <right style="medium"/>
      <top style="thin"/>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3"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8" borderId="0" applyNumberFormat="0" applyBorder="0" applyAlignment="0" applyProtection="0">
      <alignment/>
      <protection/>
    </xf>
    <xf numFmtId="0" fontId="0" fillId="10" borderId="0" applyNumberFormat="0" applyBorder="0" applyAlignment="0" applyProtection="0">
      <alignment/>
      <protection/>
    </xf>
    <xf numFmtId="0" fontId="49" fillId="8" borderId="0" applyNumberFormat="0" applyBorder="0" applyAlignment="0" applyProtection="0">
      <alignment/>
      <protection/>
    </xf>
    <xf numFmtId="0" fontId="49" fillId="3" borderId="0" applyNumberFormat="0" applyBorder="0" applyAlignment="0" applyProtection="0">
      <alignment/>
      <protection/>
    </xf>
    <xf numFmtId="0" fontId="49" fillId="9" borderId="0" applyNumberFormat="0" applyBorder="0" applyAlignment="0" applyProtection="0">
      <alignment/>
      <protection/>
    </xf>
    <xf numFmtId="0" fontId="49" fillId="10" borderId="0" applyNumberFormat="0" applyBorder="0" applyAlignment="0" applyProtection="0">
      <alignment/>
      <protection/>
    </xf>
    <xf numFmtId="0" fontId="49" fillId="11" borderId="0" applyNumberFormat="0" applyBorder="0" applyAlignment="0" applyProtection="0">
      <alignment/>
      <protection/>
    </xf>
    <xf numFmtId="0" fontId="49" fillId="12" borderId="0" applyNumberFormat="0" applyBorder="0" applyAlignment="0" applyProtection="0">
      <alignment/>
      <protection/>
    </xf>
    <xf numFmtId="0" fontId="39" fillId="7" borderId="0" applyNumberFormat="0" applyBorder="0" applyAlignment="0" applyProtection="0">
      <alignment/>
      <protection/>
    </xf>
    <xf numFmtId="0" fontId="44" fillId="9" borderId="1" applyNumberFormat="0" applyAlignment="0" applyProtection="0">
      <alignment/>
      <protection/>
    </xf>
    <xf numFmtId="0" fontId="46" fillId="13" borderId="2" applyNumberFormat="0" applyAlignment="0" applyProtection="0">
      <alignment/>
      <protection/>
    </xf>
    <xf numFmtId="0" fontId="45" fillId="0" borderId="3" applyNumberFormat="0" applyFill="0" applyAlignment="0" applyProtection="0">
      <alignment/>
      <protection/>
    </xf>
    <xf numFmtId="0" fontId="38" fillId="0" borderId="0" applyNumberFormat="0" applyFill="0" applyBorder="0" applyAlignment="0" applyProtection="0">
      <alignment/>
      <protection/>
    </xf>
    <xf numFmtId="0" fontId="49" fillId="11" borderId="0" applyNumberFormat="0" applyBorder="0" applyAlignment="0" applyProtection="0">
      <alignment/>
      <protection/>
    </xf>
    <xf numFmtId="0" fontId="49" fillId="14" borderId="0" applyNumberFormat="0" applyBorder="0" applyAlignment="0" applyProtection="0">
      <alignment/>
      <protection/>
    </xf>
    <xf numFmtId="0" fontId="49" fillId="13" borderId="0" applyNumberFormat="0" applyBorder="0" applyAlignment="0" applyProtection="0">
      <alignment/>
      <protection/>
    </xf>
    <xf numFmtId="0" fontId="49" fillId="15" borderId="0" applyNumberFormat="0" applyBorder="0" applyAlignment="0" applyProtection="0">
      <alignment/>
      <protection/>
    </xf>
    <xf numFmtId="0" fontId="49" fillId="16" borderId="0" applyNumberFormat="0" applyBorder="0" applyAlignment="0" applyProtection="0">
      <alignment/>
      <protection/>
    </xf>
    <xf numFmtId="0" fontId="49" fillId="12" borderId="0" applyNumberFormat="0" applyBorder="0" applyAlignment="0" applyProtection="0">
      <alignment/>
      <protection/>
    </xf>
    <xf numFmtId="0" fontId="42" fillId="3" borderId="1" applyNumberFormat="0" applyAlignment="0" applyProtection="0">
      <alignment/>
      <protection/>
    </xf>
    <xf numFmtId="171" fontId="0" fillId="0" borderId="0">
      <alignment/>
      <protection/>
    </xf>
    <xf numFmtId="0" fontId="40" fillId="17" borderId="0" applyNumberFormat="0" applyBorder="0" applyAlignment="0" applyProtection="0">
      <alignment/>
      <protection/>
    </xf>
    <xf numFmtId="166" fontId="0" fillId="0" borderId="0" applyFont="0" applyFill="0" applyBorder="0" applyAlignment="0" applyProtection="0">
      <alignment/>
      <protection/>
    </xf>
    <xf numFmtId="165" fontId="0" fillId="0" borderId="0" applyFont="0" applyFill="0" applyBorder="0" applyAlignment="0" applyProtection="0">
      <alignment/>
      <protection/>
    </xf>
    <xf numFmtId="41"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166" fontId="0" fillId="0" borderId="0" applyFont="0" applyFill="0" applyBorder="0" applyAlignment="0" applyProtection="0">
      <alignment/>
      <protection/>
    </xf>
    <xf numFmtId="44" fontId="0" fillId="0" borderId="0" applyFont="0" applyFill="0" applyBorder="0" applyAlignment="0" applyProtection="0">
      <alignment/>
      <protection/>
    </xf>
    <xf numFmtId="164" fontId="0" fillId="0" borderId="0" applyFont="0" applyFill="0" applyBorder="0" applyAlignment="0" applyProtection="0">
      <alignment/>
      <protection/>
    </xf>
    <xf numFmtId="42" fontId="0" fillId="0" borderId="0" applyFont="0" applyFill="0" applyBorder="0" applyAlignment="0" applyProtection="0">
      <alignment/>
      <protection/>
    </xf>
    <xf numFmtId="44" fontId="0" fillId="0" borderId="0" applyFont="0" applyFill="0" applyBorder="0" applyAlignment="0" applyProtection="0">
      <alignment/>
      <protection/>
    </xf>
    <xf numFmtId="173" fontId="0" fillId="0" borderId="0" applyFont="0" applyFill="0" applyBorder="0" applyAlignment="0" applyProtection="0">
      <alignment/>
      <protection/>
    </xf>
    <xf numFmtId="0" fontId="41" fillId="10" borderId="0" applyNumberFormat="0" applyBorder="0" applyAlignment="0" applyProtection="0">
      <alignment/>
      <protection/>
    </xf>
    <xf numFmtId="167" fontId="0" fillId="0" borderId="0">
      <alignment/>
      <protection/>
    </xf>
    <xf numFmtId="0" fontId="3" fillId="0" borderId="0">
      <alignment/>
      <protection/>
    </xf>
    <xf numFmtId="167" fontId="0" fillId="0" borderId="0">
      <alignment/>
      <protection/>
    </xf>
    <xf numFmtId="0" fontId="11" fillId="0" borderId="0">
      <alignment/>
      <protection/>
    </xf>
    <xf numFmtId="0" fontId="11" fillId="0" borderId="0">
      <alignment/>
      <protection/>
    </xf>
    <xf numFmtId="0" fontId="0" fillId="5" borderId="4" applyNumberFormat="0" applyFont="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0" fontId="43" fillId="9" borderId="5" applyNumberFormat="0" applyAlignment="0" applyProtection="0">
      <alignment/>
      <protection/>
    </xf>
    <xf numFmtId="0" fontId="8" fillId="0" borderId="0" applyNumberFormat="0" applyFill="0" applyBorder="0" applyAlignment="0" applyProtection="0">
      <alignment/>
      <protection/>
    </xf>
    <xf numFmtId="0" fontId="47" fillId="0" borderId="0" applyNumberFormat="0" applyFill="0" applyBorder="0" applyAlignment="0" applyProtection="0">
      <alignment/>
      <protection/>
    </xf>
    <xf numFmtId="0" fontId="35" fillId="0" borderId="0" applyNumberFormat="0" applyFill="0" applyBorder="0" applyAlignment="0" applyProtection="0">
      <alignment/>
      <protection/>
    </xf>
    <xf numFmtId="0" fontId="36" fillId="0" borderId="6" applyNumberFormat="0" applyFill="0" applyAlignment="0" applyProtection="0">
      <alignment/>
      <protection/>
    </xf>
    <xf numFmtId="0" fontId="37" fillId="0" borderId="7" applyNumberFormat="0" applyFill="0" applyAlignment="0" applyProtection="0">
      <alignment/>
      <protection/>
    </xf>
    <xf numFmtId="0" fontId="38" fillId="0" borderId="8" applyNumberFormat="0" applyFill="0" applyAlignment="0" applyProtection="0">
      <alignment/>
      <protection/>
    </xf>
    <xf numFmtId="0" fontId="48" fillId="0" borderId="9" applyNumberFormat="0" applyFill="0" applyAlignment="0" applyProtection="0">
      <alignment/>
      <protection/>
    </xf>
  </cellStyleXfs>
  <cellXfs count="5168">
    <xf numFmtId="0" fontId="0" fillId="0" borderId="0" xfId="0" applyAlignment="1">
      <alignment/>
    </xf>
    <xf numFmtId="168" fontId="1" fillId="0" borderId="0" xfId="50" applyNumberFormat="1" applyFont="1" applyFill="1" applyBorder="1" applyAlignment="1">
      <alignment horizontal="justify" vertical="center"/>
    </xf>
    <xf numFmtId="0" fontId="1" fillId="0" borderId="0" xfId="0" applyFont="1" applyBorder="1" applyAlignment="1">
      <alignment/>
    </xf>
    <xf numFmtId="0" fontId="1" fillId="4" borderId="0" xfId="0" applyFont="1" applyFill="1" applyAlignment="1">
      <alignment/>
    </xf>
    <xf numFmtId="0" fontId="1" fillId="0" borderId="0" xfId="0" applyFont="1" applyAlignment="1">
      <alignment/>
    </xf>
    <xf numFmtId="0" fontId="1" fillId="0" borderId="0" xfId="0" applyFont="1" applyAlignment="1">
      <alignment horizontal="center" vertical="center"/>
    </xf>
    <xf numFmtId="0" fontId="1" fillId="4" borderId="0" xfId="0" applyFont="1" applyFill="1" applyAlignment="1">
      <alignment/>
    </xf>
    <xf numFmtId="0" fontId="1" fillId="4" borderId="0" xfId="0" applyFont="1" applyFill="1" applyAlignment="1">
      <alignment horizontal="justify" vertical="center"/>
    </xf>
    <xf numFmtId="3" fontId="1" fillId="4" borderId="0" xfId="0" applyNumberFormat="1" applyFont="1" applyFill="1" applyAlignment="1">
      <alignment horizontal="center" vertical="center"/>
    </xf>
    <xf numFmtId="167" fontId="1" fillId="0" borderId="0" xfId="0" applyNumberFormat="1" applyFont="1" applyFill="1" applyBorder="1" applyAlignment="1">
      <alignment/>
    </xf>
    <xf numFmtId="167" fontId="1" fillId="18" borderId="0" xfId="0" applyNumberFormat="1" applyFont="1" applyFill="1" applyBorder="1" applyAlignment="1">
      <alignment/>
    </xf>
    <xf numFmtId="3" fontId="1" fillId="0" borderId="10" xfId="0" applyNumberFormat="1" applyFont="1" applyFill="1" applyBorder="1" applyAlignment="1">
      <alignment horizontal="center" vertical="center"/>
    </xf>
    <xf numFmtId="3" fontId="1" fillId="0" borderId="11" xfId="0" applyNumberFormat="1" applyFont="1" applyFill="1" applyBorder="1" applyAlignment="1">
      <alignment horizontal="center" vertical="center" wrapText="1"/>
    </xf>
    <xf numFmtId="167" fontId="1" fillId="18" borderId="0" xfId="0" applyNumberFormat="1" applyFont="1" applyFill="1" applyBorder="1" applyAlignment="1">
      <alignment/>
    </xf>
    <xf numFmtId="167" fontId="1" fillId="18" borderId="0" xfId="0" applyNumberFormat="1" applyFont="1" applyFill="1" applyBorder="1" applyAlignment="1">
      <alignment horizontal="center" vertical="center"/>
    </xf>
    <xf numFmtId="170" fontId="1" fillId="18" borderId="0" xfId="0" applyNumberFormat="1" applyFont="1" applyFill="1" applyBorder="1" applyAlignment="1">
      <alignment/>
    </xf>
    <xf numFmtId="167" fontId="1" fillId="18" borderId="0" xfId="0" applyNumberFormat="1" applyFont="1" applyFill="1" applyBorder="1" applyAlignment="1">
      <alignment horizontal="justify" vertical="center"/>
    </xf>
    <xf numFmtId="167" fontId="1" fillId="0" borderId="0" xfId="0" applyNumberFormat="1" applyFont="1" applyFill="1" applyBorder="1" applyAlignment="1">
      <alignment horizontal="right" vertical="center"/>
    </xf>
    <xf numFmtId="169" fontId="1" fillId="0" borderId="0" xfId="0" applyNumberFormat="1" applyFont="1" applyFill="1" applyBorder="1" applyAlignment="1">
      <alignment horizontal="center"/>
    </xf>
    <xf numFmtId="167" fontId="1" fillId="0" borderId="0" xfId="0" applyNumberFormat="1" applyFont="1" applyFill="1" applyBorder="1" applyAlignment="1">
      <alignment horizontal="left"/>
    </xf>
    <xf numFmtId="0" fontId="1" fillId="0" borderId="0" xfId="0" applyFont="1" applyFill="1" applyAlignment="1">
      <alignment/>
    </xf>
    <xf numFmtId="0" fontId="1" fillId="0" borderId="0" xfId="0" applyFont="1" applyFill="1" applyAlignment="1">
      <alignment horizontal="right" vertical="center"/>
    </xf>
    <xf numFmtId="169" fontId="1" fillId="0" borderId="0" xfId="0" applyNumberFormat="1" applyFont="1" applyAlignment="1">
      <alignment horizontal="center"/>
    </xf>
    <xf numFmtId="0" fontId="1" fillId="4" borderId="0" xfId="0" applyFont="1" applyFill="1" applyAlignment="1">
      <alignment horizontal="center"/>
    </xf>
    <xf numFmtId="0" fontId="1" fillId="0" borderId="0" xfId="0" applyFont="1" applyAlignment="1">
      <alignment wrapText="1"/>
    </xf>
    <xf numFmtId="167" fontId="1" fillId="0" borderId="0" xfId="60" applyFont="1" applyFill="1">
      <alignment/>
      <protection/>
    </xf>
    <xf numFmtId="167" fontId="1" fillId="0" borderId="0" xfId="60" applyFont="1">
      <alignment/>
      <protection/>
    </xf>
    <xf numFmtId="167" fontId="1" fillId="4" borderId="0" xfId="60" applyFont="1" applyFill="1">
      <alignment/>
      <protection/>
    </xf>
    <xf numFmtId="167" fontId="1" fillId="4" borderId="0" xfId="60" applyFont="1" applyFill="1" applyAlignment="1">
      <alignment/>
      <protection/>
    </xf>
    <xf numFmtId="167" fontId="1" fillId="4" borderId="0" xfId="60" applyFont="1" applyFill="1" applyAlignment="1">
      <alignment horizontal="center" vertical="center"/>
      <protection/>
    </xf>
    <xf numFmtId="167" fontId="1" fillId="4" borderId="0" xfId="60" applyFont="1" applyFill="1" applyAlignment="1">
      <alignment horizontal="justify" vertical="center"/>
      <protection/>
    </xf>
    <xf numFmtId="170" fontId="1" fillId="4" borderId="0" xfId="0" applyNumberFormat="1" applyFont="1" applyFill="1" applyAlignment="1">
      <alignment/>
    </xf>
    <xf numFmtId="167" fontId="1" fillId="4" borderId="0" xfId="60" applyFont="1" applyFill="1" applyAlignment="1">
      <alignment horizontal="center"/>
      <protection/>
    </xf>
    <xf numFmtId="167" fontId="1" fillId="18" borderId="0" xfId="0" applyNumberFormat="1" applyFont="1" applyFill="1" applyBorder="1" applyAlignment="1">
      <alignment horizontal="justify" vertical="center" wrapText="1"/>
    </xf>
    <xf numFmtId="167" fontId="1" fillId="0" borderId="10" xfId="0" applyNumberFormat="1" applyFont="1" applyFill="1" applyBorder="1" applyAlignment="1">
      <alignment horizontal="justify" vertical="center" wrapText="1"/>
    </xf>
    <xf numFmtId="167" fontId="1" fillId="18" borderId="12" xfId="0" applyNumberFormat="1" applyFont="1" applyFill="1" applyBorder="1" applyAlignment="1">
      <alignment horizontal="justify" vertical="center" wrapText="1"/>
    </xf>
    <xf numFmtId="0" fontId="1" fillId="0" borderId="13" xfId="0" applyNumberFormat="1" applyFont="1" applyFill="1" applyBorder="1" applyAlignment="1">
      <alignment horizontal="justify" vertical="center" wrapText="1" readingOrder="1"/>
    </xf>
    <xf numFmtId="0" fontId="1" fillId="0" borderId="11" xfId="0" applyNumberFormat="1" applyFont="1" applyFill="1" applyBorder="1" applyAlignment="1">
      <alignment horizontal="justify" vertical="center" wrapText="1"/>
    </xf>
    <xf numFmtId="0" fontId="1" fillId="0" borderId="10" xfId="0" applyFont="1" applyFill="1" applyBorder="1" applyAlignment="1">
      <alignment horizontal="justify" vertical="center" wrapText="1" readingOrder="2"/>
    </xf>
    <xf numFmtId="167" fontId="1" fillId="4" borderId="14" xfId="60" applyFont="1" applyFill="1" applyBorder="1" applyAlignment="1">
      <alignment horizontal="center"/>
      <protection/>
    </xf>
    <xf numFmtId="167" fontId="4" fillId="0" borderId="15" xfId="60" applyFont="1" applyFill="1" applyBorder="1" applyAlignment="1">
      <alignment horizontal="justify" wrapText="1"/>
      <protection/>
    </xf>
    <xf numFmtId="0" fontId="2" fillId="10" borderId="10" xfId="0" applyFont="1" applyFill="1" applyBorder="1" applyAlignment="1">
      <alignment horizontal="center" vertical="center" wrapText="1"/>
    </xf>
    <xf numFmtId="1" fontId="2" fillId="12" borderId="10" xfId="60" applyNumberFormat="1" applyFont="1" applyFill="1" applyBorder="1" applyAlignment="1">
      <alignment horizontal="center" vertical="center" wrapText="1"/>
      <protection/>
    </xf>
    <xf numFmtId="1" fontId="2" fillId="9" borderId="10" xfId="60" applyNumberFormat="1" applyFont="1" applyFill="1" applyBorder="1" applyAlignment="1">
      <alignment horizontal="center" vertical="center" wrapText="1"/>
      <protection/>
    </xf>
    <xf numFmtId="0" fontId="2" fillId="10" borderId="16" xfId="0" applyFont="1" applyFill="1" applyBorder="1" applyAlignment="1">
      <alignment vertical="center" wrapText="1"/>
    </xf>
    <xf numFmtId="0" fontId="2" fillId="10" borderId="17" xfId="0" applyFont="1" applyFill="1" applyBorder="1" applyAlignment="1">
      <alignment vertical="center"/>
    </xf>
    <xf numFmtId="0" fontId="2" fillId="10" borderId="17" xfId="0" applyFont="1" applyFill="1" applyBorder="1" applyAlignment="1">
      <alignment horizontal="justify" vertical="center"/>
    </xf>
    <xf numFmtId="0" fontId="2" fillId="10" borderId="17" xfId="0" applyFont="1" applyFill="1" applyBorder="1" applyAlignment="1">
      <alignment horizontal="center" vertical="center"/>
    </xf>
    <xf numFmtId="0" fontId="2" fillId="9" borderId="17" xfId="0" applyFont="1" applyFill="1" applyBorder="1" applyAlignment="1">
      <alignment vertical="center"/>
    </xf>
    <xf numFmtId="0" fontId="2" fillId="9" borderId="17" xfId="0" applyFont="1" applyFill="1" applyBorder="1" applyAlignment="1">
      <alignment horizontal="justify" vertical="center"/>
    </xf>
    <xf numFmtId="0" fontId="2" fillId="9" borderId="17" xfId="0" applyFont="1" applyFill="1" applyBorder="1" applyAlignment="1">
      <alignment horizontal="center" vertical="center"/>
    </xf>
    <xf numFmtId="0" fontId="2" fillId="10" borderId="17" xfId="0" applyFont="1" applyFill="1" applyBorder="1" applyAlignment="1">
      <alignment vertical="center"/>
    </xf>
    <xf numFmtId="0" fontId="2" fillId="10" borderId="14" xfId="0" applyFont="1" applyFill="1" applyBorder="1" applyAlignment="1">
      <alignment vertical="center"/>
    </xf>
    <xf numFmtId="0" fontId="2" fillId="10" borderId="14" xfId="0" applyFont="1" applyFill="1" applyBorder="1" applyAlignment="1">
      <alignment horizontal="justify" vertical="center"/>
    </xf>
    <xf numFmtId="0" fontId="2" fillId="10" borderId="14" xfId="0" applyFont="1" applyFill="1" applyBorder="1" applyAlignment="1">
      <alignment horizontal="center" vertical="center"/>
    </xf>
    <xf numFmtId="1" fontId="2" fillId="10" borderId="17" xfId="0" applyNumberFormat="1" applyFont="1" applyFill="1" applyBorder="1" applyAlignment="1">
      <alignment horizontal="left" vertical="center" wrapText="1"/>
    </xf>
    <xf numFmtId="1" fontId="2" fillId="10" borderId="17" xfId="0" applyNumberFormat="1" applyFont="1" applyFill="1" applyBorder="1" applyAlignment="1">
      <alignment vertical="center"/>
    </xf>
    <xf numFmtId="0" fontId="1" fillId="10" borderId="16" xfId="0" applyFont="1" applyFill="1" applyBorder="1" applyAlignment="1">
      <alignment vertical="center"/>
    </xf>
    <xf numFmtId="1" fontId="2" fillId="9" borderId="17" xfId="0" applyNumberFormat="1" applyFont="1" applyFill="1" applyBorder="1" applyAlignment="1">
      <alignment horizontal="justify" vertical="center" wrapText="1"/>
    </xf>
    <xf numFmtId="1" fontId="2" fillId="9" borderId="17" xfId="0" applyNumberFormat="1" applyFont="1" applyFill="1" applyBorder="1" applyAlignment="1">
      <alignment vertical="center"/>
    </xf>
    <xf numFmtId="0" fontId="1" fillId="9" borderId="16" xfId="0" applyFont="1" applyFill="1" applyBorder="1" applyAlignment="1">
      <alignment vertical="center"/>
    </xf>
    <xf numFmtId="0" fontId="2" fillId="10" borderId="14" xfId="0" applyFont="1" applyFill="1" applyBorder="1" applyAlignment="1">
      <alignment vertical="center"/>
    </xf>
    <xf numFmtId="0" fontId="2" fillId="10" borderId="14" xfId="0" applyFont="1" applyFill="1" applyBorder="1" applyAlignment="1">
      <alignment horizontal="justify" vertical="center"/>
    </xf>
    <xf numFmtId="1" fontId="2" fillId="10" borderId="10" xfId="0" applyNumberFormat="1" applyFont="1" applyFill="1" applyBorder="1" applyAlignment="1">
      <alignment horizontal="justify" vertical="center" wrapText="1"/>
    </xf>
    <xf numFmtId="0" fontId="2" fillId="10" borderId="18" xfId="0" applyFont="1" applyFill="1" applyBorder="1" applyAlignment="1">
      <alignment vertical="center"/>
    </xf>
    <xf numFmtId="0" fontId="1" fillId="10" borderId="19" xfId="0" applyFont="1" applyFill="1" applyBorder="1" applyAlignment="1">
      <alignment vertical="center"/>
    </xf>
    <xf numFmtId="0" fontId="2" fillId="10" borderId="20" xfId="0" applyFont="1" applyFill="1" applyBorder="1" applyAlignment="1">
      <alignment vertical="center"/>
    </xf>
    <xf numFmtId="0" fontId="2" fillId="12" borderId="17" xfId="0" applyFont="1" applyFill="1" applyBorder="1" applyAlignment="1">
      <alignment vertical="center"/>
    </xf>
    <xf numFmtId="0" fontId="2" fillId="12" borderId="17" xfId="0" applyFont="1" applyFill="1" applyBorder="1" applyAlignment="1">
      <alignment horizontal="justify" vertical="center"/>
    </xf>
    <xf numFmtId="0" fontId="2" fillId="12" borderId="15" xfId="0" applyFont="1" applyFill="1" applyBorder="1" applyAlignment="1">
      <alignment vertical="center"/>
    </xf>
    <xf numFmtId="0" fontId="2" fillId="9" borderId="15" xfId="0" applyFont="1" applyFill="1" applyBorder="1" applyAlignment="1">
      <alignment vertical="center"/>
    </xf>
    <xf numFmtId="167" fontId="2" fillId="12" borderId="15" xfId="60" applyFont="1" applyFill="1" applyBorder="1" applyAlignment="1">
      <alignment vertical="center"/>
      <protection/>
    </xf>
    <xf numFmtId="167" fontId="2" fillId="12" borderId="17" xfId="60" applyFont="1" applyFill="1" applyBorder="1" applyAlignment="1">
      <alignment vertical="center"/>
      <protection/>
    </xf>
    <xf numFmtId="167" fontId="2" fillId="9" borderId="15" xfId="60" applyFont="1" applyFill="1" applyBorder="1" applyAlignment="1">
      <alignment vertical="center"/>
      <protection/>
    </xf>
    <xf numFmtId="167" fontId="2" fillId="9" borderId="17" xfId="60" applyFont="1" applyFill="1" applyBorder="1" applyAlignment="1">
      <alignment vertical="center"/>
      <protection/>
    </xf>
    <xf numFmtId="167" fontId="2" fillId="10" borderId="15" xfId="60" applyFont="1" applyFill="1" applyBorder="1" applyAlignment="1">
      <alignment vertical="center"/>
      <protection/>
    </xf>
    <xf numFmtId="167" fontId="2" fillId="10" borderId="17" xfId="60" applyFont="1" applyFill="1" applyBorder="1" applyAlignment="1">
      <alignment vertical="center"/>
      <protection/>
    </xf>
    <xf numFmtId="0" fontId="1" fillId="4" borderId="21" xfId="0" applyFont="1" applyFill="1" applyBorder="1" applyAlignment="1">
      <alignment horizontal="justify" vertical="center"/>
    </xf>
    <xf numFmtId="0" fontId="1" fillId="4" borderId="22" xfId="0" applyFont="1" applyFill="1" applyBorder="1" applyAlignment="1">
      <alignment horizontal="justify" vertical="center"/>
    </xf>
    <xf numFmtId="0" fontId="1" fillId="0" borderId="21" xfId="0" applyFont="1" applyBorder="1" applyAlignment="1">
      <alignment/>
    </xf>
    <xf numFmtId="0" fontId="1" fillId="0" borderId="21" xfId="0" applyFont="1" applyFill="1" applyBorder="1" applyAlignment="1">
      <alignment horizontal="right" vertical="center"/>
    </xf>
    <xf numFmtId="169" fontId="1" fillId="0" borderId="21" xfId="0" applyNumberFormat="1" applyFont="1" applyBorder="1" applyAlignment="1">
      <alignment horizontal="center"/>
    </xf>
    <xf numFmtId="0" fontId="1" fillId="0" borderId="22" xfId="0" applyFont="1" applyBorder="1" applyAlignment="1">
      <alignment horizontal="left"/>
    </xf>
    <xf numFmtId="0" fontId="1" fillId="4" borderId="21" xfId="0" applyFont="1" applyFill="1" applyBorder="1" applyAlignment="1">
      <alignment/>
    </xf>
    <xf numFmtId="0" fontId="1" fillId="4" borderId="23" xfId="0" applyFont="1" applyFill="1" applyBorder="1" applyAlignment="1">
      <alignment/>
    </xf>
    <xf numFmtId="167" fontId="2" fillId="9" borderId="10" xfId="60" applyFont="1" applyFill="1" applyBorder="1" applyAlignment="1">
      <alignment horizontal="center" vertical="center" textRotation="180" wrapText="1"/>
      <protection/>
    </xf>
    <xf numFmtId="49" fontId="2" fillId="9" borderId="10" xfId="60" applyNumberFormat="1" applyFont="1" applyFill="1" applyBorder="1" applyAlignment="1">
      <alignment horizontal="center" vertical="center" textRotation="180" wrapText="1"/>
      <protection/>
    </xf>
    <xf numFmtId="0" fontId="7" fillId="9" borderId="24" xfId="0" applyFont="1" applyFill="1" applyBorder="1" applyAlignment="1">
      <alignment horizontal="center" vertical="center" wrapText="1"/>
    </xf>
    <xf numFmtId="167" fontId="1" fillId="19" borderId="24" xfId="0" applyNumberFormat="1" applyFont="1" applyFill="1" applyBorder="1" applyAlignment="1">
      <alignment horizontal="center" vertical="center" wrapText="1"/>
    </xf>
    <xf numFmtId="167" fontId="6" fillId="19" borderId="24" xfId="0" applyNumberFormat="1" applyFont="1" applyFill="1" applyBorder="1" applyAlignment="1">
      <alignment horizontal="center" vertical="center" wrapText="1"/>
    </xf>
    <xf numFmtId="167" fontId="1" fillId="19" borderId="10" xfId="0" applyNumberFormat="1" applyFont="1" applyFill="1" applyBorder="1" applyAlignment="1">
      <alignment horizontal="center" vertical="center" wrapText="1"/>
    </xf>
    <xf numFmtId="167" fontId="6" fillId="19" borderId="10" xfId="0" applyNumberFormat="1" applyFont="1" applyFill="1" applyBorder="1" applyAlignment="1">
      <alignment horizontal="center" vertical="center" wrapText="1"/>
    </xf>
    <xf numFmtId="0" fontId="7" fillId="9" borderId="10" xfId="0" applyFont="1" applyFill="1" applyBorder="1" applyAlignment="1">
      <alignment horizontal="center" vertical="center" wrapText="1"/>
    </xf>
    <xf numFmtId="169" fontId="2" fillId="9" borderId="10" xfId="0" applyNumberFormat="1" applyFont="1" applyFill="1" applyBorder="1" applyAlignment="1">
      <alignment vertical="center" wrapText="1"/>
    </xf>
    <xf numFmtId="0" fontId="2" fillId="9" borderId="25" xfId="0" applyFont="1" applyFill="1" applyBorder="1" applyAlignment="1">
      <alignment vertical="center" wrapText="1"/>
    </xf>
    <xf numFmtId="0" fontId="2" fillId="9" borderId="26" xfId="0" applyFont="1" applyFill="1" applyBorder="1" applyAlignment="1">
      <alignment vertical="center" wrapText="1"/>
    </xf>
    <xf numFmtId="167" fontId="7" fillId="9" borderId="10" xfId="60" applyFont="1" applyFill="1" applyBorder="1" applyAlignment="1">
      <alignment horizontal="center" vertical="center" wrapText="1"/>
      <protection/>
    </xf>
    <xf numFmtId="167" fontId="2" fillId="0" borderId="0" xfId="60" applyFont="1" applyFill="1" applyBorder="1" applyAlignment="1">
      <alignment vertical="center"/>
      <protection/>
    </xf>
    <xf numFmtId="3" fontId="2" fillId="9" borderId="27" xfId="60" applyNumberFormat="1" applyFont="1" applyFill="1" applyBorder="1" applyAlignment="1">
      <alignment horizontal="center" vertical="center" wrapText="1"/>
      <protection/>
    </xf>
    <xf numFmtId="167" fontId="2" fillId="9" borderId="28" xfId="60" applyFont="1" applyFill="1" applyBorder="1" applyAlignment="1">
      <alignment horizontal="center" vertical="center" wrapText="1"/>
      <protection/>
    </xf>
    <xf numFmtId="0" fontId="2" fillId="10" borderId="28" xfId="60" applyNumberFormat="1" applyFont="1" applyFill="1" applyBorder="1" applyAlignment="1">
      <alignment horizontal="center" vertical="center" wrapText="1"/>
      <protection/>
    </xf>
    <xf numFmtId="167" fontId="2" fillId="10" borderId="29" xfId="60" applyFont="1" applyFill="1" applyBorder="1" applyAlignment="1">
      <alignment vertical="center"/>
      <protection/>
    </xf>
    <xf numFmtId="167" fontId="2" fillId="9" borderId="29" xfId="60" applyFont="1" applyFill="1" applyBorder="1" applyAlignment="1">
      <alignment vertical="center"/>
      <protection/>
    </xf>
    <xf numFmtId="167" fontId="2" fillId="12" borderId="29" xfId="60" applyFont="1" applyFill="1" applyBorder="1" applyAlignment="1">
      <alignment vertical="center"/>
      <protection/>
    </xf>
    <xf numFmtId="0" fontId="2" fillId="9" borderId="29" xfId="0" applyFont="1" applyFill="1" applyBorder="1" applyAlignment="1">
      <alignment vertical="center"/>
    </xf>
    <xf numFmtId="170" fontId="2" fillId="0" borderId="11" xfId="60" applyNumberFormat="1" applyFont="1" applyFill="1" applyBorder="1" applyAlignment="1">
      <alignment vertical="center"/>
      <protection/>
    </xf>
    <xf numFmtId="167" fontId="2" fillId="0" borderId="11" xfId="60" applyFont="1" applyFill="1" applyBorder="1" applyAlignment="1">
      <alignment vertical="center"/>
      <protection/>
    </xf>
    <xf numFmtId="167" fontId="2" fillId="0" borderId="11" xfId="60" applyFont="1" applyFill="1" applyBorder="1" applyAlignment="1">
      <alignment horizontal="justify" vertical="center"/>
      <protection/>
    </xf>
    <xf numFmtId="167" fontId="2" fillId="0" borderId="30" xfId="60" applyFont="1" applyFill="1" applyBorder="1" applyAlignment="1">
      <alignment horizontal="justify" vertical="center"/>
      <protection/>
    </xf>
    <xf numFmtId="167" fontId="2" fillId="0" borderId="18" xfId="60" applyFont="1" applyFill="1" applyBorder="1" applyAlignment="1">
      <alignment horizontal="justify" vertical="center"/>
      <protection/>
    </xf>
    <xf numFmtId="167" fontId="2" fillId="0" borderId="18" xfId="60" applyFont="1" applyFill="1" applyBorder="1" applyAlignment="1">
      <alignment vertical="center"/>
      <protection/>
    </xf>
    <xf numFmtId="167" fontId="2" fillId="0" borderId="18" xfId="60" applyFont="1" applyFill="1" applyBorder="1" applyAlignment="1">
      <alignment horizontal="right" vertical="center"/>
      <protection/>
    </xf>
    <xf numFmtId="167" fontId="2" fillId="0" borderId="31" xfId="60" applyFont="1" applyFill="1" applyBorder="1" applyAlignment="1">
      <alignment horizontal="right" vertical="center"/>
      <protection/>
    </xf>
    <xf numFmtId="44" fontId="1" fillId="0" borderId="32" xfId="54" applyFont="1" applyFill="1" applyBorder="1" applyAlignment="1">
      <alignment horizontal="center"/>
    </xf>
    <xf numFmtId="0" fontId="2" fillId="10" borderId="33" xfId="0" applyFont="1" applyFill="1" applyBorder="1" applyAlignment="1">
      <alignment vertical="center"/>
    </xf>
    <xf numFmtId="0" fontId="2" fillId="12" borderId="29" xfId="0" applyFont="1" applyFill="1" applyBorder="1" applyAlignment="1">
      <alignment vertical="center"/>
    </xf>
    <xf numFmtId="169" fontId="2" fillId="19" borderId="10" xfId="0" applyNumberFormat="1" applyFont="1" applyFill="1" applyBorder="1" applyAlignment="1">
      <alignment horizontal="center" vertical="center" wrapText="1"/>
    </xf>
    <xf numFmtId="169" fontId="7" fillId="9" borderId="10" xfId="0" applyNumberFormat="1" applyFont="1" applyFill="1" applyBorder="1" applyAlignment="1">
      <alignment horizontal="center" vertical="center" wrapText="1"/>
    </xf>
    <xf numFmtId="169" fontId="7" fillId="9" borderId="10" xfId="60" applyNumberFormat="1" applyFont="1" applyFill="1" applyBorder="1" applyAlignment="1">
      <alignment horizontal="center" vertical="center" wrapText="1"/>
      <protection/>
    </xf>
    <xf numFmtId="169" fontId="7" fillId="9" borderId="15" xfId="60" applyNumberFormat="1" applyFont="1" applyFill="1" applyBorder="1" applyAlignment="1">
      <alignment horizontal="center" vertical="center" wrapText="1"/>
      <protection/>
    </xf>
    <xf numFmtId="169" fontId="7" fillId="19" borderId="10" xfId="0" applyNumberFormat="1" applyFont="1" applyFill="1" applyBorder="1" applyAlignment="1">
      <alignment horizontal="center" vertical="center" wrapText="1"/>
    </xf>
    <xf numFmtId="175" fontId="2" fillId="0" borderId="11" xfId="54" applyNumberFormat="1" applyFont="1" applyFill="1" applyBorder="1" applyAlignment="1">
      <alignment horizontal="justify" vertical="center"/>
    </xf>
    <xf numFmtId="0" fontId="7" fillId="9" borderId="12" xfId="0" applyFont="1" applyFill="1" applyBorder="1" applyAlignment="1">
      <alignment horizontal="center" vertical="center" wrapText="1"/>
    </xf>
    <xf numFmtId="170" fontId="5" fillId="0" borderId="32" xfId="0" applyNumberFormat="1" applyFont="1" applyFill="1" applyBorder="1" applyAlignment="1">
      <alignment vertical="center"/>
    </xf>
    <xf numFmtId="0" fontId="7" fillId="0" borderId="34" xfId="0" applyFont="1" applyBorder="1" applyAlignment="1">
      <alignment horizontal="center" vertical="center"/>
    </xf>
    <xf numFmtId="0" fontId="6" fillId="0" borderId="0" xfId="0" applyFont="1" applyAlignment="1">
      <alignment/>
    </xf>
    <xf numFmtId="3" fontId="6" fillId="0" borderId="35" xfId="0" applyNumberFormat="1" applyFont="1" applyFill="1" applyBorder="1" applyAlignment="1">
      <alignment horizontal="center" vertical="center" wrapText="1"/>
    </xf>
    <xf numFmtId="0" fontId="2" fillId="9" borderId="10" xfId="0" applyFont="1" applyFill="1" applyBorder="1" applyAlignment="1">
      <alignment horizontal="center" vertical="center" wrapText="1"/>
    </xf>
    <xf numFmtId="169" fontId="2" fillId="9" borderId="10" xfId="60" applyNumberFormat="1" applyFont="1" applyFill="1" applyBorder="1" applyAlignment="1">
      <alignment horizontal="center" vertical="center" wrapText="1"/>
      <protection/>
    </xf>
    <xf numFmtId="167" fontId="2" fillId="9" borderId="10" xfId="60" applyFont="1" applyFill="1" applyBorder="1" applyAlignment="1">
      <alignment horizontal="center" vertical="center" wrapText="1"/>
      <protection/>
    </xf>
    <xf numFmtId="170" fontId="4" fillId="4" borderId="10" xfId="0" applyNumberFormat="1" applyFont="1" applyFill="1" applyBorder="1" applyAlignment="1">
      <alignment horizontal="center" vertical="center" wrapText="1"/>
    </xf>
    <xf numFmtId="0" fontId="4" fillId="0" borderId="0" xfId="0" applyFont="1" applyAlignment="1">
      <alignment/>
    </xf>
    <xf numFmtId="0" fontId="5" fillId="9" borderId="17" xfId="0" applyFont="1" applyFill="1" applyBorder="1" applyAlignment="1">
      <alignment vertical="center"/>
    </xf>
    <xf numFmtId="0" fontId="4" fillId="0" borderId="0" xfId="0" applyFont="1" applyAlignment="1">
      <alignment horizontal="center" vertical="center"/>
    </xf>
    <xf numFmtId="0" fontId="4" fillId="0" borderId="0" xfId="0" applyFont="1" applyFill="1" applyAlignment="1">
      <alignment/>
    </xf>
    <xf numFmtId="0" fontId="5" fillId="4" borderId="21" xfId="0" applyFont="1" applyFill="1" applyBorder="1" applyAlignment="1">
      <alignment horizontal="justify" vertical="center"/>
    </xf>
    <xf numFmtId="170" fontId="4" fillId="0" borderId="10" xfId="60" applyNumberFormat="1" applyFont="1" applyFill="1" applyBorder="1" applyAlignment="1">
      <alignment horizontal="center" vertical="center" wrapText="1"/>
      <protection/>
    </xf>
    <xf numFmtId="167" fontId="4" fillId="0" borderId="10" xfId="60" applyFont="1" applyFill="1" applyBorder="1" applyAlignment="1">
      <alignment horizontal="left" vertical="center" wrapText="1"/>
      <protection/>
    </xf>
    <xf numFmtId="1" fontId="4" fillId="0" borderId="15" xfId="60" applyNumberFormat="1" applyFont="1" applyFill="1" applyBorder="1" applyAlignment="1">
      <alignment horizontal="center" vertical="center" textRotation="180" wrapText="1"/>
      <protection/>
    </xf>
    <xf numFmtId="1" fontId="4" fillId="0" borderId="15" xfId="60" applyNumberFormat="1" applyFont="1" applyFill="1" applyBorder="1" applyAlignment="1">
      <alignment horizontal="center" vertical="center" wrapText="1"/>
      <protection/>
    </xf>
    <xf numFmtId="169" fontId="4" fillId="0" borderId="15" xfId="60" applyNumberFormat="1" applyFont="1" applyFill="1" applyBorder="1" applyAlignment="1">
      <alignment horizontal="center" vertical="center" wrapText="1"/>
      <protection/>
    </xf>
    <xf numFmtId="167" fontId="4" fillId="0" borderId="0" xfId="60" applyFont="1" applyFill="1">
      <alignment/>
      <protection/>
    </xf>
    <xf numFmtId="167" fontId="4" fillId="0" borderId="26" xfId="60" applyFont="1" applyFill="1" applyBorder="1" applyAlignment="1">
      <alignment horizontal="justify" vertical="center" wrapText="1"/>
      <protection/>
    </xf>
    <xf numFmtId="167" fontId="4" fillId="0" borderId="12" xfId="60" applyFont="1" applyFill="1" applyBorder="1" applyAlignment="1">
      <alignment horizontal="justify" vertical="center" wrapText="1"/>
      <protection/>
    </xf>
    <xf numFmtId="170" fontId="4" fillId="0" borderId="12" xfId="60" applyNumberFormat="1" applyFont="1" applyFill="1" applyBorder="1" applyAlignment="1">
      <alignment horizontal="center" vertical="center" wrapText="1"/>
      <protection/>
    </xf>
    <xf numFmtId="1" fontId="4" fillId="0" borderId="26" xfId="60" applyNumberFormat="1" applyFont="1" applyFill="1" applyBorder="1" applyAlignment="1">
      <alignment horizontal="center" vertical="center" textRotation="180" wrapText="1"/>
      <protection/>
    </xf>
    <xf numFmtId="1" fontId="4" fillId="0" borderId="26" xfId="60" applyNumberFormat="1" applyFont="1" applyFill="1" applyBorder="1" applyAlignment="1">
      <alignment horizontal="center" vertical="center" wrapText="1"/>
      <protection/>
    </xf>
    <xf numFmtId="169" fontId="4" fillId="0" borderId="26" xfId="60" applyNumberFormat="1" applyFont="1" applyFill="1" applyBorder="1" applyAlignment="1">
      <alignment horizontal="center" vertical="center" wrapText="1"/>
      <protection/>
    </xf>
    <xf numFmtId="3" fontId="4" fillId="0" borderId="36" xfId="60" applyNumberFormat="1" applyFont="1" applyFill="1" applyBorder="1" applyAlignment="1">
      <alignment horizontal="center" vertical="center" wrapText="1"/>
      <protection/>
    </xf>
    <xf numFmtId="1" fontId="5" fillId="9" borderId="34" xfId="60" applyNumberFormat="1" applyFont="1" applyFill="1" applyBorder="1" applyAlignment="1">
      <alignment horizontal="center" vertical="center" wrapText="1"/>
      <protection/>
    </xf>
    <xf numFmtId="0" fontId="5" fillId="9" borderId="29" xfId="0" applyFont="1" applyFill="1" applyBorder="1" applyAlignment="1">
      <alignment vertical="center"/>
    </xf>
    <xf numFmtId="1" fontId="4" fillId="0" borderId="10" xfId="60" applyNumberFormat="1" applyFont="1" applyFill="1" applyBorder="1" applyAlignment="1">
      <alignment horizontal="center" vertical="center" wrapText="1"/>
      <protection/>
    </xf>
    <xf numFmtId="1" fontId="5" fillId="12" borderId="16" xfId="60" applyNumberFormat="1" applyFont="1" applyFill="1" applyBorder="1" applyAlignment="1">
      <alignment horizontal="center" vertical="center" wrapText="1"/>
      <protection/>
    </xf>
    <xf numFmtId="167" fontId="5" fillId="12" borderId="15" xfId="60" applyFont="1" applyFill="1" applyBorder="1" applyAlignment="1">
      <alignment vertical="center"/>
      <protection/>
    </xf>
    <xf numFmtId="167" fontId="5" fillId="12" borderId="17" xfId="60" applyFont="1" applyFill="1" applyBorder="1" applyAlignment="1">
      <alignment vertical="center" wrapText="1"/>
      <protection/>
    </xf>
    <xf numFmtId="167" fontId="5" fillId="12" borderId="29" xfId="60" applyFont="1" applyFill="1" applyBorder="1" applyAlignment="1">
      <alignment vertical="center" wrapText="1"/>
      <protection/>
    </xf>
    <xf numFmtId="167" fontId="4" fillId="0" borderId="10" xfId="60" applyFont="1" applyFill="1" applyBorder="1" applyAlignment="1">
      <alignment horizontal="justify" vertical="center" wrapText="1"/>
      <protection/>
    </xf>
    <xf numFmtId="0" fontId="4" fillId="0" borderId="10" xfId="60" applyNumberFormat="1" applyFont="1" applyFill="1" applyBorder="1" applyAlignment="1">
      <alignment horizontal="center" vertical="center" wrapText="1"/>
      <protection/>
    </xf>
    <xf numFmtId="167" fontId="4" fillId="0" borderId="10" xfId="60" applyFont="1" applyFill="1" applyBorder="1" applyAlignment="1">
      <alignment horizontal="center" vertical="center" wrapText="1"/>
      <protection/>
    </xf>
    <xf numFmtId="3" fontId="4" fillId="0" borderId="27" xfId="60" applyNumberFormat="1" applyFont="1" applyFill="1" applyBorder="1" applyAlignment="1">
      <alignment horizontal="center" vertical="center" wrapText="1"/>
      <protection/>
    </xf>
    <xf numFmtId="167" fontId="4" fillId="0" borderId="37" xfId="60" applyFont="1" applyFill="1" applyBorder="1" applyAlignment="1">
      <alignment horizontal="justify" vertical="center" wrapText="1"/>
      <protection/>
    </xf>
    <xf numFmtId="170" fontId="4" fillId="0" borderId="37" xfId="60" applyNumberFormat="1" applyFont="1" applyFill="1" applyBorder="1" applyAlignment="1">
      <alignment horizontal="center" vertical="center" wrapText="1"/>
      <protection/>
    </xf>
    <xf numFmtId="0" fontId="4" fillId="4" borderId="10" xfId="0" applyFont="1" applyFill="1" applyBorder="1" applyAlignment="1">
      <alignment horizontal="justify" vertical="center" wrapText="1"/>
    </xf>
    <xf numFmtId="167" fontId="1" fillId="0" borderId="0" xfId="0" applyNumberFormat="1" applyFont="1" applyFill="1" applyBorder="1" applyAlignment="1">
      <alignment horizontal="justify" vertical="center"/>
    </xf>
    <xf numFmtId="43" fontId="1" fillId="0" borderId="0" xfId="51" applyFont="1" applyFill="1" applyBorder="1" applyAlignment="1">
      <alignment horizontal="justify" vertical="center"/>
    </xf>
    <xf numFmtId="0" fontId="9" fillId="0" borderId="10" xfId="0" applyFont="1" applyBorder="1" applyAlignment="1">
      <alignment vertical="center"/>
    </xf>
    <xf numFmtId="0" fontId="9" fillId="0" borderId="10" xfId="0" applyFont="1" applyBorder="1" applyAlignment="1">
      <alignment horizontal="center" vertical="center"/>
    </xf>
    <xf numFmtId="44" fontId="2" fillId="0" borderId="32" xfId="54" applyFont="1" applyFill="1" applyBorder="1" applyAlignment="1">
      <alignment horizontal="center"/>
    </xf>
    <xf numFmtId="0" fontId="7" fillId="0" borderId="14" xfId="0" applyFont="1" applyBorder="1" applyAlignment="1">
      <alignment horizontal="center" vertical="center"/>
    </xf>
    <xf numFmtId="0" fontId="7" fillId="10" borderId="14" xfId="0" applyFont="1" applyFill="1" applyBorder="1" applyAlignment="1">
      <alignment vertical="center"/>
    </xf>
    <xf numFmtId="0" fontId="7" fillId="9" borderId="17" xfId="0" applyFont="1" applyFill="1" applyBorder="1" applyAlignment="1">
      <alignment vertical="center"/>
    </xf>
    <xf numFmtId="0" fontId="7" fillId="12" borderId="17" xfId="0" applyFont="1" applyFill="1" applyBorder="1" applyAlignment="1">
      <alignment vertical="center"/>
    </xf>
    <xf numFmtId="170" fontId="6" fillId="4" borderId="10" xfId="0" applyNumberFormat="1" applyFont="1" applyFill="1" applyBorder="1" applyAlignment="1">
      <alignment horizontal="center" vertical="center" wrapText="1"/>
    </xf>
    <xf numFmtId="43" fontId="6" fillId="0" borderId="0" xfId="51" applyFont="1" applyFill="1" applyBorder="1" applyAlignment="1">
      <alignment horizontal="justify" vertical="center"/>
    </xf>
    <xf numFmtId="0" fontId="7" fillId="0" borderId="0" xfId="0" applyFont="1" applyBorder="1" applyAlignment="1">
      <alignment horizontal="center" vertical="center" wrapText="1"/>
    </xf>
    <xf numFmtId="0" fontId="7" fillId="0" borderId="34" xfId="0" applyFont="1" applyBorder="1" applyAlignment="1">
      <alignment horizontal="center" vertical="center" wrapText="1"/>
    </xf>
    <xf numFmtId="0" fontId="7" fillId="9" borderId="38" xfId="0" applyFont="1" applyFill="1" applyBorder="1" applyAlignment="1">
      <alignment vertical="center" wrapText="1"/>
    </xf>
    <xf numFmtId="0" fontId="7" fillId="9" borderId="13" xfId="0" applyFont="1" applyFill="1" applyBorder="1" applyAlignment="1">
      <alignment vertical="center" wrapText="1"/>
    </xf>
    <xf numFmtId="0" fontId="6" fillId="0" borderId="0" xfId="0" applyFont="1" applyFill="1" applyAlignment="1">
      <alignment horizontal="center"/>
    </xf>
    <xf numFmtId="167" fontId="7" fillId="10" borderId="17" xfId="60" applyFont="1" applyFill="1" applyBorder="1" applyAlignment="1">
      <alignment vertical="center"/>
      <protection/>
    </xf>
    <xf numFmtId="167" fontId="7" fillId="9" borderId="17" xfId="60" applyFont="1" applyFill="1" applyBorder="1" applyAlignment="1">
      <alignment vertical="center"/>
      <protection/>
    </xf>
    <xf numFmtId="167" fontId="7" fillId="12" borderId="17" xfId="60" applyFont="1" applyFill="1" applyBorder="1" applyAlignment="1">
      <alignment vertical="center"/>
      <protection/>
    </xf>
    <xf numFmtId="1" fontId="6" fillId="0" borderId="10" xfId="60" applyNumberFormat="1" applyFont="1" applyFill="1" applyBorder="1" applyAlignment="1">
      <alignment horizontal="center" vertical="center" wrapText="1"/>
      <protection/>
    </xf>
    <xf numFmtId="167" fontId="7" fillId="12" borderId="17" xfId="60" applyFont="1" applyFill="1" applyBorder="1" applyAlignment="1">
      <alignment vertical="center" wrapText="1"/>
      <protection/>
    </xf>
    <xf numFmtId="167" fontId="6" fillId="4" borderId="0" xfId="60" applyFont="1" applyFill="1">
      <alignment/>
      <protection/>
    </xf>
    <xf numFmtId="170" fontId="6" fillId="0" borderId="10" xfId="60" applyNumberFormat="1" applyFont="1" applyFill="1" applyBorder="1" applyAlignment="1">
      <alignment horizontal="center" vertical="center" wrapText="1"/>
      <protection/>
    </xf>
    <xf numFmtId="170" fontId="6" fillId="0" borderId="12" xfId="60" applyNumberFormat="1" applyFont="1" applyFill="1" applyBorder="1" applyAlignment="1">
      <alignment horizontal="center" vertical="center" wrapText="1"/>
      <protection/>
    </xf>
    <xf numFmtId="170" fontId="6" fillId="0" borderId="37" xfId="60" applyNumberFormat="1" applyFont="1" applyFill="1" applyBorder="1" applyAlignment="1">
      <alignment horizontal="center" vertical="center" wrapText="1"/>
      <protection/>
    </xf>
    <xf numFmtId="175" fontId="7" fillId="0" borderId="11" xfId="54" applyNumberFormat="1" applyFont="1" applyFill="1" applyBorder="1" applyAlignment="1">
      <alignment horizontal="justify" vertical="center"/>
    </xf>
    <xf numFmtId="44" fontId="7" fillId="0" borderId="11" xfId="54" applyFont="1" applyFill="1" applyBorder="1" applyAlignment="1">
      <alignment horizontal="justify" vertical="center"/>
    </xf>
    <xf numFmtId="167" fontId="6" fillId="4" borderId="0" xfId="60" applyFont="1" applyFill="1" applyAlignment="1">
      <alignment horizontal="justify" vertical="center"/>
      <protection/>
    </xf>
    <xf numFmtId="167" fontId="7" fillId="9" borderId="10" xfId="60" applyFont="1" applyFill="1" applyBorder="1" applyAlignment="1">
      <alignment horizontal="center" vertical="center" textRotation="180" wrapText="1"/>
      <protection/>
    </xf>
    <xf numFmtId="1" fontId="6" fillId="0" borderId="15" xfId="60" applyNumberFormat="1" applyFont="1" applyFill="1" applyBorder="1" applyAlignment="1">
      <alignment horizontal="center" vertical="center" textRotation="180" wrapText="1"/>
      <protection/>
    </xf>
    <xf numFmtId="1" fontId="6" fillId="0" borderId="26" xfId="60" applyNumberFormat="1" applyFont="1" applyFill="1" applyBorder="1" applyAlignment="1">
      <alignment horizontal="center" vertical="center" textRotation="180" wrapText="1"/>
      <protection/>
    </xf>
    <xf numFmtId="167" fontId="7" fillId="0" borderId="18" xfId="60" applyFont="1" applyFill="1" applyBorder="1" applyAlignment="1">
      <alignment vertical="center"/>
      <protection/>
    </xf>
    <xf numFmtId="49" fontId="7" fillId="9" borderId="10" xfId="60" applyNumberFormat="1" applyFont="1" applyFill="1" applyBorder="1" applyAlignment="1">
      <alignment horizontal="center" vertical="center" textRotation="180" wrapText="1"/>
      <protection/>
    </xf>
    <xf numFmtId="167" fontId="7" fillId="0" borderId="0" xfId="60" applyFont="1" applyBorder="1" applyAlignment="1">
      <alignment horizontal="center" vertical="center" wrapText="1"/>
      <protection/>
    </xf>
    <xf numFmtId="169" fontId="6" fillId="0" borderId="15" xfId="60" applyNumberFormat="1" applyFont="1" applyFill="1" applyBorder="1" applyAlignment="1">
      <alignment horizontal="center" vertical="center" wrapText="1"/>
      <protection/>
    </xf>
    <xf numFmtId="169" fontId="6" fillId="0" borderId="26" xfId="60" applyNumberFormat="1" applyFont="1" applyFill="1" applyBorder="1" applyAlignment="1">
      <alignment horizontal="center" vertical="center" wrapText="1"/>
      <protection/>
    </xf>
    <xf numFmtId="167" fontId="7" fillId="0" borderId="18" xfId="60" applyFont="1" applyFill="1" applyBorder="1" applyAlignment="1">
      <alignment horizontal="right" vertical="center"/>
      <protection/>
    </xf>
    <xf numFmtId="167" fontId="7" fillId="0" borderId="0" xfId="0" applyNumberFormat="1" applyFont="1" applyFill="1" applyBorder="1" applyAlignment="1">
      <alignment horizontal="center" vertical="center"/>
    </xf>
    <xf numFmtId="167" fontId="7" fillId="0" borderId="0" xfId="0" applyNumberFormat="1" applyFont="1" applyFill="1" applyBorder="1" applyAlignment="1">
      <alignment horizontal="center"/>
    </xf>
    <xf numFmtId="167" fontId="6" fillId="18" borderId="0" xfId="0" applyNumberFormat="1" applyFont="1" applyFill="1" applyBorder="1" applyAlignment="1">
      <alignment/>
    </xf>
    <xf numFmtId="44" fontId="6" fillId="0" borderId="32" xfId="54" applyFont="1" applyFill="1" applyBorder="1" applyAlignment="1">
      <alignment horizontal="center"/>
    </xf>
    <xf numFmtId="167" fontId="6" fillId="0" borderId="0" xfId="0" applyNumberFormat="1" applyFont="1" applyFill="1" applyBorder="1" applyAlignment="1">
      <alignment horizontal="justify" vertical="center"/>
    </xf>
    <xf numFmtId="167" fontId="6" fillId="18" borderId="0" xfId="0" applyNumberFormat="1" applyFont="1" applyFill="1" applyBorder="1" applyAlignment="1">
      <alignment horizontal="justify" vertical="center"/>
    </xf>
    <xf numFmtId="167" fontId="7" fillId="0" borderId="21" xfId="0" applyNumberFormat="1" applyFont="1" applyFill="1" applyBorder="1" applyAlignment="1">
      <alignment horizontal="center"/>
    </xf>
    <xf numFmtId="167" fontId="6" fillId="0" borderId="0" xfId="0" applyNumberFormat="1" applyFont="1" applyFill="1" applyBorder="1" applyAlignment="1">
      <alignment/>
    </xf>
    <xf numFmtId="167" fontId="6" fillId="0" borderId="0" xfId="0" applyNumberFormat="1" applyFont="1" applyFill="1" applyBorder="1" applyAlignment="1">
      <alignment horizontal="right" vertical="center"/>
    </xf>
    <xf numFmtId="169" fontId="6" fillId="0" borderId="0" xfId="0" applyNumberFormat="1" applyFont="1" applyFill="1" applyBorder="1" applyAlignment="1">
      <alignment horizontal="center"/>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169" fontId="2" fillId="9" borderId="10" xfId="0" applyNumberFormat="1"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24" xfId="0" applyFont="1" applyFill="1" applyBorder="1" applyAlignment="1">
      <alignment horizontal="center" vertical="center" wrapText="1"/>
    </xf>
    <xf numFmtId="0" fontId="4" fillId="0" borderId="10" xfId="0" applyFont="1" applyFill="1" applyBorder="1" applyAlignment="1">
      <alignment horizontal="justify" vertical="center" wrapText="1"/>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169" fontId="1" fillId="0" borderId="10" xfId="0" applyNumberFormat="1" applyFont="1" applyFill="1" applyBorder="1" applyAlignment="1">
      <alignment horizontal="center" vertical="center" wrapText="1"/>
    </xf>
    <xf numFmtId="0" fontId="1" fillId="0" borderId="0" xfId="0" applyFont="1" applyAlignment="1">
      <alignment horizontal="center"/>
    </xf>
    <xf numFmtId="16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0" xfId="0" applyFont="1" applyAlignment="1">
      <alignment horizontal="left"/>
    </xf>
    <xf numFmtId="0" fontId="4" fillId="0" borderId="37" xfId="0" applyFont="1" applyFill="1" applyBorder="1" applyAlignment="1">
      <alignment horizontal="justify" vertical="center" wrapText="1"/>
    </xf>
    <xf numFmtId="0" fontId="2" fillId="9" borderId="17" xfId="0" applyFont="1" applyFill="1" applyBorder="1" applyAlignment="1">
      <alignment horizontal="left" vertical="center"/>
    </xf>
    <xf numFmtId="167" fontId="2" fillId="0" borderId="23" xfId="0" applyNumberFormat="1" applyFont="1" applyFill="1" applyBorder="1" applyAlignment="1">
      <alignment horizontal="center"/>
    </xf>
    <xf numFmtId="167" fontId="2" fillId="0" borderId="21" xfId="0" applyNumberFormat="1" applyFont="1" applyFill="1" applyBorder="1" applyAlignment="1">
      <alignment horizontal="center"/>
    </xf>
    <xf numFmtId="167" fontId="2" fillId="0" borderId="22" xfId="0" applyNumberFormat="1" applyFont="1" applyFill="1" applyBorder="1" applyAlignment="1">
      <alignment horizontal="center"/>
    </xf>
    <xf numFmtId="167" fontId="2" fillId="0" borderId="0" xfId="0" applyNumberFormat="1" applyFont="1" applyFill="1" applyBorder="1" applyAlignment="1">
      <alignment horizontal="center"/>
    </xf>
    <xf numFmtId="167" fontId="1" fillId="18" borderId="10" xfId="0" applyNumberFormat="1" applyFont="1" applyFill="1" applyBorder="1" applyAlignment="1">
      <alignment horizontal="justify" vertical="center" wrapText="1"/>
    </xf>
    <xf numFmtId="3" fontId="1" fillId="0" borderId="12"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170" fontId="6" fillId="0" borderId="37" xfId="0" applyNumberFormat="1" applyFont="1" applyFill="1" applyBorder="1" applyAlignment="1">
      <alignment horizontal="center" vertical="center" wrapText="1"/>
    </xf>
    <xf numFmtId="170" fontId="6" fillId="0" borderId="10" xfId="0" applyNumberFormat="1" applyFont="1" applyFill="1" applyBorder="1" applyAlignment="1">
      <alignment horizontal="center" vertical="center" wrapText="1"/>
    </xf>
    <xf numFmtId="0" fontId="2" fillId="9" borderId="24"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4" borderId="37"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1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4"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 fillId="0" borderId="37" xfId="0" applyNumberFormat="1" applyFont="1" applyFill="1" applyBorder="1" applyAlignment="1">
      <alignment horizontal="center" vertical="center" wrapText="1"/>
    </xf>
    <xf numFmtId="169" fontId="7" fillId="9" borderId="10" xfId="0" applyNumberFormat="1" applyFont="1" applyFill="1" applyBorder="1" applyAlignment="1">
      <alignment vertical="center" wrapText="1"/>
    </xf>
    <xf numFmtId="0" fontId="2" fillId="10" borderId="17" xfId="0" applyFont="1" applyFill="1" applyBorder="1" applyAlignment="1">
      <alignment vertical="center" wrapText="1"/>
    </xf>
    <xf numFmtId="0" fontId="7" fillId="10" borderId="17" xfId="0" applyFont="1" applyFill="1" applyBorder="1" applyAlignment="1">
      <alignment vertical="center" wrapText="1"/>
    </xf>
    <xf numFmtId="0" fontId="2" fillId="10" borderId="17" xfId="0" applyFont="1" applyFill="1" applyBorder="1" applyAlignment="1">
      <alignment horizontal="center" vertical="center" wrapText="1"/>
    </xf>
    <xf numFmtId="0" fontId="7" fillId="10" borderId="17" xfId="0" applyFont="1" applyFill="1" applyBorder="1" applyAlignment="1">
      <alignment horizontal="center" vertical="center" wrapText="1"/>
    </xf>
    <xf numFmtId="0" fontId="2" fillId="10" borderId="16" xfId="0" applyFont="1" applyFill="1" applyBorder="1" applyAlignment="1">
      <alignment vertical="center" wrapText="1"/>
    </xf>
    <xf numFmtId="0" fontId="2" fillId="9" borderId="15" xfId="0" applyFont="1" applyFill="1" applyBorder="1" applyAlignment="1">
      <alignment horizontal="center" vertical="center" wrapText="1"/>
    </xf>
    <xf numFmtId="0" fontId="2" fillId="9" borderId="17" xfId="0" applyFont="1" applyFill="1" applyBorder="1" applyAlignment="1">
      <alignment vertical="center" wrapText="1"/>
    </xf>
    <xf numFmtId="0" fontId="2" fillId="9" borderId="15" xfId="0" applyFont="1" applyFill="1" applyBorder="1" applyAlignment="1">
      <alignment vertical="center" wrapText="1"/>
    </xf>
    <xf numFmtId="0" fontId="7" fillId="9" borderId="17" xfId="0" applyFont="1" applyFill="1" applyBorder="1" applyAlignment="1">
      <alignment vertical="center" wrapText="1"/>
    </xf>
    <xf numFmtId="0" fontId="2" fillId="9" borderId="17"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2" fillId="9" borderId="16" xfId="0" applyFont="1" applyFill="1" applyBorder="1" applyAlignment="1">
      <alignment vertical="center" wrapText="1"/>
    </xf>
    <xf numFmtId="0" fontId="2" fillId="10" borderId="15" xfId="0" applyFont="1" applyFill="1" applyBorder="1" applyAlignment="1">
      <alignment horizontal="center" vertical="center" wrapText="1"/>
    </xf>
    <xf numFmtId="0" fontId="2" fillId="10" borderId="17" xfId="0" applyFont="1" applyFill="1" applyBorder="1" applyAlignment="1">
      <alignment vertical="center" wrapText="1"/>
    </xf>
    <xf numFmtId="0" fontId="7" fillId="10" borderId="17" xfId="0" applyFont="1" applyFill="1" applyBorder="1" applyAlignment="1">
      <alignment vertical="center" wrapText="1"/>
    </xf>
    <xf numFmtId="0" fontId="2" fillId="10" borderId="17" xfId="0" applyFont="1" applyFill="1" applyBorder="1" applyAlignment="1">
      <alignment horizontal="center" vertical="center" wrapText="1"/>
    </xf>
    <xf numFmtId="0" fontId="7" fillId="10" borderId="17" xfId="0" applyFont="1" applyFill="1" applyBorder="1" applyAlignment="1">
      <alignment horizontal="center" vertical="center" wrapText="1"/>
    </xf>
    <xf numFmtId="170" fontId="4" fillId="0" borderId="10" xfId="0" applyNumberFormat="1" applyFont="1" applyFill="1" applyBorder="1" applyAlignment="1">
      <alignment horizontal="center" vertical="center" wrapText="1"/>
    </xf>
    <xf numFmtId="0" fontId="4" fillId="4" borderId="10" xfId="0" applyFont="1" applyFill="1" applyBorder="1" applyAlignment="1">
      <alignment horizontal="justify" vertical="center" wrapText="1"/>
    </xf>
    <xf numFmtId="3" fontId="1" fillId="0" borderId="10" xfId="0" applyNumberFormat="1" applyFont="1" applyBorder="1" applyAlignment="1">
      <alignment horizontal="center" vertical="center"/>
    </xf>
    <xf numFmtId="170" fontId="4" fillId="0" borderId="37" xfId="0" applyNumberFormat="1" applyFont="1" applyFill="1" applyBorder="1" applyAlignment="1">
      <alignment horizontal="center" vertical="center" wrapText="1"/>
    </xf>
    <xf numFmtId="0" fontId="5" fillId="0" borderId="23"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Alignment="1">
      <alignment vertical="center"/>
    </xf>
    <xf numFmtId="0" fontId="5" fillId="0" borderId="23"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horizontal="justify" vertical="center"/>
    </xf>
    <xf numFmtId="170" fontId="5" fillId="0" borderId="32" xfId="0" applyNumberFormat="1" applyFont="1" applyFill="1" applyBorder="1" applyAlignment="1">
      <alignment horizontal="center" vertical="center"/>
    </xf>
    <xf numFmtId="170" fontId="5" fillId="0" borderId="23" xfId="0" applyNumberFormat="1" applyFont="1" applyFill="1" applyBorder="1" applyAlignment="1">
      <alignment vertical="center"/>
    </xf>
    <xf numFmtId="0" fontId="7" fillId="0" borderId="21" xfId="0" applyFont="1" applyBorder="1" applyAlignment="1">
      <alignment vertical="center"/>
    </xf>
    <xf numFmtId="172" fontId="5" fillId="0" borderId="21" xfId="47" applyNumberFormat="1" applyFont="1" applyBorder="1" applyAlignment="1">
      <alignment vertical="center"/>
    </xf>
    <xf numFmtId="0" fontId="5" fillId="0" borderId="21" xfId="0" applyFont="1" applyFill="1" applyBorder="1" applyAlignment="1">
      <alignment horizontal="center" vertical="center"/>
    </xf>
    <xf numFmtId="0" fontId="7" fillId="0" borderId="21" xfId="0" applyFont="1" applyFill="1" applyBorder="1" applyAlignment="1">
      <alignment horizontal="center" vertical="center"/>
    </xf>
    <xf numFmtId="169" fontId="5" fillId="0" borderId="21" xfId="0" applyNumberFormat="1" applyFont="1" applyBorder="1" applyAlignment="1">
      <alignment horizontal="center" vertical="center"/>
    </xf>
    <xf numFmtId="169" fontId="7" fillId="0" borderId="21" xfId="0" applyNumberFormat="1" applyFont="1" applyBorder="1" applyAlignment="1">
      <alignment horizontal="center" vertical="center"/>
    </xf>
    <xf numFmtId="0" fontId="5" fillId="0" borderId="22" xfId="0" applyFont="1" applyBorder="1" applyAlignment="1">
      <alignment horizontal="left" vertical="center"/>
    </xf>
    <xf numFmtId="3" fontId="4" fillId="0" borderId="0" xfId="0" applyNumberFormat="1" applyFont="1" applyFill="1" applyAlignment="1">
      <alignment/>
    </xf>
    <xf numFmtId="16" fontId="4" fillId="0" borderId="0" xfId="0" applyNumberFormat="1" applyFont="1" applyFill="1" applyAlignment="1">
      <alignment horizontal="center"/>
    </xf>
    <xf numFmtId="0" fontId="6" fillId="0" borderId="0" xfId="0" applyFont="1" applyAlignment="1">
      <alignment horizontal="center" vertical="center"/>
    </xf>
    <xf numFmtId="12" fontId="1" fillId="0" borderId="0" xfId="55" applyNumberFormat="1" applyFont="1" applyAlignment="1">
      <alignment/>
    </xf>
    <xf numFmtId="0" fontId="6" fillId="0" borderId="0" xfId="0" applyFont="1" applyAlignment="1">
      <alignment horizontal="center"/>
    </xf>
    <xf numFmtId="177" fontId="2" fillId="9" borderId="12" xfId="0" applyNumberFormat="1" applyFont="1" applyFill="1" applyBorder="1" applyAlignment="1">
      <alignment horizontal="center" vertical="center" wrapText="1"/>
    </xf>
    <xf numFmtId="177" fontId="7" fillId="9" borderId="12" xfId="0" applyNumberFormat="1" applyFont="1" applyFill="1" applyBorder="1" applyAlignment="1">
      <alignment horizontal="center" vertical="center" wrapText="1"/>
    </xf>
    <xf numFmtId="3" fontId="2" fillId="10" borderId="17" xfId="0" applyNumberFormat="1" applyFont="1" applyFill="1" applyBorder="1" applyAlignment="1">
      <alignment vertical="center"/>
    </xf>
    <xf numFmtId="3" fontId="2" fillId="9" borderId="17" xfId="0" applyNumberFormat="1" applyFont="1" applyFill="1" applyBorder="1" applyAlignment="1">
      <alignment vertical="center"/>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3" fontId="2" fillId="10" borderId="14" xfId="0" applyNumberFormat="1" applyFont="1" applyFill="1" applyBorder="1" applyAlignment="1">
      <alignment vertical="center"/>
    </xf>
    <xf numFmtId="177" fontId="1" fillId="0" borderId="10" xfId="0" applyNumberFormat="1" applyFont="1" applyFill="1" applyBorder="1" applyAlignment="1">
      <alignment horizontal="right" vertical="center" wrapText="1"/>
    </xf>
    <xf numFmtId="172" fontId="1" fillId="0" borderId="10" xfId="47" applyNumberFormat="1" applyFont="1" applyFill="1" applyBorder="1" applyAlignment="1">
      <alignment vertical="center" wrapText="1"/>
    </xf>
    <xf numFmtId="0" fontId="1" fillId="0" borderId="10" xfId="0" applyFont="1" applyFill="1" applyBorder="1" applyAlignment="1">
      <alignment horizontal="justify" vertical="justify" wrapText="1"/>
    </xf>
    <xf numFmtId="170" fontId="2" fillId="4" borderId="0" xfId="0" applyNumberFormat="1" applyFont="1" applyFill="1" applyAlignment="1">
      <alignment/>
    </xf>
    <xf numFmtId="177" fontId="1" fillId="4" borderId="0" xfId="0" applyNumberFormat="1" applyFont="1" applyFill="1" applyAlignment="1">
      <alignment horizontal="right" vertical="center"/>
    </xf>
    <xf numFmtId="177" fontId="1" fillId="4" borderId="0" xfId="0" applyNumberFormat="1" applyFont="1" applyFill="1" applyAlignment="1">
      <alignment vertical="center"/>
    </xf>
    <xf numFmtId="170" fontId="2" fillId="4" borderId="32" xfId="0" applyNumberFormat="1" applyFont="1" applyFill="1" applyBorder="1" applyAlignment="1">
      <alignment vertical="center"/>
    </xf>
    <xf numFmtId="177" fontId="2" fillId="4" borderId="32" xfId="0" applyNumberFormat="1" applyFont="1" applyFill="1" applyBorder="1" applyAlignment="1">
      <alignment horizontal="right" vertical="center"/>
    </xf>
    <xf numFmtId="177" fontId="1" fillId="4" borderId="23" xfId="0" applyNumberFormat="1" applyFont="1" applyFill="1" applyBorder="1" applyAlignment="1">
      <alignment vertical="center"/>
    </xf>
    <xf numFmtId="172" fontId="4" fillId="0" borderId="0" xfId="0" applyNumberFormat="1" applyFont="1" applyAlignment="1">
      <alignment/>
    </xf>
    <xf numFmtId="179" fontId="1" fillId="0" borderId="0" xfId="0" applyNumberFormat="1" applyFont="1" applyAlignment="1">
      <alignment horizontal="center"/>
    </xf>
    <xf numFmtId="165" fontId="0" fillId="0" borderId="0" xfId="48" applyFont="1" applyFill="1" applyBorder="1" applyAlignment="1">
      <alignment/>
    </xf>
    <xf numFmtId="43" fontId="8" fillId="4" borderId="10" xfId="51" applyFont="1" applyFill="1" applyBorder="1" applyAlignment="1">
      <alignment vertical="center"/>
    </xf>
    <xf numFmtId="43" fontId="6" fillId="4" borderId="10" xfId="51" applyFont="1" applyFill="1" applyBorder="1" applyAlignment="1">
      <alignment vertical="center"/>
    </xf>
    <xf numFmtId="177" fontId="6" fillId="0" borderId="10" xfId="0" applyNumberFormat="1" applyFont="1" applyFill="1" applyBorder="1" applyAlignment="1">
      <alignment horizontal="right" vertical="center" wrapText="1"/>
    </xf>
    <xf numFmtId="1" fontId="6" fillId="0" borderId="10" xfId="48" applyNumberFormat="1" applyFont="1" applyFill="1" applyBorder="1" applyAlignment="1">
      <alignment horizontal="center" vertical="center" wrapText="1"/>
    </xf>
    <xf numFmtId="164" fontId="4" fillId="0" borderId="15" xfId="55" applyFont="1" applyFill="1" applyBorder="1" applyAlignment="1">
      <alignment horizontal="center" vertical="center" wrapText="1"/>
    </xf>
    <xf numFmtId="178" fontId="1" fillId="0" borderId="21" xfId="0" applyNumberFormat="1" applyFont="1" applyBorder="1" applyAlignment="1">
      <alignment/>
    </xf>
    <xf numFmtId="170" fontId="0" fillId="0" borderId="0" xfId="0" applyNumberFormat="1" applyAlignment="1">
      <alignment/>
    </xf>
    <xf numFmtId="0" fontId="4" fillId="0" borderId="34" xfId="0" applyFont="1" applyBorder="1" applyAlignment="1">
      <alignment/>
    </xf>
    <xf numFmtId="0" fontId="5" fillId="9" borderId="24" xfId="0" applyFont="1" applyFill="1" applyBorder="1" applyAlignment="1">
      <alignment horizontal="center" vertical="center" wrapText="1"/>
    </xf>
    <xf numFmtId="181" fontId="5" fillId="9" borderId="24" xfId="0" applyNumberFormat="1" applyFont="1" applyFill="1" applyBorder="1" applyAlignment="1">
      <alignment horizontal="center" vertical="center" wrapText="1"/>
    </xf>
    <xf numFmtId="181" fontId="7" fillId="9" borderId="24" xfId="0" applyNumberFormat="1" applyFont="1" applyFill="1" applyBorder="1" applyAlignment="1">
      <alignment horizontal="center" vertical="center" wrapText="1"/>
    </xf>
    <xf numFmtId="181" fontId="7" fillId="9" borderId="25" xfId="0" applyNumberFormat="1" applyFont="1" applyFill="1" applyBorder="1" applyAlignment="1">
      <alignment horizontal="center" vertical="center" wrapText="1"/>
    </xf>
    <xf numFmtId="3" fontId="5" fillId="9" borderId="39" xfId="0" applyNumberFormat="1" applyFont="1" applyFill="1" applyBorder="1" applyAlignment="1">
      <alignment vertical="center" wrapText="1"/>
    </xf>
    <xf numFmtId="1" fontId="5" fillId="10" borderId="40" xfId="0" applyNumberFormat="1" applyFont="1" applyFill="1" applyBorder="1" applyAlignment="1">
      <alignment horizontal="left" vertical="center" wrapText="1"/>
    </xf>
    <xf numFmtId="0" fontId="5" fillId="10" borderId="17" xfId="0" applyFont="1" applyFill="1" applyBorder="1" applyAlignment="1">
      <alignment vertical="center"/>
    </xf>
    <xf numFmtId="0" fontId="5" fillId="10" borderId="17" xfId="0" applyFont="1" applyFill="1" applyBorder="1" applyAlignment="1">
      <alignment horizontal="justify" vertical="center"/>
    </xf>
    <xf numFmtId="0" fontId="7" fillId="10" borderId="17" xfId="0" applyFont="1" applyFill="1" applyBorder="1" applyAlignment="1">
      <alignment vertical="center"/>
    </xf>
    <xf numFmtId="0" fontId="5" fillId="10" borderId="17" xfId="0" applyFont="1" applyFill="1" applyBorder="1" applyAlignment="1">
      <alignment horizontal="center" vertical="center"/>
    </xf>
    <xf numFmtId="180" fontId="5" fillId="10" borderId="17" xfId="0" applyNumberFormat="1" applyFont="1" applyFill="1" applyBorder="1" applyAlignment="1">
      <alignment horizontal="center" vertical="center"/>
    </xf>
    <xf numFmtId="170" fontId="5" fillId="10" borderId="17" xfId="0" applyNumberFormat="1" applyFont="1" applyFill="1" applyBorder="1" applyAlignment="1">
      <alignment vertical="center"/>
    </xf>
    <xf numFmtId="170" fontId="5" fillId="10" borderId="17" xfId="0" applyNumberFormat="1" applyFont="1" applyFill="1" applyBorder="1" applyAlignment="1">
      <alignment horizontal="center" vertical="center"/>
    </xf>
    <xf numFmtId="170" fontId="7" fillId="10" borderId="17" xfId="0" applyNumberFormat="1" applyFont="1" applyFill="1" applyBorder="1" applyAlignment="1">
      <alignment horizontal="center" vertical="center"/>
    </xf>
    <xf numFmtId="1" fontId="5" fillId="10" borderId="17" xfId="0" applyNumberFormat="1" applyFont="1" applyFill="1" applyBorder="1" applyAlignment="1">
      <alignment horizontal="center" vertical="center"/>
    </xf>
    <xf numFmtId="172" fontId="5" fillId="10" borderId="17" xfId="47" applyNumberFormat="1" applyFont="1" applyFill="1" applyBorder="1" applyAlignment="1">
      <alignment vertical="center"/>
    </xf>
    <xf numFmtId="181" fontId="5" fillId="10" borderId="17" xfId="0" applyNumberFormat="1" applyFont="1" applyFill="1" applyBorder="1" applyAlignment="1">
      <alignment vertical="center"/>
    </xf>
    <xf numFmtId="181" fontId="7" fillId="10" borderId="17" xfId="0" applyNumberFormat="1" applyFont="1" applyFill="1" applyBorder="1" applyAlignment="1">
      <alignment vertical="center"/>
    </xf>
    <xf numFmtId="0" fontId="5" fillId="10" borderId="29" xfId="0" applyFont="1" applyFill="1" applyBorder="1" applyAlignment="1">
      <alignment horizontal="justify" vertical="center"/>
    </xf>
    <xf numFmtId="0" fontId="4" fillId="0" borderId="0" xfId="0" applyFont="1" applyBorder="1" applyAlignment="1">
      <alignment/>
    </xf>
    <xf numFmtId="0" fontId="5" fillId="4" borderId="0" xfId="0" applyFont="1" applyFill="1" applyBorder="1" applyAlignment="1">
      <alignment horizontal="center" vertical="center" wrapText="1"/>
    </xf>
    <xf numFmtId="0" fontId="5" fillId="9" borderId="34" xfId="0" applyFont="1" applyFill="1" applyBorder="1" applyAlignment="1">
      <alignment vertical="center"/>
    </xf>
    <xf numFmtId="0" fontId="5" fillId="9" borderId="34" xfId="0" applyFont="1" applyFill="1" applyBorder="1" applyAlignment="1">
      <alignment horizontal="justify" vertical="center"/>
    </xf>
    <xf numFmtId="0" fontId="7" fillId="9" borderId="34" xfId="0" applyFont="1" applyFill="1" applyBorder="1" applyAlignment="1">
      <alignment vertical="center"/>
    </xf>
    <xf numFmtId="0" fontId="5" fillId="9" borderId="34" xfId="0" applyFont="1" applyFill="1" applyBorder="1" applyAlignment="1">
      <alignment horizontal="center" vertical="center"/>
    </xf>
    <xf numFmtId="180" fontId="5" fillId="9" borderId="34" xfId="0" applyNumberFormat="1" applyFont="1" applyFill="1" applyBorder="1" applyAlignment="1">
      <alignment horizontal="center" vertical="center"/>
    </xf>
    <xf numFmtId="170" fontId="5" fillId="9" borderId="34" xfId="0" applyNumberFormat="1" applyFont="1" applyFill="1" applyBorder="1" applyAlignment="1">
      <alignment vertical="center"/>
    </xf>
    <xf numFmtId="170" fontId="5" fillId="9" borderId="34" xfId="0" applyNumberFormat="1" applyFont="1" applyFill="1" applyBorder="1" applyAlignment="1">
      <alignment horizontal="center" vertical="center"/>
    </xf>
    <xf numFmtId="170" fontId="7" fillId="9" borderId="34" xfId="0" applyNumberFormat="1" applyFont="1" applyFill="1" applyBorder="1" applyAlignment="1">
      <alignment horizontal="center" vertical="center"/>
    </xf>
    <xf numFmtId="1" fontId="5" fillId="9" borderId="34" xfId="0" applyNumberFormat="1" applyFont="1" applyFill="1" applyBorder="1" applyAlignment="1">
      <alignment horizontal="center" vertical="center"/>
    </xf>
    <xf numFmtId="172" fontId="5" fillId="9" borderId="34" xfId="47" applyNumberFormat="1" applyFont="1" applyFill="1" applyBorder="1" applyAlignment="1">
      <alignment vertical="center"/>
    </xf>
    <xf numFmtId="181" fontId="5" fillId="9" borderId="34" xfId="0" applyNumberFormat="1" applyFont="1" applyFill="1" applyBorder="1" applyAlignment="1">
      <alignment vertical="center"/>
    </xf>
    <xf numFmtId="181" fontId="7" fillId="9" borderId="34" xfId="0" applyNumberFormat="1" applyFont="1" applyFill="1" applyBorder="1" applyAlignment="1">
      <alignment vertical="center"/>
    </xf>
    <xf numFmtId="0" fontId="5" fillId="9" borderId="41" xfId="0" applyFont="1" applyFill="1" applyBorder="1" applyAlignment="1">
      <alignment horizontal="justify" vertical="center"/>
    </xf>
    <xf numFmtId="0" fontId="4" fillId="4" borderId="0" xfId="0" applyFont="1" applyFill="1" applyAlignment="1">
      <alignment/>
    </xf>
    <xf numFmtId="0" fontId="5" fillId="4" borderId="42" xfId="0" applyFont="1" applyFill="1" applyBorder="1" applyAlignment="1">
      <alignment horizontal="center" vertical="center" wrapText="1"/>
    </xf>
    <xf numFmtId="0" fontId="5" fillId="12" borderId="17" xfId="0" applyFont="1" applyFill="1" applyBorder="1" applyAlignment="1">
      <alignment vertical="center"/>
    </xf>
    <xf numFmtId="0" fontId="5" fillId="12" borderId="17" xfId="0" applyFont="1" applyFill="1" applyBorder="1" applyAlignment="1">
      <alignment horizontal="justify" vertical="center"/>
    </xf>
    <xf numFmtId="0" fontId="5" fillId="12" borderId="17" xfId="0" applyFont="1" applyFill="1" applyBorder="1" applyAlignment="1">
      <alignment horizontal="center" vertical="center"/>
    </xf>
    <xf numFmtId="180" fontId="5" fillId="12" borderId="17" xfId="0" applyNumberFormat="1" applyFont="1" applyFill="1" applyBorder="1" applyAlignment="1">
      <alignment horizontal="center" vertical="center"/>
    </xf>
    <xf numFmtId="170" fontId="5" fillId="12" borderId="17" xfId="0" applyNumberFormat="1" applyFont="1" applyFill="1" applyBorder="1" applyAlignment="1">
      <alignment vertical="center"/>
    </xf>
    <xf numFmtId="170" fontId="5" fillId="12" borderId="17" xfId="0" applyNumberFormat="1" applyFont="1" applyFill="1" applyBorder="1" applyAlignment="1">
      <alignment horizontal="center" vertical="center"/>
    </xf>
    <xf numFmtId="172" fontId="5" fillId="12" borderId="17" xfId="47" applyNumberFormat="1" applyFont="1" applyFill="1" applyBorder="1" applyAlignment="1">
      <alignment vertical="center"/>
    </xf>
    <xf numFmtId="181" fontId="5" fillId="12" borderId="17" xfId="0" applyNumberFormat="1" applyFont="1" applyFill="1" applyBorder="1" applyAlignment="1">
      <alignment vertical="center"/>
    </xf>
    <xf numFmtId="181" fontId="7" fillId="12" borderId="17" xfId="0" applyNumberFormat="1" applyFont="1" applyFill="1" applyBorder="1" applyAlignment="1">
      <alignment vertical="center"/>
    </xf>
    <xf numFmtId="0" fontId="4" fillId="4" borderId="0"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justify" vertical="center" wrapText="1"/>
    </xf>
    <xf numFmtId="170" fontId="6" fillId="4" borderId="12" xfId="0" applyNumberFormat="1" applyFont="1" applyFill="1" applyBorder="1" applyAlignment="1">
      <alignment horizontal="center" vertical="center" wrapText="1"/>
    </xf>
    <xf numFmtId="1" fontId="4" fillId="0" borderId="43" xfId="0" applyNumberFormat="1" applyFont="1" applyBorder="1" applyAlignment="1">
      <alignment/>
    </xf>
    <xf numFmtId="0" fontId="5" fillId="12" borderId="17" xfId="0" applyFont="1" applyFill="1" applyBorder="1" applyAlignment="1">
      <alignment horizontal="justify" vertical="center" wrapText="1"/>
    </xf>
    <xf numFmtId="170" fontId="7" fillId="12" borderId="34" xfId="0" applyNumberFormat="1" applyFont="1" applyFill="1" applyBorder="1" applyAlignment="1">
      <alignment horizontal="center" vertical="center"/>
    </xf>
    <xf numFmtId="1" fontId="5" fillId="12" borderId="34" xfId="0" applyNumberFormat="1" applyFont="1" applyFill="1" applyBorder="1" applyAlignment="1">
      <alignment horizontal="center" vertical="center"/>
    </xf>
    <xf numFmtId="0" fontId="5" fillId="12" borderId="34" xfId="0" applyFont="1" applyFill="1" applyBorder="1" applyAlignment="1">
      <alignment horizontal="center" vertical="center"/>
    </xf>
    <xf numFmtId="1" fontId="4" fillId="4" borderId="43" xfId="0" applyNumberFormat="1" applyFont="1" applyFill="1" applyBorder="1" applyAlignment="1">
      <alignment/>
    </xf>
    <xf numFmtId="0" fontId="4" fillId="4" borderId="0" xfId="0" applyFont="1" applyFill="1" applyBorder="1" applyAlignment="1">
      <alignment/>
    </xf>
    <xf numFmtId="0" fontId="4" fillId="4" borderId="25" xfId="0" applyFont="1" applyFill="1" applyBorder="1" applyAlignment="1">
      <alignment/>
    </xf>
    <xf numFmtId="0" fontId="4" fillId="4" borderId="42" xfId="0" applyFont="1" applyFill="1" applyBorder="1" applyAlignment="1">
      <alignment/>
    </xf>
    <xf numFmtId="170" fontId="4" fillId="4" borderId="10" xfId="0" applyNumberFormat="1" applyFont="1" applyFill="1" applyBorder="1" applyAlignment="1">
      <alignment horizontal="center" vertical="center"/>
    </xf>
    <xf numFmtId="170" fontId="6" fillId="4" borderId="10" xfId="0" applyNumberFormat="1" applyFont="1" applyFill="1" applyBorder="1" applyAlignment="1">
      <alignment horizontal="center" vertical="center"/>
    </xf>
    <xf numFmtId="1" fontId="4" fillId="4" borderId="37" xfId="0" applyNumberFormat="1" applyFont="1" applyFill="1" applyBorder="1" applyAlignment="1">
      <alignment horizontal="center" wrapText="1"/>
    </xf>
    <xf numFmtId="1" fontId="4" fillId="4" borderId="24" xfId="0" applyNumberFormat="1" applyFont="1" applyFill="1" applyBorder="1" applyAlignment="1">
      <alignment horizontal="center" vertical="center" wrapText="1"/>
    </xf>
    <xf numFmtId="1" fontId="5" fillId="9" borderId="42" xfId="0" applyNumberFormat="1" applyFont="1" applyFill="1" applyBorder="1" applyAlignment="1">
      <alignment horizontal="center" vertical="center"/>
    </xf>
    <xf numFmtId="0" fontId="5" fillId="9" borderId="14" xfId="0" applyFont="1" applyFill="1" applyBorder="1" applyAlignment="1">
      <alignment vertical="center"/>
    </xf>
    <xf numFmtId="0" fontId="5" fillId="9" borderId="17" xfId="0" applyFont="1" applyFill="1" applyBorder="1" applyAlignment="1">
      <alignment horizontal="justify" vertical="center"/>
    </xf>
    <xf numFmtId="0" fontId="5" fillId="9" borderId="17" xfId="0" applyFont="1" applyFill="1" applyBorder="1" applyAlignment="1">
      <alignment horizontal="center" vertical="center"/>
    </xf>
    <xf numFmtId="180" fontId="5" fillId="9" borderId="17" xfId="0" applyNumberFormat="1" applyFont="1" applyFill="1" applyBorder="1" applyAlignment="1">
      <alignment horizontal="center" vertical="center"/>
    </xf>
    <xf numFmtId="170" fontId="5" fillId="9" borderId="17" xfId="0" applyNumberFormat="1" applyFont="1" applyFill="1" applyBorder="1" applyAlignment="1">
      <alignment vertical="center"/>
    </xf>
    <xf numFmtId="0" fontId="5" fillId="9" borderId="17" xfId="0" applyFont="1" applyFill="1" applyBorder="1" applyAlignment="1">
      <alignment horizontal="justify" vertical="center" wrapText="1"/>
    </xf>
    <xf numFmtId="170" fontId="7" fillId="9" borderId="17" xfId="0" applyNumberFormat="1" applyFont="1" applyFill="1" applyBorder="1" applyAlignment="1">
      <alignment vertical="center"/>
    </xf>
    <xf numFmtId="1" fontId="5" fillId="9" borderId="17" xfId="0" applyNumberFormat="1" applyFont="1" applyFill="1" applyBorder="1" applyAlignment="1">
      <alignment vertical="center"/>
    </xf>
    <xf numFmtId="181" fontId="5" fillId="9" borderId="17" xfId="0" applyNumberFormat="1" applyFont="1" applyFill="1" applyBorder="1" applyAlignment="1">
      <alignment vertical="center"/>
    </xf>
    <xf numFmtId="181" fontId="7" fillId="9" borderId="17" xfId="0" applyNumberFormat="1" applyFont="1" applyFill="1" applyBorder="1" applyAlignment="1">
      <alignment vertical="center"/>
    </xf>
    <xf numFmtId="0" fontId="4" fillId="0" borderId="25" xfId="0" applyFont="1" applyBorder="1" applyAlignment="1">
      <alignment/>
    </xf>
    <xf numFmtId="0" fontId="4" fillId="0" borderId="38" xfId="0" applyFont="1" applyBorder="1" applyAlignment="1">
      <alignment/>
    </xf>
    <xf numFmtId="1" fontId="5" fillId="12" borderId="17" xfId="0" applyNumberFormat="1" applyFont="1" applyFill="1" applyBorder="1" applyAlignment="1">
      <alignment horizontal="left" vertical="center" wrapText="1" indent="1"/>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38" xfId="0" applyFont="1" applyBorder="1" applyAlignment="1">
      <alignment horizontal="center" vertical="center"/>
    </xf>
    <xf numFmtId="0" fontId="4" fillId="0" borderId="14" xfId="0" applyFont="1" applyBorder="1" applyAlignment="1">
      <alignment horizontal="center" vertical="center"/>
    </xf>
    <xf numFmtId="170" fontId="6" fillId="4" borderId="37" xfId="0" applyNumberFormat="1" applyFont="1" applyFill="1" applyBorder="1" applyAlignment="1">
      <alignment horizontal="center" vertical="center"/>
    </xf>
    <xf numFmtId="1" fontId="4" fillId="4" borderId="10" xfId="0" applyNumberFormat="1" applyFont="1" applyFill="1" applyBorder="1" applyAlignment="1">
      <alignment horizontal="center" vertical="center"/>
    </xf>
    <xf numFmtId="0" fontId="4" fillId="0" borderId="13" xfId="0" applyFont="1" applyBorder="1" applyAlignment="1">
      <alignment/>
    </xf>
    <xf numFmtId="172" fontId="5" fillId="9" borderId="17" xfId="47" applyNumberFormat="1" applyFont="1" applyFill="1" applyBorder="1" applyAlignment="1">
      <alignment vertical="center"/>
    </xf>
    <xf numFmtId="0" fontId="5" fillId="12" borderId="34" xfId="0" applyFont="1" applyFill="1" applyBorder="1" applyAlignment="1">
      <alignment vertical="center"/>
    </xf>
    <xf numFmtId="0" fontId="5" fillId="12" borderId="34" xfId="0" applyFont="1" applyFill="1" applyBorder="1" applyAlignment="1">
      <alignment horizontal="justify" vertical="center"/>
    </xf>
    <xf numFmtId="0" fontId="7" fillId="12" borderId="34" xfId="0" applyFont="1" applyFill="1" applyBorder="1" applyAlignment="1">
      <alignment vertical="center"/>
    </xf>
    <xf numFmtId="180" fontId="5" fillId="12" borderId="34" xfId="0" applyNumberFormat="1" applyFont="1" applyFill="1" applyBorder="1" applyAlignment="1">
      <alignment horizontal="center" vertical="center"/>
    </xf>
    <xf numFmtId="170" fontId="5" fillId="12" borderId="34" xfId="0" applyNumberFormat="1" applyFont="1" applyFill="1" applyBorder="1" applyAlignment="1">
      <alignment vertical="center"/>
    </xf>
    <xf numFmtId="0" fontId="5" fillId="12" borderId="34" xfId="0" applyFont="1" applyFill="1" applyBorder="1" applyAlignment="1">
      <alignment horizontal="justify" vertical="center" wrapText="1"/>
    </xf>
    <xf numFmtId="170" fontId="7" fillId="12" borderId="34" xfId="0" applyNumberFormat="1" applyFont="1" applyFill="1" applyBorder="1" applyAlignment="1">
      <alignment vertical="center"/>
    </xf>
    <xf numFmtId="1" fontId="5" fillId="12" borderId="34" xfId="0" applyNumberFormat="1" applyFont="1" applyFill="1" applyBorder="1" applyAlignment="1">
      <alignment vertical="center"/>
    </xf>
    <xf numFmtId="172" fontId="5" fillId="12" borderId="34" xfId="47" applyNumberFormat="1" applyFont="1" applyFill="1" applyBorder="1" applyAlignment="1">
      <alignment vertical="center"/>
    </xf>
    <xf numFmtId="181" fontId="5" fillId="12" borderId="34" xfId="0" applyNumberFormat="1" applyFont="1" applyFill="1" applyBorder="1" applyAlignment="1">
      <alignment vertical="center"/>
    </xf>
    <xf numFmtId="181" fontId="7" fillId="12" borderId="34" xfId="0" applyNumberFormat="1" applyFont="1" applyFill="1" applyBorder="1" applyAlignment="1">
      <alignment vertical="center"/>
    </xf>
    <xf numFmtId="0" fontId="5" fillId="12" borderId="41" xfId="0" applyFont="1" applyFill="1" applyBorder="1" applyAlignment="1">
      <alignment horizontal="justify" vertical="center"/>
    </xf>
    <xf numFmtId="0" fontId="4" fillId="0" borderId="0" xfId="0" applyFont="1" applyFill="1" applyBorder="1" applyAlignment="1">
      <alignment/>
    </xf>
    <xf numFmtId="170" fontId="6" fillId="0" borderId="10" xfId="0" applyNumberFormat="1" applyFont="1" applyFill="1" applyBorder="1" applyAlignment="1">
      <alignment horizontal="center" vertical="center"/>
    </xf>
    <xf numFmtId="0" fontId="4" fillId="4" borderId="25" xfId="0" applyFont="1" applyFill="1" applyBorder="1" applyAlignment="1">
      <alignment horizontal="justify" vertical="center" wrapText="1"/>
    </xf>
    <xf numFmtId="181" fontId="6" fillId="4" borderId="25" xfId="0" applyNumberFormat="1" applyFont="1" applyFill="1" applyBorder="1" applyAlignment="1">
      <alignment horizontal="center" vertical="center"/>
    </xf>
    <xf numFmtId="1" fontId="4" fillId="4" borderId="0" xfId="0" applyNumberFormat="1" applyFont="1" applyFill="1" applyBorder="1" applyAlignment="1">
      <alignment vertical="center" wrapText="1"/>
    </xf>
    <xf numFmtId="1" fontId="6" fillId="4" borderId="0" xfId="0" applyNumberFormat="1" applyFont="1" applyFill="1" applyBorder="1" applyAlignment="1">
      <alignment vertical="center" wrapText="1"/>
    </xf>
    <xf numFmtId="1" fontId="4" fillId="4" borderId="24" xfId="0" applyNumberFormat="1" applyFont="1" applyFill="1" applyBorder="1" applyAlignment="1">
      <alignment vertical="center" wrapText="1"/>
    </xf>
    <xf numFmtId="166" fontId="4" fillId="4" borderId="24" xfId="47" applyFont="1" applyFill="1" applyBorder="1" applyAlignment="1">
      <alignment vertical="center"/>
    </xf>
    <xf numFmtId="1" fontId="4" fillId="4" borderId="12" xfId="0" applyNumberFormat="1" applyFont="1" applyFill="1" applyBorder="1" applyAlignment="1">
      <alignment horizontal="center" vertical="center" wrapText="1"/>
    </xf>
    <xf numFmtId="1" fontId="4" fillId="4" borderId="12" xfId="0" applyNumberFormat="1" applyFont="1" applyFill="1" applyBorder="1" applyAlignment="1">
      <alignment horizontal="center" vertical="center"/>
    </xf>
    <xf numFmtId="1" fontId="4" fillId="4" borderId="10" xfId="0" applyNumberFormat="1" applyFont="1" applyFill="1" applyBorder="1" applyAlignment="1">
      <alignment horizontal="center" vertical="center" wrapText="1"/>
    </xf>
    <xf numFmtId="1" fontId="6" fillId="4" borderId="10" xfId="0" applyNumberFormat="1" applyFont="1" applyFill="1" applyBorder="1" applyAlignment="1">
      <alignment horizontal="center" vertical="center"/>
    </xf>
    <xf numFmtId="1" fontId="4" fillId="4" borderId="0" xfId="0" applyNumberFormat="1" applyFont="1" applyFill="1" applyBorder="1" applyAlignment="1">
      <alignment horizontal="center" vertical="center" wrapText="1"/>
    </xf>
    <xf numFmtId="0" fontId="4" fillId="4" borderId="0" xfId="0" applyFont="1" applyFill="1" applyBorder="1" applyAlignment="1">
      <alignment horizontal="justify" vertical="center" wrapText="1"/>
    </xf>
    <xf numFmtId="0" fontId="4" fillId="4" borderId="0" xfId="0" applyFont="1" applyFill="1" applyBorder="1" applyAlignment="1">
      <alignment horizontal="center" vertical="center"/>
    </xf>
    <xf numFmtId="1" fontId="4" fillId="4" borderId="0" xfId="0" applyNumberFormat="1" applyFont="1" applyFill="1" applyBorder="1" applyAlignment="1">
      <alignment horizontal="center" vertical="center"/>
    </xf>
    <xf numFmtId="1" fontId="6" fillId="4" borderId="0" xfId="0" applyNumberFormat="1" applyFont="1" applyFill="1" applyBorder="1" applyAlignment="1">
      <alignment horizontal="center" vertical="center"/>
    </xf>
    <xf numFmtId="0" fontId="4" fillId="4" borderId="0" xfId="0" applyFont="1" applyFill="1" applyBorder="1" applyAlignment="1">
      <alignment horizontal="justify" vertical="center"/>
    </xf>
    <xf numFmtId="180" fontId="4" fillId="4" borderId="0" xfId="0" applyNumberFormat="1" applyFont="1" applyFill="1" applyBorder="1" applyAlignment="1">
      <alignment horizontal="center" vertical="center"/>
    </xf>
    <xf numFmtId="170" fontId="4" fillId="4" borderId="0" xfId="0" applyNumberFormat="1" applyFont="1" applyFill="1" applyBorder="1" applyAlignment="1">
      <alignment horizontal="center" vertical="center"/>
    </xf>
    <xf numFmtId="170" fontId="6" fillId="4" borderId="0" xfId="0" applyNumberFormat="1" applyFont="1" applyFill="1" applyBorder="1" applyAlignment="1">
      <alignment horizontal="center" vertical="center"/>
    </xf>
    <xf numFmtId="1" fontId="4" fillId="4" borderId="0" xfId="0" applyNumberFormat="1" applyFont="1" applyFill="1" applyBorder="1" applyAlignment="1">
      <alignment horizontal="center" vertical="center" textRotation="180" wrapText="1"/>
    </xf>
    <xf numFmtId="1" fontId="6" fillId="4" borderId="0" xfId="0" applyNumberFormat="1" applyFont="1" applyFill="1" applyBorder="1" applyAlignment="1">
      <alignment horizontal="center" vertical="center" textRotation="180" wrapText="1"/>
    </xf>
    <xf numFmtId="172" fontId="4" fillId="4" borderId="0" xfId="47" applyNumberFormat="1" applyFont="1" applyFill="1" applyBorder="1" applyAlignment="1">
      <alignment horizontal="center" vertical="center"/>
    </xf>
    <xf numFmtId="181" fontId="4" fillId="4" borderId="0" xfId="0" applyNumberFormat="1" applyFont="1" applyFill="1" applyBorder="1" applyAlignment="1">
      <alignment horizontal="center" vertical="center"/>
    </xf>
    <xf numFmtId="181" fontId="6" fillId="4" borderId="0" xfId="0" applyNumberFormat="1" applyFont="1" applyFill="1" applyBorder="1" applyAlignment="1">
      <alignment horizontal="center" vertical="center"/>
    </xf>
    <xf numFmtId="0" fontId="4" fillId="4" borderId="44" xfId="0" applyFont="1" applyFill="1" applyBorder="1" applyAlignment="1">
      <alignment horizontal="justify" vertical="center"/>
    </xf>
    <xf numFmtId="0" fontId="5" fillId="4" borderId="23" xfId="0" applyFont="1" applyFill="1" applyBorder="1" applyAlignment="1">
      <alignment horizontal="justify" vertical="center"/>
    </xf>
    <xf numFmtId="0" fontId="5" fillId="4" borderId="22" xfId="0" applyFont="1" applyFill="1" applyBorder="1" applyAlignment="1">
      <alignment horizontal="justify" vertical="center"/>
    </xf>
    <xf numFmtId="170" fontId="7" fillId="0" borderId="32" xfId="0" applyNumberFormat="1" applyFont="1" applyFill="1" applyBorder="1" applyAlignment="1">
      <alignment vertical="center"/>
    </xf>
    <xf numFmtId="1" fontId="5" fillId="4" borderId="23" xfId="0" applyNumberFormat="1" applyFont="1" applyFill="1" applyBorder="1" applyAlignment="1">
      <alignment horizontal="center" vertical="center"/>
    </xf>
    <xf numFmtId="0" fontId="5" fillId="4" borderId="21" xfId="0" applyFont="1" applyFill="1" applyBorder="1" applyAlignment="1">
      <alignment horizontal="center" vertical="center"/>
    </xf>
    <xf numFmtId="0" fontId="5" fillId="0" borderId="21" xfId="0" applyFont="1" applyBorder="1" applyAlignment="1">
      <alignment/>
    </xf>
    <xf numFmtId="0" fontId="7" fillId="0" borderId="21" xfId="0" applyFont="1" applyBorder="1" applyAlignment="1">
      <alignment/>
    </xf>
    <xf numFmtId="3" fontId="5" fillId="0" borderId="32" xfId="0" applyNumberFormat="1" applyFont="1" applyFill="1" applyBorder="1" applyAlignment="1">
      <alignment horizontal="center" vertical="center"/>
    </xf>
    <xf numFmtId="0" fontId="5" fillId="0" borderId="21" xfId="0" applyFont="1" applyBorder="1" applyAlignment="1">
      <alignment horizontal="center"/>
    </xf>
    <xf numFmtId="181" fontId="5" fillId="0" borderId="21"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5" fillId="0" borderId="21" xfId="0" applyNumberFormat="1" applyFont="1" applyBorder="1" applyAlignment="1">
      <alignment horizontal="center"/>
    </xf>
    <xf numFmtId="181" fontId="7" fillId="0" borderId="21" xfId="0" applyNumberFormat="1" applyFont="1" applyBorder="1" applyAlignment="1">
      <alignment horizontal="center"/>
    </xf>
    <xf numFmtId="0" fontId="5" fillId="0" borderId="22" xfId="0" applyFont="1" applyBorder="1" applyAlignment="1">
      <alignment horizontal="justify" vertical="center"/>
    </xf>
    <xf numFmtId="0" fontId="5" fillId="0" borderId="0" xfId="0" applyFont="1" applyAlignment="1">
      <alignment/>
    </xf>
    <xf numFmtId="1" fontId="4" fillId="0" borderId="0" xfId="0" applyNumberFormat="1" applyFont="1" applyAlignment="1">
      <alignment/>
    </xf>
    <xf numFmtId="0" fontId="4" fillId="4" borderId="0" xfId="0" applyFont="1" applyFill="1" applyAlignment="1">
      <alignment horizontal="justify" vertical="center"/>
    </xf>
    <xf numFmtId="0" fontId="6" fillId="4" borderId="0" xfId="0" applyFont="1" applyFill="1" applyAlignment="1">
      <alignment/>
    </xf>
    <xf numFmtId="0" fontId="4" fillId="4" borderId="0" xfId="0" applyFont="1" applyFill="1" applyAlignment="1">
      <alignment horizontal="center"/>
    </xf>
    <xf numFmtId="180" fontId="4" fillId="4" borderId="0" xfId="0" applyNumberFormat="1" applyFont="1" applyFill="1" applyAlignment="1">
      <alignment horizontal="center" vertical="center"/>
    </xf>
    <xf numFmtId="170" fontId="4" fillId="4" borderId="0" xfId="0" applyNumberFormat="1" applyFont="1" applyFill="1" applyAlignment="1">
      <alignment vertical="center"/>
    </xf>
    <xf numFmtId="170" fontId="4" fillId="4" borderId="0" xfId="0" applyNumberFormat="1" applyFont="1" applyFill="1" applyAlignment="1">
      <alignment horizontal="center" vertical="center"/>
    </xf>
    <xf numFmtId="170" fontId="6" fillId="4" borderId="0" xfId="0" applyNumberFormat="1" applyFont="1" applyFill="1" applyAlignment="1">
      <alignment horizontal="center" vertical="center"/>
    </xf>
    <xf numFmtId="1" fontId="4" fillId="4" borderId="0" xfId="0" applyNumberFormat="1" applyFont="1" applyFill="1" applyAlignment="1">
      <alignment horizontal="center" vertical="center"/>
    </xf>
    <xf numFmtId="0" fontId="4" fillId="4" borderId="0" xfId="0" applyFont="1" applyFill="1" applyAlignment="1">
      <alignment horizontal="center" vertical="center"/>
    </xf>
    <xf numFmtId="172" fontId="4" fillId="0" borderId="0" xfId="47" applyNumberFormat="1" applyFont="1" applyAlignment="1">
      <alignment/>
    </xf>
    <xf numFmtId="0" fontId="4" fillId="0" borderId="0" xfId="0" applyFont="1" applyAlignment="1">
      <alignment horizontal="center"/>
    </xf>
    <xf numFmtId="181" fontId="4" fillId="0" borderId="0" xfId="0" applyNumberFormat="1" applyFont="1" applyFill="1" applyAlignment="1">
      <alignment horizontal="right" vertical="center"/>
    </xf>
    <xf numFmtId="181" fontId="6" fillId="0" borderId="0" xfId="0" applyNumberFormat="1" applyFont="1" applyFill="1" applyAlignment="1">
      <alignment horizontal="right" vertical="center"/>
    </xf>
    <xf numFmtId="181" fontId="4" fillId="0" borderId="0" xfId="0" applyNumberFormat="1" applyFont="1" applyAlignment="1">
      <alignment horizontal="center"/>
    </xf>
    <xf numFmtId="181" fontId="6" fillId="0" borderId="0" xfId="0" applyNumberFormat="1" applyFont="1" applyAlignment="1">
      <alignment horizontal="center"/>
    </xf>
    <xf numFmtId="0" fontId="4" fillId="0" borderId="0" xfId="0" applyFont="1" applyAlignment="1">
      <alignment horizontal="justify" vertical="center"/>
    </xf>
    <xf numFmtId="0" fontId="1" fillId="4" borderId="10" xfId="0" applyFont="1" applyFill="1" applyBorder="1" applyAlignment="1">
      <alignment horizontal="justify" vertical="center" wrapText="1"/>
    </xf>
    <xf numFmtId="3" fontId="1" fillId="4" borderId="10" xfId="0" applyNumberFormat="1" applyFont="1" applyFill="1" applyBorder="1" applyAlignment="1">
      <alignment horizontal="center" vertical="center" wrapText="1"/>
    </xf>
    <xf numFmtId="0" fontId="7" fillId="10" borderId="17" xfId="0" applyFont="1" applyFill="1" applyBorder="1" applyAlignment="1">
      <alignment vertical="center"/>
    </xf>
    <xf numFmtId="0" fontId="2" fillId="10" borderId="17" xfId="0" applyFont="1" applyFill="1" applyBorder="1" applyAlignment="1">
      <alignment horizontal="justify" vertical="center"/>
    </xf>
    <xf numFmtId="0" fontId="1" fillId="0" borderId="0" xfId="0" applyFont="1" applyFill="1" applyBorder="1" applyAlignment="1">
      <alignment/>
    </xf>
    <xf numFmtId="0" fontId="1" fillId="4" borderId="0" xfId="0" applyFont="1" applyFill="1" applyAlignment="1">
      <alignment horizontal="center" vertical="center"/>
    </xf>
    <xf numFmtId="43" fontId="4" fillId="0" borderId="0" xfId="51" applyFont="1" applyFill="1" applyBorder="1" applyAlignment="1">
      <alignment horizontal="justify" vertical="center"/>
    </xf>
    <xf numFmtId="0" fontId="1" fillId="4" borderId="0" xfId="0" applyFont="1" applyFill="1" applyBorder="1" applyAlignment="1">
      <alignment horizontal="justify" vertical="center"/>
    </xf>
    <xf numFmtId="0" fontId="1" fillId="4" borderId="0" xfId="0" applyFont="1" applyFill="1" applyBorder="1" applyAlignment="1">
      <alignment horizontal="center" vertical="center"/>
    </xf>
    <xf numFmtId="0" fontId="6" fillId="0" borderId="0" xfId="0" applyFont="1" applyFill="1" applyAlignment="1">
      <alignment horizontal="right" vertical="center"/>
    </xf>
    <xf numFmtId="169" fontId="6" fillId="0" borderId="0" xfId="0" applyNumberFormat="1" applyFont="1" applyAlignment="1">
      <alignment horizontal="center"/>
    </xf>
    <xf numFmtId="0" fontId="2" fillId="4" borderId="24"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169" fontId="2" fillId="4" borderId="10" xfId="0" applyNumberFormat="1" applyFont="1" applyFill="1" applyBorder="1" applyAlignment="1">
      <alignment horizontal="center" vertical="center" wrapText="1"/>
    </xf>
    <xf numFmtId="169" fontId="7" fillId="4" borderId="10" xfId="0" applyNumberFormat="1" applyFont="1" applyFill="1" applyBorder="1" applyAlignment="1">
      <alignment horizontal="center" vertical="center" wrapText="1"/>
    </xf>
    <xf numFmtId="169" fontId="7" fillId="4" borderId="15" xfId="0" applyNumberFormat="1"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10" borderId="29" xfId="0" applyFont="1" applyFill="1" applyBorder="1" applyAlignment="1">
      <alignment vertical="center"/>
    </xf>
    <xf numFmtId="0" fontId="6" fillId="4" borderId="10" xfId="0" applyFont="1" applyFill="1" applyBorder="1" applyAlignment="1">
      <alignment horizontal="center" vertical="center" wrapText="1"/>
    </xf>
    <xf numFmtId="0" fontId="1" fillId="4" borderId="37" xfId="0" applyFont="1" applyFill="1" applyBorder="1" applyAlignment="1">
      <alignment horizontal="justify" vertical="center" wrapText="1"/>
    </xf>
    <xf numFmtId="170" fontId="1" fillId="4" borderId="10" xfId="0" applyNumberFormat="1" applyFont="1" applyFill="1" applyBorder="1" applyAlignment="1">
      <alignment horizontal="justify" vertical="center" wrapText="1"/>
    </xf>
    <xf numFmtId="170" fontId="4" fillId="4" borderId="10" xfId="0" applyNumberFormat="1" applyFont="1" applyFill="1" applyBorder="1" applyAlignment="1">
      <alignment horizontal="justify" vertical="center" wrapText="1"/>
    </xf>
    <xf numFmtId="170" fontId="6" fillId="4" borderId="10" xfId="0" applyNumberFormat="1" applyFont="1" applyFill="1" applyBorder="1" applyAlignment="1">
      <alignment horizontal="justify" vertical="center" wrapText="1"/>
    </xf>
    <xf numFmtId="1" fontId="1" fillId="4" borderId="37" xfId="0" applyNumberFormat="1" applyFont="1" applyFill="1" applyBorder="1" applyAlignment="1">
      <alignment vertical="center" textRotation="180" wrapText="1"/>
    </xf>
    <xf numFmtId="1" fontId="6" fillId="4" borderId="37" xfId="0" applyNumberFormat="1" applyFont="1" applyFill="1" applyBorder="1" applyAlignment="1">
      <alignment vertical="center" textRotation="180" wrapText="1"/>
    </xf>
    <xf numFmtId="1" fontId="1" fillId="4" borderId="10" xfId="0" applyNumberFormat="1" applyFont="1" applyFill="1" applyBorder="1" applyAlignment="1">
      <alignment horizontal="center" vertical="center" wrapText="1"/>
    </xf>
    <xf numFmtId="4" fontId="1" fillId="4" borderId="10" xfId="0" applyNumberFormat="1" applyFont="1" applyFill="1" applyBorder="1" applyAlignment="1">
      <alignment horizontal="right" vertical="center" wrapText="1"/>
    </xf>
    <xf numFmtId="9" fontId="1" fillId="4" borderId="10" xfId="0" applyNumberFormat="1" applyFont="1" applyFill="1" applyBorder="1" applyAlignment="1">
      <alignment horizontal="center" vertical="center" wrapText="1"/>
    </xf>
    <xf numFmtId="169" fontId="1" fillId="4" borderId="10" xfId="0" applyNumberFormat="1" applyFont="1" applyFill="1" applyBorder="1" applyAlignment="1">
      <alignment horizontal="center" vertical="center" wrapText="1"/>
    </xf>
    <xf numFmtId="169" fontId="6" fillId="4" borderId="10" xfId="0" applyNumberFormat="1" applyFont="1" applyFill="1" applyBorder="1" applyAlignment="1">
      <alignment horizontal="center" vertical="center" wrapText="1"/>
    </xf>
    <xf numFmtId="169" fontId="6" fillId="4" borderId="15" xfId="0" applyNumberFormat="1" applyFont="1" applyFill="1" applyBorder="1" applyAlignment="1">
      <alignment horizontal="center" vertical="center" wrapText="1"/>
    </xf>
    <xf numFmtId="3" fontId="1" fillId="4" borderId="27" xfId="0" applyNumberFormat="1" applyFont="1" applyFill="1" applyBorder="1" applyAlignment="1">
      <alignment horizontal="center" vertical="center" wrapText="1"/>
    </xf>
    <xf numFmtId="2" fontId="1" fillId="4" borderId="37" xfId="0" applyNumberFormat="1" applyFont="1" applyFill="1" applyBorder="1" applyAlignment="1">
      <alignment horizontal="center" vertical="center" wrapText="1"/>
    </xf>
    <xf numFmtId="170" fontId="1" fillId="4" borderId="10" xfId="0" applyNumberFormat="1" applyFont="1" applyFill="1" applyBorder="1" applyAlignment="1">
      <alignment horizontal="left" vertical="center" wrapText="1"/>
    </xf>
    <xf numFmtId="0" fontId="1" fillId="4" borderId="12" xfId="0" applyFont="1" applyFill="1" applyBorder="1" applyAlignment="1">
      <alignment horizontal="justify" vertical="center" wrapText="1"/>
    </xf>
    <xf numFmtId="170" fontId="4" fillId="4" borderId="12" xfId="0" applyNumberFormat="1" applyFont="1" applyFill="1" applyBorder="1" applyAlignment="1">
      <alignment horizontal="justify" vertical="center" wrapText="1"/>
    </xf>
    <xf numFmtId="170" fontId="6" fillId="4" borderId="12" xfId="0" applyNumberFormat="1" applyFont="1" applyFill="1" applyBorder="1" applyAlignment="1">
      <alignment horizontal="justify" vertical="center" wrapText="1"/>
    </xf>
    <xf numFmtId="4" fontId="1" fillId="4" borderId="10" xfId="0" applyNumberFormat="1" applyFont="1" applyFill="1" applyBorder="1" applyAlignment="1">
      <alignment vertical="center" wrapText="1"/>
    </xf>
    <xf numFmtId="0" fontId="1" fillId="0" borderId="0" xfId="0" applyFont="1" applyFill="1" applyAlignment="1">
      <alignment horizontal="left"/>
    </xf>
    <xf numFmtId="0" fontId="1" fillId="4" borderId="26" xfId="0" applyFont="1" applyFill="1" applyBorder="1" applyAlignment="1">
      <alignment horizontal="justify" vertical="center" wrapText="1"/>
    </xf>
    <xf numFmtId="0" fontId="1" fillId="4" borderId="0" xfId="0" applyFont="1" applyFill="1" applyAlignment="1">
      <alignment horizontal="left"/>
    </xf>
    <xf numFmtId="0" fontId="1" fillId="4" borderId="25" xfId="0" applyFont="1" applyFill="1" applyBorder="1" applyAlignment="1">
      <alignment horizontal="justify" vertical="center" wrapText="1"/>
    </xf>
    <xf numFmtId="170" fontId="4" fillId="4" borderId="24" xfId="0" applyNumberFormat="1" applyFont="1" applyFill="1" applyBorder="1" applyAlignment="1">
      <alignment horizontal="justify" vertical="center" wrapText="1"/>
    </xf>
    <xf numFmtId="170" fontId="6" fillId="4" borderId="24" xfId="0" applyNumberFormat="1" applyFont="1" applyFill="1" applyBorder="1" applyAlignment="1">
      <alignment horizontal="justify" vertical="center" wrapText="1"/>
    </xf>
    <xf numFmtId="0" fontId="2" fillId="12" borderId="15" xfId="0" applyFont="1" applyFill="1" applyBorder="1" applyAlignment="1">
      <alignment horizontal="left" vertical="center"/>
    </xf>
    <xf numFmtId="0" fontId="2" fillId="12" borderId="17" xfId="0" applyFont="1" applyFill="1" applyBorder="1" applyAlignment="1">
      <alignment horizontal="left" vertical="center"/>
    </xf>
    <xf numFmtId="0" fontId="1" fillId="4" borderId="26" xfId="0" applyFont="1" applyFill="1" applyBorder="1" applyAlignment="1">
      <alignment horizontal="center" vertical="center" wrapText="1"/>
    </xf>
    <xf numFmtId="0" fontId="1" fillId="4" borderId="24" xfId="0" applyFont="1" applyFill="1" applyBorder="1" applyAlignment="1">
      <alignment horizontal="justify" vertical="center" wrapText="1"/>
    </xf>
    <xf numFmtId="170" fontId="1" fillId="4" borderId="10" xfId="0" applyNumberFormat="1" applyFont="1" applyFill="1" applyBorder="1" applyAlignment="1">
      <alignment horizontal="right" vertical="center" wrapText="1"/>
    </xf>
    <xf numFmtId="170" fontId="6" fillId="4" borderId="10" xfId="0" applyNumberFormat="1" applyFont="1" applyFill="1" applyBorder="1" applyAlignment="1">
      <alignment horizontal="right" vertical="center" wrapText="1"/>
    </xf>
    <xf numFmtId="49" fontId="1" fillId="4" borderId="10" xfId="0" applyNumberFormat="1" applyFont="1" applyFill="1" applyBorder="1" applyAlignment="1">
      <alignment horizontal="center" vertical="center" wrapText="1"/>
    </xf>
    <xf numFmtId="1" fontId="1" fillId="4" borderId="10" xfId="0" applyNumberFormat="1" applyFont="1" applyFill="1" applyBorder="1" applyAlignment="1">
      <alignment vertical="center" textRotation="180" wrapText="1"/>
    </xf>
    <xf numFmtId="1" fontId="6" fillId="4" borderId="10" xfId="0" applyNumberFormat="1" applyFont="1" applyFill="1" applyBorder="1" applyAlignment="1">
      <alignment vertical="center" textRotation="180" wrapText="1"/>
    </xf>
    <xf numFmtId="3" fontId="1" fillId="4" borderId="39" xfId="0" applyNumberFormat="1" applyFont="1" applyFill="1" applyBorder="1" applyAlignment="1">
      <alignment horizontal="center" vertical="center" wrapText="1"/>
    </xf>
    <xf numFmtId="0" fontId="1" fillId="4" borderId="0" xfId="0" applyFont="1" applyFill="1" applyBorder="1" applyAlignment="1">
      <alignment horizontal="left" vertical="center" wrapText="1"/>
    </xf>
    <xf numFmtId="0" fontId="1" fillId="4" borderId="0" xfId="0" applyFont="1" applyFill="1" applyBorder="1" applyAlignment="1">
      <alignment horizontal="left"/>
    </xf>
    <xf numFmtId="0" fontId="1" fillId="20" borderId="16" xfId="0" applyFont="1" applyFill="1" applyBorder="1" applyAlignment="1">
      <alignment horizontal="left"/>
    </xf>
    <xf numFmtId="0" fontId="1" fillId="20" borderId="10" xfId="0" applyFont="1" applyFill="1" applyBorder="1" applyAlignment="1">
      <alignment horizontal="left"/>
    </xf>
    <xf numFmtId="2" fontId="1" fillId="4" borderId="37" xfId="0" applyNumberFormat="1" applyFont="1" applyFill="1" applyBorder="1" applyAlignment="1">
      <alignment horizontal="left" vertical="center" wrapText="1" indent="1"/>
    </xf>
    <xf numFmtId="170" fontId="1" fillId="4" borderId="12" xfId="0" applyNumberFormat="1" applyFont="1" applyFill="1" applyBorder="1" applyAlignment="1">
      <alignment horizontal="justify" vertical="center" wrapText="1"/>
    </xf>
    <xf numFmtId="170" fontId="1" fillId="4" borderId="10" xfId="0" applyNumberFormat="1" applyFont="1" applyFill="1" applyBorder="1" applyAlignment="1">
      <alignment vertical="center" wrapText="1"/>
    </xf>
    <xf numFmtId="170" fontId="6" fillId="4" borderId="10" xfId="0" applyNumberFormat="1" applyFont="1" applyFill="1" applyBorder="1" applyAlignment="1">
      <alignment vertical="center" wrapText="1"/>
    </xf>
    <xf numFmtId="3" fontId="1" fillId="4" borderId="27" xfId="0" applyNumberFormat="1" applyFont="1" applyFill="1" applyBorder="1" applyAlignment="1">
      <alignment vertical="center" wrapText="1"/>
    </xf>
    <xf numFmtId="170" fontId="1" fillId="4" borderId="10" xfId="0" applyNumberFormat="1" applyFont="1" applyFill="1" applyBorder="1" applyAlignment="1">
      <alignment vertical="center"/>
    </xf>
    <xf numFmtId="0" fontId="1" fillId="0" borderId="0" xfId="0" applyFont="1" applyFill="1" applyAlignment="1">
      <alignment horizontal="left" vertical="center" wrapText="1"/>
    </xf>
    <xf numFmtId="2" fontId="1" fillId="4" borderId="10" xfId="0" applyNumberFormat="1" applyFont="1" applyFill="1" applyBorder="1" applyAlignment="1">
      <alignment horizontal="left" vertical="center" wrapText="1" indent="1"/>
    </xf>
    <xf numFmtId="1" fontId="1" fillId="4" borderId="12" xfId="0" applyNumberFormat="1" applyFont="1" applyFill="1" applyBorder="1" applyAlignment="1">
      <alignment horizontal="center" vertical="center" wrapText="1"/>
    </xf>
    <xf numFmtId="170" fontId="7" fillId="10" borderId="14" xfId="0" applyNumberFormat="1" applyFont="1" applyFill="1" applyBorder="1" applyAlignment="1">
      <alignment vertical="center"/>
    </xf>
    <xf numFmtId="0" fontId="2" fillId="4" borderId="0" xfId="0" applyFont="1" applyFill="1" applyBorder="1" applyAlignment="1">
      <alignment vertical="center" wrapText="1"/>
    </xf>
    <xf numFmtId="0" fontId="2" fillId="4" borderId="24" xfId="0" applyFont="1" applyFill="1" applyBorder="1" applyAlignment="1">
      <alignment vertical="center" wrapText="1"/>
    </xf>
    <xf numFmtId="0" fontId="2" fillId="9" borderId="14" xfId="0" applyFont="1" applyFill="1" applyBorder="1" applyAlignment="1">
      <alignment vertical="center"/>
    </xf>
    <xf numFmtId="0" fontId="1" fillId="4" borderId="38"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2" fillId="12" borderId="14" xfId="0" applyFont="1" applyFill="1" applyBorder="1" applyAlignment="1">
      <alignment horizontal="left" vertical="center"/>
    </xf>
    <xf numFmtId="1" fontId="1" fillId="0" borderId="12" xfId="0" applyNumberFormat="1" applyFont="1" applyFill="1" applyBorder="1" applyAlignment="1">
      <alignment horizontal="center" vertical="center" wrapText="1"/>
    </xf>
    <xf numFmtId="3" fontId="1" fillId="4" borderId="10" xfId="0" applyNumberFormat="1" applyFont="1" applyFill="1" applyBorder="1" applyAlignment="1">
      <alignment horizontal="justify" vertical="center" wrapText="1"/>
    </xf>
    <xf numFmtId="3" fontId="1" fillId="4" borderId="10" xfId="0" applyNumberFormat="1" applyFont="1" applyFill="1" applyBorder="1" applyAlignment="1">
      <alignment horizontal="left" vertical="center" wrapText="1"/>
    </xf>
    <xf numFmtId="3" fontId="6" fillId="4" borderId="12" xfId="0" applyNumberFormat="1" applyFont="1" applyFill="1" applyBorder="1" applyAlignment="1">
      <alignment horizontal="justify" vertical="center" wrapText="1"/>
    </xf>
    <xf numFmtId="1" fontId="1" fillId="4" borderId="26" xfId="0" applyNumberFormat="1" applyFont="1" applyFill="1" applyBorder="1" applyAlignment="1">
      <alignment horizontal="center" vertical="center" wrapText="1"/>
    </xf>
    <xf numFmtId="9" fontId="1" fillId="4" borderId="26" xfId="66" applyFont="1" applyFill="1" applyBorder="1" applyAlignment="1">
      <alignment horizontal="center" vertical="center" wrapText="1"/>
    </xf>
    <xf numFmtId="9" fontId="6" fillId="4" borderId="26" xfId="66" applyFont="1" applyFill="1" applyBorder="1" applyAlignment="1">
      <alignment horizontal="center" vertical="center" wrapText="1"/>
    </xf>
    <xf numFmtId="9" fontId="1" fillId="0" borderId="26" xfId="66" applyFont="1" applyFill="1" applyBorder="1" applyAlignment="1">
      <alignment horizontal="center" vertical="center" wrapText="1"/>
    </xf>
    <xf numFmtId="10" fontId="1" fillId="0" borderId="26" xfId="66" applyNumberFormat="1" applyFont="1" applyFill="1" applyBorder="1" applyAlignment="1">
      <alignment horizontal="center" vertical="center" wrapText="1"/>
    </xf>
    <xf numFmtId="169" fontId="1" fillId="4" borderId="26" xfId="0" applyNumberFormat="1" applyFont="1" applyFill="1" applyBorder="1" applyAlignment="1">
      <alignment horizontal="center" vertical="center" wrapText="1"/>
    </xf>
    <xf numFmtId="169" fontId="6" fillId="4" borderId="26" xfId="0" applyNumberFormat="1" applyFont="1" applyFill="1" applyBorder="1" applyAlignment="1">
      <alignment horizontal="center" vertical="center" wrapText="1"/>
    </xf>
    <xf numFmtId="3" fontId="1" fillId="4" borderId="36" xfId="0" applyNumberFormat="1" applyFont="1" applyFill="1" applyBorder="1" applyAlignment="1">
      <alignment horizontal="center" vertical="center" wrapText="1"/>
    </xf>
    <xf numFmtId="3" fontId="6" fillId="4" borderId="10" xfId="0" applyNumberFormat="1" applyFont="1" applyFill="1" applyBorder="1" applyAlignment="1">
      <alignment horizontal="justify" vertical="center" wrapText="1"/>
    </xf>
    <xf numFmtId="169" fontId="6" fillId="4" borderId="42" xfId="0" applyNumberFormat="1" applyFont="1" applyFill="1" applyBorder="1" applyAlignment="1">
      <alignment horizontal="center" vertical="center" wrapText="1"/>
    </xf>
    <xf numFmtId="0" fontId="2" fillId="4" borderId="34" xfId="0" applyFont="1" applyFill="1" applyBorder="1" applyAlignment="1">
      <alignment vertical="center" wrapText="1"/>
    </xf>
    <xf numFmtId="0" fontId="2" fillId="4" borderId="12" xfId="0" applyFont="1" applyFill="1" applyBorder="1" applyAlignment="1">
      <alignment vertical="center" wrapText="1"/>
    </xf>
    <xf numFmtId="0" fontId="1" fillId="4" borderId="13" xfId="0" applyFont="1" applyFill="1" applyBorder="1" applyAlignment="1">
      <alignment horizontal="center" vertical="center" wrapText="1"/>
    </xf>
    <xf numFmtId="0" fontId="1" fillId="0" borderId="43" xfId="0" applyFont="1" applyBorder="1" applyAlignment="1">
      <alignment/>
    </xf>
    <xf numFmtId="0" fontId="1" fillId="0" borderId="0" xfId="0" applyFont="1" applyBorder="1" applyAlignment="1">
      <alignment horizontal="justify" vertical="center"/>
    </xf>
    <xf numFmtId="0" fontId="1" fillId="0" borderId="0" xfId="0" applyFont="1" applyBorder="1" applyAlignment="1">
      <alignment horizontal="center" vertical="center"/>
    </xf>
    <xf numFmtId="0" fontId="6" fillId="4" borderId="0" xfId="0" applyFont="1" applyFill="1" applyBorder="1" applyAlignment="1">
      <alignment horizontal="center" vertical="center"/>
    </xf>
    <xf numFmtId="0" fontId="6" fillId="4" borderId="0" xfId="0" applyFont="1" applyFill="1" applyBorder="1" applyAlignment="1">
      <alignment horizontal="justify" vertical="center"/>
    </xf>
    <xf numFmtId="1" fontId="1" fillId="4" borderId="0" xfId="0" applyNumberFormat="1" applyFont="1" applyFill="1" applyBorder="1" applyAlignment="1">
      <alignment horizontal="center" vertical="center"/>
    </xf>
    <xf numFmtId="0" fontId="6" fillId="0" borderId="0" xfId="0" applyFont="1" applyBorder="1" applyAlignment="1">
      <alignment/>
    </xf>
    <xf numFmtId="0" fontId="1" fillId="0" borderId="0" xfId="0" applyFont="1" applyFill="1" applyBorder="1" applyAlignment="1">
      <alignment horizontal="center"/>
    </xf>
    <xf numFmtId="4" fontId="1" fillId="0" borderId="0" xfId="0" applyNumberFormat="1" applyFont="1" applyFill="1" applyBorder="1" applyAlignment="1">
      <alignment horizontal="center"/>
    </xf>
    <xf numFmtId="0" fontId="1" fillId="0" borderId="0" xfId="0" applyFont="1" applyFill="1" applyBorder="1" applyAlignment="1">
      <alignment horizontal="right" vertical="center"/>
    </xf>
    <xf numFmtId="0" fontId="6" fillId="0" borderId="0" xfId="0" applyFont="1" applyFill="1" applyBorder="1" applyAlignment="1">
      <alignment horizontal="right" vertical="center"/>
    </xf>
    <xf numFmtId="169" fontId="1" fillId="0" borderId="0" xfId="0" applyNumberFormat="1" applyFont="1" applyBorder="1" applyAlignment="1">
      <alignment horizontal="center"/>
    </xf>
    <xf numFmtId="169" fontId="6" fillId="0" borderId="0" xfId="0" applyNumberFormat="1" applyFont="1" applyBorder="1" applyAlignment="1">
      <alignment horizontal="center"/>
    </xf>
    <xf numFmtId="0" fontId="1" fillId="0" borderId="44" xfId="0" applyFont="1" applyBorder="1" applyAlignment="1">
      <alignment horizontal="left"/>
    </xf>
    <xf numFmtId="170" fontId="2" fillId="4" borderId="32" xfId="0" applyNumberFormat="1" applyFont="1" applyFill="1" applyBorder="1" applyAlignment="1">
      <alignment horizontal="justify" vertical="center"/>
    </xf>
    <xf numFmtId="0" fontId="2" fillId="4" borderId="23" xfId="0" applyFont="1" applyFill="1" applyBorder="1" applyAlignment="1">
      <alignment horizontal="justify" vertical="center"/>
    </xf>
    <xf numFmtId="0" fontId="2" fillId="4" borderId="21" xfId="0" applyFont="1" applyFill="1" applyBorder="1" applyAlignment="1">
      <alignment horizontal="justify" vertical="center"/>
    </xf>
    <xf numFmtId="0" fontId="2" fillId="4" borderId="22" xfId="0" applyFont="1" applyFill="1" applyBorder="1" applyAlignment="1">
      <alignment horizontal="justify" vertical="center"/>
    </xf>
    <xf numFmtId="170" fontId="7" fillId="4" borderId="32" xfId="0" applyNumberFormat="1" applyFont="1" applyFill="1" applyBorder="1" applyAlignment="1">
      <alignment horizontal="justify" vertical="center"/>
    </xf>
    <xf numFmtId="1" fontId="2" fillId="4" borderId="23" xfId="0" applyNumberFormat="1" applyFont="1" applyFill="1" applyBorder="1" applyAlignment="1">
      <alignment horizontal="center" vertical="center"/>
    </xf>
    <xf numFmtId="0" fontId="2" fillId="0" borderId="21" xfId="0" applyFont="1" applyBorder="1" applyAlignment="1">
      <alignment/>
    </xf>
    <xf numFmtId="0" fontId="2" fillId="0" borderId="21" xfId="0" applyFont="1" applyFill="1" applyBorder="1" applyAlignment="1">
      <alignment horizontal="center"/>
    </xf>
    <xf numFmtId="4" fontId="2" fillId="0" borderId="21" xfId="0" applyNumberFormat="1" applyFont="1" applyFill="1" applyBorder="1" applyAlignment="1">
      <alignment horizontal="center"/>
    </xf>
    <xf numFmtId="0" fontId="2" fillId="0" borderId="21" xfId="0" applyFont="1" applyFill="1" applyBorder="1" applyAlignment="1">
      <alignment horizontal="right" vertical="center"/>
    </xf>
    <xf numFmtId="0" fontId="7" fillId="0" borderId="21" xfId="0" applyFont="1" applyFill="1" applyBorder="1" applyAlignment="1">
      <alignment horizontal="right" vertical="center"/>
    </xf>
    <xf numFmtId="169" fontId="2" fillId="0" borderId="21" xfId="0" applyNumberFormat="1" applyFont="1" applyBorder="1" applyAlignment="1">
      <alignment horizontal="center"/>
    </xf>
    <xf numFmtId="169" fontId="7" fillId="0" borderId="21" xfId="0" applyNumberFormat="1" applyFont="1" applyBorder="1" applyAlignment="1">
      <alignment horizontal="center"/>
    </xf>
    <xf numFmtId="0" fontId="2" fillId="0" borderId="22" xfId="0" applyFont="1" applyBorder="1" applyAlignment="1">
      <alignment horizontal="left"/>
    </xf>
    <xf numFmtId="0" fontId="2" fillId="0" borderId="0" xfId="0" applyFont="1" applyFill="1" applyAlignment="1">
      <alignment/>
    </xf>
    <xf numFmtId="0" fontId="2" fillId="0" borderId="0" xfId="0" applyFont="1" applyAlignment="1">
      <alignment/>
    </xf>
    <xf numFmtId="0" fontId="6" fillId="4" borderId="0" xfId="0" applyFont="1" applyFill="1" applyAlignment="1">
      <alignment horizontal="center" vertical="center"/>
    </xf>
    <xf numFmtId="43" fontId="0" fillId="0" borderId="0" xfId="51" applyFont="1" applyFill="1" applyAlignment="1">
      <alignment/>
    </xf>
    <xf numFmtId="0" fontId="6" fillId="4" borderId="0" xfId="0" applyFont="1" applyFill="1" applyAlignment="1">
      <alignment horizontal="justify" vertical="center"/>
    </xf>
    <xf numFmtId="1" fontId="1" fillId="4" borderId="0" xfId="0" applyNumberFormat="1" applyFont="1" applyFill="1" applyAlignment="1">
      <alignment horizontal="center" vertical="center"/>
    </xf>
    <xf numFmtId="0" fontId="1" fillId="0" borderId="0" xfId="0" applyFont="1" applyFill="1" applyAlignment="1">
      <alignment horizontal="center"/>
    </xf>
    <xf numFmtId="183" fontId="1" fillId="4" borderId="0" xfId="0" applyNumberFormat="1" applyFont="1" applyFill="1" applyAlignment="1">
      <alignment horizontal="justify" vertical="center"/>
    </xf>
    <xf numFmtId="0" fontId="1" fillId="0" borderId="26" xfId="0" applyFont="1" applyFill="1" applyBorder="1" applyAlignment="1">
      <alignment horizontal="justify" vertical="center" wrapText="1"/>
    </xf>
    <xf numFmtId="0" fontId="1" fillId="0" borderId="25" xfId="0" applyFont="1" applyFill="1" applyBorder="1" applyAlignment="1">
      <alignment horizontal="justify" vertical="center" wrapText="1"/>
    </xf>
    <xf numFmtId="1" fontId="1" fillId="0" borderId="34" xfId="0" applyNumberFormat="1"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0" fontId="1" fillId="0" borderId="10" xfId="0" applyFont="1" applyFill="1" applyBorder="1" applyAlignment="1">
      <alignment/>
    </xf>
    <xf numFmtId="0" fontId="2" fillId="9" borderId="14" xfId="0" applyFont="1" applyFill="1" applyBorder="1" applyAlignment="1">
      <alignment horizontal="left" vertical="center"/>
    </xf>
    <xf numFmtId="0" fontId="1" fillId="4" borderId="0" xfId="0" applyFont="1" applyFill="1" applyBorder="1" applyAlignment="1">
      <alignment horizontal="justify" vertical="center" wrapText="1"/>
    </xf>
    <xf numFmtId="1" fontId="1" fillId="0" borderId="10" xfId="0" applyNumberFormat="1" applyFont="1" applyFill="1" applyBorder="1" applyAlignment="1">
      <alignment horizontal="center" vertical="center" wrapText="1"/>
    </xf>
    <xf numFmtId="0" fontId="1" fillId="0" borderId="37"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3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Alignment="1">
      <alignment horizontal="center"/>
    </xf>
    <xf numFmtId="169" fontId="2" fillId="9"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170" fontId="1" fillId="0" borderId="10"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170" fontId="1" fillId="0" borderId="37" xfId="0" applyNumberFormat="1" applyFont="1" applyFill="1" applyBorder="1" applyAlignment="1">
      <alignment horizontal="center" vertical="center" wrapText="1"/>
    </xf>
    <xf numFmtId="3" fontId="1" fillId="0" borderId="37"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9" fontId="1" fillId="0" borderId="10" xfId="66" applyFont="1" applyFill="1" applyBorder="1" applyAlignment="1">
      <alignment horizontal="center" vertical="center" wrapText="1"/>
    </xf>
    <xf numFmtId="170" fontId="4" fillId="0" borderId="10" xfId="0" applyNumberFormat="1" applyFont="1" applyFill="1" applyBorder="1" applyAlignment="1">
      <alignment horizontal="center" vertical="center" wrapText="1"/>
    </xf>
    <xf numFmtId="9" fontId="4" fillId="0" borderId="10" xfId="66" applyFont="1" applyFill="1" applyBorder="1" applyAlignment="1">
      <alignment horizontal="center" vertical="center" wrapText="1"/>
    </xf>
    <xf numFmtId="0" fontId="2" fillId="9" borderId="37"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26"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3" fontId="2" fillId="9" borderId="12"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1" fontId="6" fillId="4" borderId="12" xfId="0" applyNumberFormat="1" applyFont="1" applyFill="1" applyBorder="1" applyAlignment="1">
      <alignment horizontal="center" vertical="center" wrapText="1"/>
    </xf>
    <xf numFmtId="0" fontId="7" fillId="0" borderId="0" xfId="0" applyFont="1" applyBorder="1" applyAlignment="1">
      <alignment horizontal="center" vertical="center"/>
    </xf>
    <xf numFmtId="3" fontId="1" fillId="4" borderId="12" xfId="0" applyNumberFormat="1" applyFont="1" applyFill="1" applyBorder="1" applyAlignment="1">
      <alignment horizontal="justify" vertical="center" wrapText="1"/>
    </xf>
    <xf numFmtId="0" fontId="7" fillId="0" borderId="0" xfId="0" applyFont="1" applyAlignment="1">
      <alignment horizontal="center" vertical="center"/>
    </xf>
    <xf numFmtId="0" fontId="7" fillId="9" borderId="37" xfId="0" applyFont="1" applyFill="1" applyBorder="1" applyAlignment="1">
      <alignment horizontal="center" vertical="center" wrapText="1"/>
    </xf>
    <xf numFmtId="170" fontId="2" fillId="9" borderId="10" xfId="0" applyNumberFormat="1" applyFont="1" applyFill="1" applyBorder="1" applyAlignment="1">
      <alignment horizontal="center" vertical="center" wrapText="1"/>
    </xf>
    <xf numFmtId="170" fontId="7" fillId="9" borderId="10" xfId="0" applyNumberFormat="1" applyFont="1" applyFill="1" applyBorder="1" applyAlignment="1">
      <alignment horizontal="center" vertical="center" wrapText="1"/>
    </xf>
    <xf numFmtId="0" fontId="2" fillId="9" borderId="34" xfId="0" applyFont="1" applyFill="1" applyBorder="1" applyAlignment="1">
      <alignment horizontal="center" vertical="center" wrapText="1"/>
    </xf>
    <xf numFmtId="170" fontId="2" fillId="9" borderId="12" xfId="0" applyNumberFormat="1" applyFont="1" applyFill="1" applyBorder="1" applyAlignment="1">
      <alignment horizontal="center" vertical="center" wrapText="1"/>
    </xf>
    <xf numFmtId="0" fontId="2" fillId="9" borderId="26" xfId="0" applyFont="1" applyFill="1" applyBorder="1" applyAlignment="1">
      <alignment horizontal="center" vertical="center" textRotation="180" wrapText="1"/>
    </xf>
    <xf numFmtId="0" fontId="7" fillId="9" borderId="26" xfId="0" applyFont="1" applyFill="1" applyBorder="1" applyAlignment="1">
      <alignment horizontal="center" vertical="center" textRotation="180" wrapText="1"/>
    </xf>
    <xf numFmtId="0" fontId="1" fillId="0" borderId="12" xfId="0" applyFont="1" applyBorder="1" applyAlignment="1">
      <alignment horizontal="center" vertical="center" textRotation="180" wrapText="1"/>
    </xf>
    <xf numFmtId="0" fontId="6" fillId="0" borderId="26" xfId="0" applyFont="1" applyBorder="1" applyAlignment="1">
      <alignment horizontal="center" vertical="center" textRotation="180" wrapText="1"/>
    </xf>
    <xf numFmtId="0" fontId="2" fillId="9" borderId="12" xfId="0" applyFont="1" applyFill="1" applyBorder="1" applyAlignment="1">
      <alignment horizontal="center" vertical="center" textRotation="180" wrapText="1"/>
    </xf>
    <xf numFmtId="169" fontId="2" fillId="9" borderId="12" xfId="0" applyNumberFormat="1" applyFont="1" applyFill="1" applyBorder="1" applyAlignment="1">
      <alignment horizontal="center" vertical="center" wrapText="1"/>
    </xf>
    <xf numFmtId="169" fontId="7" fillId="9" borderId="12" xfId="0" applyNumberFormat="1" applyFont="1" applyFill="1" applyBorder="1" applyAlignment="1">
      <alignment horizontal="center" vertical="center" wrapText="1"/>
    </xf>
    <xf numFmtId="165" fontId="2" fillId="9" borderId="12" xfId="48" applyFont="1" applyFill="1" applyBorder="1" applyAlignment="1">
      <alignment horizontal="center" vertical="center" wrapText="1"/>
    </xf>
    <xf numFmtId="0" fontId="2" fillId="10" borderId="0" xfId="0" applyFont="1" applyFill="1" applyAlignment="1">
      <alignment horizontal="center"/>
    </xf>
    <xf numFmtId="0" fontId="2" fillId="10" borderId="15" xfId="0" applyFont="1" applyFill="1" applyBorder="1" applyAlignment="1">
      <alignment vertical="center"/>
    </xf>
    <xf numFmtId="165" fontId="2" fillId="10" borderId="17" xfId="48" applyFont="1" applyFill="1" applyBorder="1" applyAlignment="1">
      <alignment vertical="center"/>
    </xf>
    <xf numFmtId="0" fontId="2" fillId="10" borderId="16"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xf>
    <xf numFmtId="0" fontId="2" fillId="9" borderId="10" xfId="0" applyFont="1" applyFill="1" applyBorder="1" applyAlignment="1">
      <alignment horizontal="center" vertical="center" wrapText="1"/>
    </xf>
    <xf numFmtId="165" fontId="2" fillId="9" borderId="17" xfId="48" applyFont="1" applyFill="1" applyBorder="1" applyAlignment="1">
      <alignment vertical="center"/>
    </xf>
    <xf numFmtId="0" fontId="2" fillId="9" borderId="16" xfId="0" applyFont="1" applyFill="1" applyBorder="1" applyAlignment="1">
      <alignment vertical="center"/>
    </xf>
    <xf numFmtId="0" fontId="2" fillId="10" borderId="16" xfId="0" applyFont="1" applyFill="1" applyBorder="1" applyAlignment="1">
      <alignment horizontal="center" vertical="center" wrapText="1"/>
    </xf>
    <xf numFmtId="0" fontId="2" fillId="10" borderId="15" xfId="0" applyFont="1" applyFill="1" applyBorder="1" applyAlignment="1">
      <alignment vertical="center"/>
    </xf>
    <xf numFmtId="165" fontId="2" fillId="10" borderId="17" xfId="48" applyFont="1" applyFill="1" applyBorder="1" applyAlignment="1">
      <alignment vertical="center"/>
    </xf>
    <xf numFmtId="0" fontId="2" fillId="10" borderId="16" xfId="0" applyFont="1" applyFill="1" applyBorder="1" applyAlignment="1">
      <alignment vertical="center"/>
    </xf>
    <xf numFmtId="0" fontId="1" fillId="0" borderId="0" xfId="0" applyFont="1" applyFill="1" applyBorder="1" applyAlignment="1">
      <alignment vertical="center" wrapText="1"/>
    </xf>
    <xf numFmtId="0" fontId="1" fillId="0" borderId="10" xfId="0" applyFont="1" applyBorder="1" applyAlignment="1">
      <alignment horizontal="center" vertical="center"/>
    </xf>
    <xf numFmtId="0" fontId="1" fillId="0" borderId="0" xfId="0" applyFont="1" applyFill="1" applyBorder="1" applyAlignment="1">
      <alignment wrapText="1"/>
    </xf>
    <xf numFmtId="4" fontId="6" fillId="0" borderId="10"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37" xfId="0" applyFont="1" applyFill="1" applyBorder="1" applyAlignment="1">
      <alignment vertical="center" wrapText="1"/>
    </xf>
    <xf numFmtId="3" fontId="2" fillId="10" borderId="17" xfId="0" applyNumberFormat="1" applyFont="1" applyFill="1" applyBorder="1" applyAlignment="1">
      <alignment vertical="center"/>
    </xf>
    <xf numFmtId="3" fontId="7" fillId="10" borderId="17" xfId="0" applyNumberFormat="1" applyFont="1" applyFill="1" applyBorder="1" applyAlignment="1">
      <alignment vertical="center"/>
    </xf>
    <xf numFmtId="182" fontId="2" fillId="10" borderId="17" xfId="48" applyNumberFormat="1" applyFont="1" applyFill="1" applyBorder="1" applyAlignment="1">
      <alignment vertical="center"/>
    </xf>
    <xf numFmtId="182" fontId="2" fillId="10" borderId="17" xfId="0" applyNumberFormat="1" applyFont="1" applyFill="1" applyBorder="1" applyAlignment="1">
      <alignment vertical="center"/>
    </xf>
    <xf numFmtId="10" fontId="1" fillId="0" borderId="10" xfId="0" applyNumberFormat="1" applyFont="1" applyFill="1" applyBorder="1" applyAlignment="1">
      <alignment horizontal="center" vertical="center" wrapText="1"/>
    </xf>
    <xf numFmtId="0" fontId="1" fillId="0" borderId="0" xfId="0" applyFont="1" applyAlignment="1">
      <alignment horizontal="justify" vertical="center" wrapText="1"/>
    </xf>
    <xf numFmtId="1" fontId="6" fillId="0" borderId="10" xfId="0" applyNumberFormat="1" applyFont="1" applyFill="1" applyBorder="1" applyAlignment="1">
      <alignment horizontal="center" vertical="center" wrapText="1"/>
    </xf>
    <xf numFmtId="0" fontId="1" fillId="0" borderId="10" xfId="0" applyFont="1" applyFill="1" applyBorder="1" applyAlignment="1">
      <alignment horizontal="justify" wrapText="1"/>
    </xf>
    <xf numFmtId="0" fontId="7" fillId="10" borderId="17" xfId="0" applyFont="1" applyFill="1" applyBorder="1" applyAlignment="1">
      <alignment horizontal="left" vertical="center"/>
    </xf>
    <xf numFmtId="3" fontId="2" fillId="10" borderId="17" xfId="0" applyNumberFormat="1" applyFont="1" applyFill="1" applyBorder="1" applyAlignment="1">
      <alignment horizontal="left" vertical="center"/>
    </xf>
    <xf numFmtId="3" fontId="7" fillId="10" borderId="17" xfId="0" applyNumberFormat="1" applyFont="1" applyFill="1" applyBorder="1" applyAlignment="1">
      <alignment horizontal="left" vertical="center"/>
    </xf>
    <xf numFmtId="165" fontId="2" fillId="10" borderId="17" xfId="48" applyFont="1" applyFill="1" applyBorder="1" applyAlignment="1">
      <alignment horizontal="left" vertical="center"/>
    </xf>
    <xf numFmtId="0" fontId="2" fillId="10" borderId="16" xfId="0" applyFont="1" applyFill="1" applyBorder="1" applyAlignment="1">
      <alignment horizontal="left" vertical="center"/>
    </xf>
    <xf numFmtId="168" fontId="1" fillId="0" borderId="10" xfId="0" applyNumberFormat="1" applyFont="1" applyFill="1" applyBorder="1" applyAlignment="1">
      <alignment vertical="center" wrapText="1"/>
    </xf>
    <xf numFmtId="4" fontId="4"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2" fillId="9" borderId="25" xfId="0" applyFont="1" applyFill="1" applyBorder="1" applyAlignment="1">
      <alignment vertical="center"/>
    </xf>
    <xf numFmtId="0" fontId="2" fillId="9" borderId="0" xfId="0" applyFont="1" applyFill="1" applyBorder="1" applyAlignment="1">
      <alignment vertical="center"/>
    </xf>
    <xf numFmtId="0" fontId="7" fillId="9" borderId="0" xfId="0" applyFont="1" applyFill="1" applyBorder="1" applyAlignment="1">
      <alignment vertical="center"/>
    </xf>
    <xf numFmtId="3" fontId="2" fillId="9" borderId="0" xfId="0" applyNumberFormat="1" applyFont="1" applyFill="1" applyBorder="1" applyAlignment="1">
      <alignment vertical="center"/>
    </xf>
    <xf numFmtId="3" fontId="7" fillId="9" borderId="0" xfId="0" applyNumberFormat="1" applyFont="1" applyFill="1" applyBorder="1" applyAlignment="1">
      <alignment vertical="center"/>
    </xf>
    <xf numFmtId="165" fontId="2" fillId="9" borderId="0" xfId="48" applyFont="1" applyFill="1" applyBorder="1" applyAlignment="1">
      <alignment vertical="center"/>
    </xf>
    <xf numFmtId="0" fontId="2" fillId="9" borderId="38" xfId="0" applyFont="1" applyFill="1" applyBorder="1" applyAlignment="1">
      <alignment vertical="center"/>
    </xf>
    <xf numFmtId="0" fontId="2" fillId="10" borderId="13" xfId="0" applyFont="1" applyFill="1" applyBorder="1" applyAlignment="1">
      <alignment horizontal="center" vertical="center" wrapText="1"/>
    </xf>
    <xf numFmtId="0" fontId="2" fillId="10" borderId="25" xfId="0" applyFont="1" applyFill="1" applyBorder="1" applyAlignment="1">
      <alignment vertical="center"/>
    </xf>
    <xf numFmtId="0" fontId="2" fillId="10" borderId="0" xfId="0" applyFont="1" applyFill="1" applyBorder="1" applyAlignment="1">
      <alignment vertical="center"/>
    </xf>
    <xf numFmtId="0" fontId="7" fillId="10" borderId="0" xfId="0" applyFont="1" applyFill="1" applyBorder="1" applyAlignment="1">
      <alignment vertical="center"/>
    </xf>
    <xf numFmtId="3" fontId="2" fillId="10" borderId="0" xfId="0" applyNumberFormat="1" applyFont="1" applyFill="1" applyBorder="1" applyAlignment="1">
      <alignment vertical="center"/>
    </xf>
    <xf numFmtId="3" fontId="7" fillId="10" borderId="0" xfId="0" applyNumberFormat="1" applyFont="1" applyFill="1" applyBorder="1" applyAlignment="1">
      <alignment vertical="center"/>
    </xf>
    <xf numFmtId="165" fontId="2" fillId="10" borderId="0" xfId="48" applyFont="1" applyFill="1" applyBorder="1" applyAlignment="1">
      <alignment vertical="center"/>
    </xf>
    <xf numFmtId="0" fontId="2" fillId="10" borderId="38" xfId="0" applyFont="1" applyFill="1" applyBorder="1" applyAlignment="1">
      <alignment vertical="center"/>
    </xf>
    <xf numFmtId="3" fontId="6" fillId="0" borderId="10" xfId="0" applyNumberFormat="1" applyFont="1" applyFill="1" applyBorder="1" applyAlignment="1">
      <alignment horizontal="center" vertical="center"/>
    </xf>
    <xf numFmtId="0" fontId="1" fillId="0" borderId="10" xfId="0" applyFont="1" applyBorder="1" applyAlignment="1">
      <alignment horizontal="justify" vertical="center" wrapText="1" readingOrder="2"/>
    </xf>
    <xf numFmtId="3" fontId="8" fillId="0" borderId="10" xfId="0" applyNumberFormat="1" applyFont="1" applyFill="1" applyBorder="1" applyAlignment="1">
      <alignment horizontal="center" vertical="center"/>
    </xf>
    <xf numFmtId="0" fontId="1" fillId="0" borderId="10" xfId="0" applyFont="1" applyFill="1" applyBorder="1" applyAlignment="1">
      <alignment horizontal="center" wrapText="1"/>
    </xf>
    <xf numFmtId="9" fontId="1" fillId="0" borderId="37" xfId="0" applyNumberFormat="1" applyFont="1" applyFill="1" applyBorder="1" applyAlignment="1">
      <alignment horizontal="center" vertical="center" wrapText="1"/>
    </xf>
    <xf numFmtId="0" fontId="1" fillId="0" borderId="24" xfId="0" applyFont="1" applyBorder="1" applyAlignment="1">
      <alignment/>
    </xf>
    <xf numFmtId="0" fontId="1" fillId="0" borderId="0" xfId="0" applyFont="1" applyAlignment="1">
      <alignment horizontal="justify" vertical="center" wrapText="1" readingOrder="2"/>
    </xf>
    <xf numFmtId="0" fontId="1" fillId="0" borderId="10" xfId="0" applyFont="1" applyBorder="1" applyAlignment="1">
      <alignment horizontal="justify" vertical="center" wrapText="1" readingOrder="2"/>
    </xf>
    <xf numFmtId="0" fontId="1" fillId="0" borderId="10" xfId="0" applyFont="1" applyFill="1" applyBorder="1" applyAlignment="1">
      <alignment horizontal="center" vertical="top" wrapText="1"/>
    </xf>
    <xf numFmtId="0" fontId="1" fillId="0" borderId="24" xfId="0" applyFont="1" applyBorder="1" applyAlignment="1">
      <alignment vertical="center" wrapText="1"/>
    </xf>
    <xf numFmtId="0" fontId="1" fillId="0" borderId="0" xfId="0" applyFont="1" applyAlignment="1">
      <alignment horizontal="justify" vertical="center" wrapText="1" readingOrder="2"/>
    </xf>
    <xf numFmtId="0" fontId="1" fillId="0" borderId="10" xfId="0" applyFont="1" applyBorder="1" applyAlignment="1">
      <alignment horizontal="justify" wrapText="1"/>
    </xf>
    <xf numFmtId="3" fontId="8" fillId="0" borderId="12" xfId="0" applyNumberFormat="1" applyFont="1" applyFill="1" applyBorder="1" applyAlignment="1">
      <alignment horizontal="center" vertical="center"/>
    </xf>
    <xf numFmtId="170" fontId="1" fillId="0" borderId="10" xfId="0" applyNumberFormat="1" applyFont="1" applyFill="1" applyBorder="1" applyAlignment="1">
      <alignment vertical="center" wrapText="1"/>
    </xf>
    <xf numFmtId="0" fontId="1" fillId="0" borderId="37" xfId="0" applyFont="1" applyBorder="1" applyAlignment="1">
      <alignment horizontal="justify" vertical="center" wrapText="1" readingOrder="2"/>
    </xf>
    <xf numFmtId="165" fontId="1" fillId="0" borderId="10" xfId="48"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justify" vertical="center" wrapText="1" readingOrder="2"/>
    </xf>
    <xf numFmtId="165" fontId="1" fillId="0" borderId="10" xfId="48" applyFont="1" applyFill="1" applyBorder="1" applyAlignment="1">
      <alignment horizontal="center" vertical="center" wrapText="1"/>
    </xf>
    <xf numFmtId="0" fontId="2" fillId="9" borderId="17" xfId="0" applyFont="1" applyFill="1" applyBorder="1" applyAlignment="1">
      <alignment horizontal="left" vertical="center" wrapText="1"/>
    </xf>
    <xf numFmtId="0" fontId="7" fillId="9" borderId="17" xfId="0" applyFont="1" applyFill="1" applyBorder="1" applyAlignment="1">
      <alignment horizontal="left" vertical="center" wrapText="1"/>
    </xf>
    <xf numFmtId="3" fontId="2" fillId="9" borderId="17" xfId="0" applyNumberFormat="1" applyFont="1" applyFill="1" applyBorder="1" applyAlignment="1">
      <alignment horizontal="left" vertical="center" wrapText="1"/>
    </xf>
    <xf numFmtId="3" fontId="7" fillId="9" borderId="17" xfId="0" applyNumberFormat="1" applyFont="1" applyFill="1" applyBorder="1" applyAlignment="1">
      <alignment horizontal="left" vertical="center" wrapText="1"/>
    </xf>
    <xf numFmtId="165" fontId="2" fillId="9" borderId="17" xfId="48" applyFont="1" applyFill="1" applyBorder="1" applyAlignment="1">
      <alignment horizontal="left" vertical="center" wrapText="1"/>
    </xf>
    <xf numFmtId="0" fontId="2" fillId="9" borderId="16" xfId="0" applyFont="1" applyFill="1" applyBorder="1" applyAlignment="1">
      <alignment horizontal="left" vertical="center" wrapText="1"/>
    </xf>
    <xf numFmtId="0" fontId="2" fillId="10" borderId="10" xfId="0" applyFont="1" applyFill="1" applyBorder="1" applyAlignment="1">
      <alignment horizontal="center" vertical="center" wrapText="1"/>
    </xf>
    <xf numFmtId="0" fontId="2" fillId="10" borderId="15" xfId="0" applyFont="1" applyFill="1" applyBorder="1" applyAlignment="1">
      <alignment horizontal="left" vertical="center" wrapText="1"/>
    </xf>
    <xf numFmtId="0" fontId="2" fillId="10" borderId="17" xfId="0" applyFont="1" applyFill="1" applyBorder="1" applyAlignment="1">
      <alignment horizontal="left" vertical="center" wrapText="1"/>
    </xf>
    <xf numFmtId="0" fontId="7" fillId="10" borderId="17" xfId="0" applyFont="1" applyFill="1" applyBorder="1" applyAlignment="1">
      <alignment horizontal="left" vertical="center" wrapText="1"/>
    </xf>
    <xf numFmtId="3" fontId="2" fillId="10" borderId="17" xfId="0" applyNumberFormat="1" applyFont="1" applyFill="1" applyBorder="1" applyAlignment="1">
      <alignment horizontal="left" vertical="center" wrapText="1"/>
    </xf>
    <xf numFmtId="3" fontId="7" fillId="10" borderId="17" xfId="0" applyNumberFormat="1" applyFont="1" applyFill="1" applyBorder="1" applyAlignment="1">
      <alignment horizontal="left" vertical="center" wrapText="1"/>
    </xf>
    <xf numFmtId="165" fontId="2" fillId="10" borderId="17" xfId="48" applyFont="1" applyFill="1" applyBorder="1" applyAlignment="1">
      <alignment horizontal="left" vertical="center" wrapText="1"/>
    </xf>
    <xf numFmtId="0" fontId="2" fillId="10" borderId="16" xfId="0" applyFont="1" applyFill="1" applyBorder="1" applyAlignment="1">
      <alignment horizontal="left" vertical="center" wrapText="1"/>
    </xf>
    <xf numFmtId="0" fontId="1" fillId="0" borderId="24" xfId="0" applyFont="1" applyFill="1" applyBorder="1" applyAlignment="1">
      <alignment horizontal="center" vertical="center"/>
    </xf>
    <xf numFmtId="0" fontId="1" fillId="9" borderId="12" xfId="0" applyFont="1" applyFill="1" applyBorder="1" applyAlignment="1">
      <alignment horizontal="center" vertical="center" wrapText="1"/>
    </xf>
    <xf numFmtId="0" fontId="2" fillId="9" borderId="42" xfId="0" applyFont="1" applyFill="1" applyBorder="1" applyAlignment="1">
      <alignment horizontal="left" vertical="center"/>
    </xf>
    <xf numFmtId="0" fontId="7" fillId="9" borderId="14" xfId="0" applyFont="1" applyFill="1" applyBorder="1" applyAlignment="1">
      <alignment horizontal="left" vertical="center"/>
    </xf>
    <xf numFmtId="3" fontId="2" fillId="9" borderId="14" xfId="0" applyNumberFormat="1" applyFont="1" applyFill="1" applyBorder="1" applyAlignment="1">
      <alignment horizontal="left" vertical="center"/>
    </xf>
    <xf numFmtId="3" fontId="7" fillId="9" borderId="14" xfId="0" applyNumberFormat="1" applyFont="1" applyFill="1" applyBorder="1" applyAlignment="1">
      <alignment horizontal="left" vertical="center"/>
    </xf>
    <xf numFmtId="165" fontId="2" fillId="9" borderId="14" xfId="48" applyFont="1" applyFill="1" applyBorder="1" applyAlignment="1">
      <alignment horizontal="left" vertical="center"/>
    </xf>
    <xf numFmtId="0" fontId="2" fillId="9" borderId="19" xfId="0" applyFont="1" applyFill="1" applyBorder="1" applyAlignment="1">
      <alignment horizontal="left" vertical="center"/>
    </xf>
    <xf numFmtId="0" fontId="1" fillId="10" borderId="13" xfId="0" applyFont="1" applyFill="1" applyBorder="1" applyAlignment="1">
      <alignment horizontal="center" vertical="center" wrapText="1"/>
    </xf>
    <xf numFmtId="0" fontId="2" fillId="10" borderId="26" xfId="0" applyFont="1" applyFill="1" applyBorder="1" applyAlignment="1">
      <alignment horizontal="left" vertical="center"/>
    </xf>
    <xf numFmtId="0" fontId="2" fillId="10" borderId="34" xfId="0" applyFont="1" applyFill="1" applyBorder="1" applyAlignment="1">
      <alignment horizontal="left" vertical="center"/>
    </xf>
    <xf numFmtId="0" fontId="7" fillId="10" borderId="34" xfId="0" applyFont="1" applyFill="1" applyBorder="1" applyAlignment="1">
      <alignment horizontal="left" vertical="center"/>
    </xf>
    <xf numFmtId="3" fontId="2" fillId="10" borderId="34" xfId="0" applyNumberFormat="1" applyFont="1" applyFill="1" applyBorder="1" applyAlignment="1">
      <alignment horizontal="left" vertical="center"/>
    </xf>
    <xf numFmtId="3" fontId="7" fillId="10" borderId="34" xfId="0" applyNumberFormat="1" applyFont="1" applyFill="1" applyBorder="1" applyAlignment="1">
      <alignment horizontal="left" vertical="center"/>
    </xf>
    <xf numFmtId="165" fontId="2" fillId="10" borderId="34" xfId="48" applyFont="1" applyFill="1" applyBorder="1" applyAlignment="1">
      <alignment horizontal="left" vertical="center"/>
    </xf>
    <xf numFmtId="0" fontId="2" fillId="10" borderId="13" xfId="0" applyFont="1" applyFill="1" applyBorder="1" applyAlignment="1">
      <alignment horizontal="left" vertical="center"/>
    </xf>
    <xf numFmtId="3" fontId="6" fillId="0" borderId="10" xfId="0" applyNumberFormat="1" applyFont="1" applyBorder="1" applyAlignment="1">
      <alignment horizontal="center" vertical="center"/>
    </xf>
    <xf numFmtId="3" fontId="1" fillId="0" borderId="10" xfId="0" applyNumberFormat="1"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Border="1" applyAlignment="1">
      <alignment vertical="center" wrapText="1"/>
    </xf>
    <xf numFmtId="182" fontId="13" fillId="0" borderId="10" xfId="0" applyNumberFormat="1" applyFont="1" applyFill="1" applyBorder="1" applyAlignment="1">
      <alignment horizontal="right" vertical="center"/>
    </xf>
    <xf numFmtId="9" fontId="1" fillId="0" borderId="10" xfId="67" applyFont="1" applyFill="1" applyBorder="1" applyAlignment="1">
      <alignment horizontal="center" vertical="center" wrapText="1"/>
    </xf>
    <xf numFmtId="9" fontId="6" fillId="0" borderId="10" xfId="67" applyFont="1" applyFill="1" applyBorder="1" applyAlignment="1">
      <alignment horizontal="center" vertical="center" wrapText="1"/>
    </xf>
    <xf numFmtId="182" fontId="1" fillId="0" borderId="10" xfId="0" applyNumberFormat="1" applyFont="1" applyFill="1" applyBorder="1" applyAlignment="1">
      <alignment horizontal="center" vertical="center" wrapText="1"/>
    </xf>
    <xf numFmtId="3" fontId="6" fillId="0" borderId="37" xfId="0" applyNumberFormat="1" applyFont="1" applyFill="1" applyBorder="1" applyAlignment="1">
      <alignment horizontal="center" vertical="center" wrapText="1"/>
    </xf>
    <xf numFmtId="0" fontId="1" fillId="0" borderId="37" xfId="0" applyFont="1" applyBorder="1" applyAlignment="1">
      <alignment horizontal="center" vertical="center"/>
    </xf>
    <xf numFmtId="0" fontId="1" fillId="0" borderId="12" xfId="0" applyFont="1" applyBorder="1" applyAlignment="1">
      <alignment horizontal="center" vertical="center"/>
    </xf>
    <xf numFmtId="165" fontId="1" fillId="0" borderId="12" xfId="48" applyFont="1" applyFill="1" applyBorder="1" applyAlignment="1">
      <alignment horizontal="center" vertical="center" wrapText="1"/>
    </xf>
    <xf numFmtId="0" fontId="1" fillId="9" borderId="10" xfId="0" applyFont="1" applyFill="1" applyBorder="1" applyAlignment="1">
      <alignment horizontal="left" vertical="center" wrapText="1"/>
    </xf>
    <xf numFmtId="0" fontId="1" fillId="9" borderId="15" xfId="0" applyFont="1" applyFill="1" applyBorder="1" applyAlignment="1">
      <alignment vertical="center"/>
    </xf>
    <xf numFmtId="0" fontId="1" fillId="9" borderId="17" xfId="0" applyFont="1" applyFill="1" applyBorder="1" applyAlignment="1">
      <alignment vertical="center"/>
    </xf>
    <xf numFmtId="0" fontId="6" fillId="9" borderId="17" xfId="0" applyFont="1" applyFill="1" applyBorder="1" applyAlignment="1">
      <alignment vertical="center"/>
    </xf>
    <xf numFmtId="3" fontId="1" fillId="9" borderId="17" xfId="0" applyNumberFormat="1" applyFont="1" applyFill="1" applyBorder="1" applyAlignment="1">
      <alignment vertical="center"/>
    </xf>
    <xf numFmtId="3" fontId="6" fillId="9" borderId="17" xfId="0" applyNumberFormat="1" applyFont="1" applyFill="1" applyBorder="1" applyAlignment="1">
      <alignment vertical="center"/>
    </xf>
    <xf numFmtId="165" fontId="1" fillId="9" borderId="17" xfId="48" applyFont="1" applyFill="1" applyBorder="1" applyAlignment="1">
      <alignment vertical="center"/>
    </xf>
    <xf numFmtId="170" fontId="1" fillId="0" borderId="37" xfId="0" applyNumberFormat="1" applyFont="1" applyFill="1" applyBorder="1" applyAlignment="1">
      <alignment vertical="center" wrapText="1"/>
    </xf>
    <xf numFmtId="165" fontId="1" fillId="0" borderId="37" xfId="48" applyFont="1" applyFill="1" applyBorder="1" applyAlignment="1">
      <alignment horizontal="center" vertical="center" wrapText="1"/>
    </xf>
    <xf numFmtId="170" fontId="2" fillId="0" borderId="32" xfId="0" applyNumberFormat="1" applyFont="1" applyBorder="1" applyAlignment="1">
      <alignment vertical="center"/>
    </xf>
    <xf numFmtId="0" fontId="1" fillId="0" borderId="23" xfId="0" applyFont="1" applyBorder="1" applyAlignment="1">
      <alignment/>
    </xf>
    <xf numFmtId="0" fontId="1" fillId="0" borderId="22" xfId="0" applyFont="1" applyBorder="1" applyAlignment="1">
      <alignment/>
    </xf>
    <xf numFmtId="0" fontId="6" fillId="0" borderId="21" xfId="0" applyFont="1" applyBorder="1" applyAlignment="1">
      <alignment/>
    </xf>
    <xf numFmtId="170" fontId="1" fillId="0" borderId="0" xfId="0" applyNumberFormat="1" applyFont="1" applyAlignment="1">
      <alignment/>
    </xf>
    <xf numFmtId="182" fontId="6" fillId="0" borderId="0" xfId="0" applyNumberFormat="1" applyFont="1" applyAlignment="1">
      <alignment/>
    </xf>
    <xf numFmtId="170" fontId="6" fillId="0" borderId="0" xfId="51" applyNumberFormat="1" applyFont="1" applyFill="1" applyBorder="1" applyAlignment="1">
      <alignment horizontal="justify" vertical="center"/>
    </xf>
    <xf numFmtId="165" fontId="1" fillId="0" borderId="0" xfId="48" applyFont="1" applyFill="1" applyAlignment="1">
      <alignment/>
    </xf>
    <xf numFmtId="165" fontId="1" fillId="0" borderId="0" xfId="48" applyFont="1" applyAlignment="1">
      <alignment/>
    </xf>
    <xf numFmtId="0" fontId="2" fillId="0" borderId="14" xfId="0" applyFont="1" applyBorder="1" applyAlignment="1">
      <alignment wrapText="1"/>
    </xf>
    <xf numFmtId="0" fontId="1" fillId="0" borderId="14" xfId="0" applyFont="1" applyBorder="1" applyAlignment="1">
      <alignment/>
    </xf>
    <xf numFmtId="0" fontId="1" fillId="0" borderId="0" xfId="0" applyFont="1" applyAlignment="1">
      <alignment/>
    </xf>
    <xf numFmtId="170" fontId="6" fillId="0" borderId="0" xfId="0" applyNumberFormat="1" applyFont="1" applyAlignment="1">
      <alignment/>
    </xf>
    <xf numFmtId="0" fontId="7" fillId="9" borderId="10" xfId="0" applyFont="1" applyFill="1" applyBorder="1" applyAlignment="1">
      <alignment horizontal="center" vertical="center"/>
    </xf>
    <xf numFmtId="1" fontId="2" fillId="10" borderId="42" xfId="0" applyNumberFormat="1" applyFont="1" applyFill="1" applyBorder="1" applyAlignment="1">
      <alignment horizontal="left" vertical="center" wrapText="1"/>
    </xf>
    <xf numFmtId="1" fontId="2" fillId="10" borderId="14" xfId="0" applyNumberFormat="1" applyFont="1" applyFill="1" applyBorder="1" applyAlignment="1">
      <alignment vertical="center"/>
    </xf>
    <xf numFmtId="0" fontId="2" fillId="10" borderId="14" xfId="0" applyFont="1" applyFill="1" applyBorder="1" applyAlignment="1">
      <alignment horizontal="center" vertical="center"/>
    </xf>
    <xf numFmtId="0" fontId="7" fillId="10" borderId="14" xfId="0" applyFont="1" applyFill="1" applyBorder="1" applyAlignment="1">
      <alignment horizontal="center" vertical="center"/>
    </xf>
    <xf numFmtId="3" fontId="2" fillId="10" borderId="14" xfId="0" applyNumberFormat="1" applyFont="1" applyFill="1" applyBorder="1" applyAlignment="1">
      <alignment horizontal="center" vertical="center"/>
    </xf>
    <xf numFmtId="0" fontId="1" fillId="10" borderId="14" xfId="0" applyFont="1" applyFill="1" applyBorder="1" applyAlignment="1">
      <alignment vertical="center"/>
    </xf>
    <xf numFmtId="0" fontId="7" fillId="9" borderId="17" xfId="0" applyFont="1" applyFill="1" applyBorder="1" applyAlignment="1">
      <alignment horizontal="center" vertical="center"/>
    </xf>
    <xf numFmtId="3" fontId="2" fillId="9" borderId="17" xfId="0" applyNumberFormat="1" applyFont="1" applyFill="1" applyBorder="1" applyAlignment="1">
      <alignment horizontal="center" vertical="center"/>
    </xf>
    <xf numFmtId="0" fontId="2" fillId="10" borderId="17" xfId="0" applyFont="1" applyFill="1" applyBorder="1" applyAlignment="1">
      <alignment horizontal="center" vertical="center"/>
    </xf>
    <xf numFmtId="0" fontId="7" fillId="10" borderId="17" xfId="0" applyFont="1" applyFill="1" applyBorder="1" applyAlignment="1">
      <alignment horizontal="center" vertical="center"/>
    </xf>
    <xf numFmtId="3" fontId="2" fillId="10" borderId="17" xfId="0" applyNumberFormat="1" applyFont="1" applyFill="1" applyBorder="1" applyAlignment="1">
      <alignment horizontal="center" vertical="center"/>
    </xf>
    <xf numFmtId="0" fontId="1" fillId="10" borderId="16" xfId="0" applyFont="1" applyFill="1" applyBorder="1" applyAlignment="1">
      <alignment vertical="center"/>
    </xf>
    <xf numFmtId="10" fontId="1" fillId="0" borderId="12" xfId="0" applyNumberFormat="1" applyFont="1" applyFill="1" applyBorder="1" applyAlignment="1">
      <alignment horizontal="center" vertical="center" wrapText="1"/>
    </xf>
    <xf numFmtId="170" fontId="2" fillId="10" borderId="17" xfId="0" applyNumberFormat="1" applyFont="1" applyFill="1" applyBorder="1" applyAlignment="1">
      <alignment horizontal="center" vertical="center"/>
    </xf>
    <xf numFmtId="170" fontId="7" fillId="10" borderId="17" xfId="0" applyNumberFormat="1" applyFont="1" applyFill="1" applyBorder="1" applyAlignment="1">
      <alignment horizontal="center" vertical="center"/>
    </xf>
    <xf numFmtId="184" fontId="1" fillId="0" borderId="16" xfId="0" applyNumberFormat="1" applyFont="1" applyFill="1" applyBorder="1" applyAlignment="1">
      <alignment horizontal="center" vertical="center" wrapText="1"/>
    </xf>
    <xf numFmtId="184" fontId="1" fillId="0" borderId="10" xfId="0" applyNumberFormat="1" applyFont="1" applyFill="1" applyBorder="1" applyAlignment="1">
      <alignment horizontal="center" vertical="center" wrapText="1"/>
    </xf>
    <xf numFmtId="3" fontId="1" fillId="0" borderId="10" xfId="0" applyNumberFormat="1" applyFont="1" applyFill="1" applyBorder="1" applyAlignment="1">
      <alignment vertical="center" textRotation="90" wrapText="1"/>
    </xf>
    <xf numFmtId="3" fontId="6" fillId="0" borderId="10" xfId="0" applyNumberFormat="1" applyFont="1" applyFill="1" applyBorder="1" applyAlignment="1">
      <alignment vertical="center" textRotation="90" wrapText="1"/>
    </xf>
    <xf numFmtId="3" fontId="1" fillId="0" borderId="37" xfId="0" applyNumberFormat="1" applyFont="1" applyFill="1" applyBorder="1" applyAlignment="1">
      <alignment vertical="center" textRotation="90" wrapText="1"/>
    </xf>
    <xf numFmtId="3" fontId="4" fillId="0" borderId="37" xfId="0" applyNumberFormat="1" applyFont="1" applyFill="1" applyBorder="1" applyAlignment="1">
      <alignment vertical="center" textRotation="90" wrapText="1"/>
    </xf>
    <xf numFmtId="3" fontId="6" fillId="0" borderId="37" xfId="0" applyNumberFormat="1" applyFont="1" applyFill="1" applyBorder="1" applyAlignment="1">
      <alignment vertical="center" textRotation="90" wrapText="1"/>
    </xf>
    <xf numFmtId="3" fontId="1" fillId="0" borderId="37" xfId="0" applyNumberFormat="1" applyFont="1" applyFill="1" applyBorder="1" applyAlignment="1">
      <alignment vertical="center" wrapText="1"/>
    </xf>
    <xf numFmtId="9" fontId="1" fillId="0" borderId="37" xfId="66" applyFont="1" applyFill="1" applyBorder="1" applyAlignment="1">
      <alignment vertical="center" wrapText="1"/>
    </xf>
    <xf numFmtId="3" fontId="1" fillId="0" borderId="10" xfId="0" applyNumberFormat="1" applyFont="1" applyFill="1" applyBorder="1" applyAlignment="1">
      <alignment vertical="center" wrapText="1"/>
    </xf>
    <xf numFmtId="169" fontId="4" fillId="0" borderId="37" xfId="0" applyNumberFormat="1" applyFont="1" applyFill="1" applyBorder="1" applyAlignment="1">
      <alignment vertical="center" wrapText="1"/>
    </xf>
    <xf numFmtId="184" fontId="6"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textRotation="90" wrapText="1"/>
    </xf>
    <xf numFmtId="3" fontId="6" fillId="0" borderId="10" xfId="0" applyNumberFormat="1" applyFont="1" applyFill="1" applyBorder="1" applyAlignment="1">
      <alignment horizontal="center" vertical="center" textRotation="90" wrapText="1"/>
    </xf>
    <xf numFmtId="0" fontId="2" fillId="10" borderId="10" xfId="0" applyFont="1" applyFill="1" applyBorder="1" applyAlignment="1">
      <alignment vertical="center"/>
    </xf>
    <xf numFmtId="0" fontId="7" fillId="10" borderId="10" xfId="0" applyFont="1" applyFill="1" applyBorder="1" applyAlignment="1">
      <alignment vertical="center"/>
    </xf>
    <xf numFmtId="0" fontId="2" fillId="10" borderId="10" xfId="0" applyFont="1" applyFill="1" applyBorder="1" applyAlignment="1">
      <alignment horizontal="justify" vertical="center"/>
    </xf>
    <xf numFmtId="0" fontId="2" fillId="10" borderId="10" xfId="0" applyFont="1" applyFill="1" applyBorder="1" applyAlignment="1">
      <alignment horizontal="center" vertical="center"/>
    </xf>
    <xf numFmtId="0" fontId="7" fillId="10" borderId="10" xfId="0" applyFont="1" applyFill="1" applyBorder="1" applyAlignment="1">
      <alignment horizontal="center" vertical="center"/>
    </xf>
    <xf numFmtId="3" fontId="2" fillId="10" borderId="10" xfId="0" applyNumberFormat="1" applyFont="1" applyFill="1" applyBorder="1" applyAlignment="1">
      <alignment horizontal="center" vertical="center"/>
    </xf>
    <xf numFmtId="0" fontId="1" fillId="10" borderId="10" xfId="0" applyFont="1" applyFill="1" applyBorder="1" applyAlignment="1">
      <alignment vertical="center"/>
    </xf>
    <xf numFmtId="1" fontId="2" fillId="9" borderId="0" xfId="0" applyNumberFormat="1" applyFont="1" applyFill="1" applyBorder="1" applyAlignment="1">
      <alignment horizontal="justify" vertical="center" wrapText="1"/>
    </xf>
    <xf numFmtId="1" fontId="2" fillId="9" borderId="0" xfId="0" applyNumberFormat="1" applyFont="1" applyFill="1" applyBorder="1" applyAlignment="1">
      <alignment vertical="center"/>
    </xf>
    <xf numFmtId="0" fontId="2" fillId="9" borderId="10" xfId="0" applyFont="1" applyFill="1" applyBorder="1" applyAlignment="1">
      <alignment vertical="center"/>
    </xf>
    <xf numFmtId="0" fontId="7" fillId="9" borderId="10" xfId="0" applyFont="1" applyFill="1" applyBorder="1" applyAlignment="1">
      <alignment vertical="center"/>
    </xf>
    <xf numFmtId="0" fontId="2" fillId="9" borderId="10" xfId="0" applyFont="1" applyFill="1" applyBorder="1" applyAlignment="1">
      <alignment horizontal="justify" vertical="center"/>
    </xf>
    <xf numFmtId="0" fontId="2" fillId="9" borderId="10" xfId="0" applyFont="1" applyFill="1" applyBorder="1" applyAlignment="1">
      <alignment horizontal="center" vertical="center"/>
    </xf>
    <xf numFmtId="0" fontId="7" fillId="9" borderId="10" xfId="0" applyFont="1" applyFill="1" applyBorder="1" applyAlignment="1">
      <alignment horizontal="center" vertical="center"/>
    </xf>
    <xf numFmtId="3" fontId="2" fillId="9" borderId="10" xfId="0" applyNumberFormat="1" applyFont="1" applyFill="1" applyBorder="1" applyAlignment="1">
      <alignment horizontal="center" vertical="center"/>
    </xf>
    <xf numFmtId="0" fontId="1" fillId="9" borderId="10" xfId="0" applyFont="1" applyFill="1" applyBorder="1" applyAlignment="1">
      <alignment vertical="center"/>
    </xf>
    <xf numFmtId="1" fontId="2" fillId="10" borderId="0" xfId="0" applyNumberFormat="1" applyFont="1" applyFill="1" applyBorder="1" applyAlignment="1">
      <alignment horizontal="justify" vertical="center" wrapText="1"/>
    </xf>
    <xf numFmtId="0" fontId="0" fillId="0" borderId="0" xfId="0" applyFont="1" applyFill="1" applyAlignment="1">
      <alignment/>
    </xf>
    <xf numFmtId="0" fontId="1" fillId="4" borderId="10" xfId="0" applyFont="1" applyFill="1" applyBorder="1" applyAlignment="1">
      <alignment horizontal="justify" vertical="center"/>
    </xf>
    <xf numFmtId="0" fontId="1" fillId="4" borderId="10" xfId="0" applyFont="1" applyFill="1" applyBorder="1" applyAlignment="1">
      <alignment/>
    </xf>
    <xf numFmtId="0" fontId="1" fillId="4" borderId="10" xfId="0" applyFont="1" applyFill="1" applyBorder="1" applyAlignment="1">
      <alignment horizontal="center" vertical="center"/>
    </xf>
    <xf numFmtId="0" fontId="1" fillId="0" borderId="10" xfId="0" applyFont="1" applyBorder="1" applyAlignment="1">
      <alignment/>
    </xf>
    <xf numFmtId="0" fontId="6" fillId="0" borderId="10" xfId="0" applyFont="1" applyBorder="1" applyAlignment="1">
      <alignment/>
    </xf>
    <xf numFmtId="0" fontId="2" fillId="0" borderId="10" xfId="0" applyFont="1" applyBorder="1" applyAlignment="1">
      <alignment vertical="center"/>
    </xf>
    <xf numFmtId="0" fontId="2" fillId="0" borderId="0" xfId="0" applyFont="1" applyFill="1" applyAlignment="1">
      <alignment vertical="center"/>
    </xf>
    <xf numFmtId="0" fontId="6" fillId="4" borderId="0" xfId="0" applyFont="1" applyFill="1" applyAlignment="1">
      <alignment horizontal="center"/>
    </xf>
    <xf numFmtId="170" fontId="1" fillId="4" borderId="0" xfId="0" applyNumberFormat="1" applyFont="1" applyFill="1" applyAlignment="1">
      <alignment horizontal="center" vertical="center"/>
    </xf>
    <xf numFmtId="3" fontId="1" fillId="0" borderId="0" xfId="0" applyNumberFormat="1" applyFont="1" applyFill="1" applyAlignment="1">
      <alignment/>
    </xf>
    <xf numFmtId="0" fontId="1" fillId="0" borderId="0" xfId="0" applyFont="1" applyFill="1" applyAlignment="1">
      <alignment/>
    </xf>
    <xf numFmtId="0" fontId="1" fillId="4" borderId="0" xfId="0" applyFont="1" applyFill="1" applyBorder="1" applyAlignment="1">
      <alignment/>
    </xf>
    <xf numFmtId="0" fontId="1" fillId="4" borderId="0" xfId="0" applyFont="1" applyFill="1" applyBorder="1" applyAlignment="1">
      <alignment horizontal="center"/>
    </xf>
    <xf numFmtId="0" fontId="6" fillId="4" borderId="0" xfId="0" applyFont="1" applyFill="1" applyBorder="1" applyAlignment="1">
      <alignment horizontal="center"/>
    </xf>
    <xf numFmtId="0" fontId="1" fillId="4" borderId="0" xfId="0" applyFont="1" applyFill="1" applyBorder="1" applyAlignment="1">
      <alignment/>
    </xf>
    <xf numFmtId="0" fontId="1" fillId="4" borderId="0" xfId="0" applyFont="1" applyFill="1" applyBorder="1" applyAlignment="1">
      <alignment vertical="center" wrapText="1"/>
    </xf>
    <xf numFmtId="0" fontId="2" fillId="0" borderId="34"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168" fontId="0" fillId="0" borderId="0" xfId="50" applyNumberFormat="1" applyFont="1" applyFill="1" applyBorder="1" applyAlignment="1">
      <alignment vertical="center"/>
    </xf>
    <xf numFmtId="43" fontId="4" fillId="4" borderId="0" xfId="51" applyFont="1" applyFill="1" applyBorder="1" applyAlignment="1">
      <alignment horizontal="justify" vertical="center"/>
    </xf>
    <xf numFmtId="43" fontId="6" fillId="4" borderId="0" xfId="51" applyFont="1" applyFill="1" applyBorder="1" applyAlignment="1">
      <alignment horizontal="justify" vertical="center"/>
    </xf>
    <xf numFmtId="43" fontId="8" fillId="4" borderId="0" xfId="50" applyNumberFormat="1" applyFont="1" applyFill="1" applyBorder="1" applyAlignment="1">
      <alignment vertical="center"/>
    </xf>
    <xf numFmtId="170" fontId="1" fillId="4" borderId="0" xfId="0" applyNumberFormat="1" applyFont="1" applyFill="1" applyBorder="1" applyAlignment="1">
      <alignment horizontal="justify" vertical="center"/>
    </xf>
    <xf numFmtId="170" fontId="6" fillId="4" borderId="0" xfId="0" applyNumberFormat="1" applyFont="1" applyFill="1" applyBorder="1" applyAlignment="1">
      <alignment horizontal="justify" vertical="center"/>
    </xf>
    <xf numFmtId="170" fontId="1" fillId="4" borderId="12" xfId="0" applyNumberFormat="1" applyFont="1" applyFill="1" applyBorder="1" applyAlignment="1">
      <alignment horizontal="center" vertical="center" wrapText="1"/>
    </xf>
    <xf numFmtId="170" fontId="1" fillId="4" borderId="10" xfId="0" applyNumberFormat="1" applyFont="1" applyFill="1" applyBorder="1" applyAlignment="1">
      <alignment horizontal="center" vertical="center" wrapText="1"/>
    </xf>
    <xf numFmtId="184" fontId="6" fillId="0" borderId="10" xfId="0" applyNumberFormat="1" applyFont="1" applyFill="1" applyBorder="1" applyAlignment="1">
      <alignment vertical="center" wrapText="1"/>
    </xf>
    <xf numFmtId="169" fontId="6" fillId="0" borderId="37" xfId="0" applyNumberFormat="1" applyFont="1" applyFill="1" applyBorder="1" applyAlignment="1">
      <alignment vertical="center" wrapText="1"/>
    </xf>
    <xf numFmtId="1" fontId="2" fillId="10" borderId="14" xfId="0" applyNumberFormat="1" applyFont="1" applyFill="1" applyBorder="1" applyAlignment="1">
      <alignment horizontal="justify" vertical="center" wrapText="1"/>
    </xf>
    <xf numFmtId="0" fontId="1" fillId="4" borderId="26" xfId="0" applyFont="1" applyFill="1" applyBorder="1" applyAlignment="1">
      <alignment/>
    </xf>
    <xf numFmtId="0" fontId="1" fillId="4" borderId="34" xfId="0" applyFont="1" applyFill="1" applyBorder="1" applyAlignment="1">
      <alignment/>
    </xf>
    <xf numFmtId="0" fontId="1" fillId="4" borderId="13" xfId="0" applyFont="1" applyFill="1" applyBorder="1" applyAlignment="1">
      <alignment/>
    </xf>
    <xf numFmtId="4" fontId="6" fillId="0" borderId="12"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2" fillId="9" borderId="37" xfId="0" applyNumberFormat="1" applyFont="1" applyFill="1" applyBorder="1" applyAlignment="1">
      <alignment vertical="center" wrapText="1"/>
    </xf>
    <xf numFmtId="0" fontId="2" fillId="9" borderId="37" xfId="0" applyFont="1" applyFill="1" applyBorder="1" applyAlignment="1">
      <alignment vertical="center" wrapText="1"/>
    </xf>
    <xf numFmtId="3" fontId="2" fillId="9" borderId="24" xfId="0" applyNumberFormat="1" applyFont="1" applyFill="1" applyBorder="1" applyAlignment="1">
      <alignment vertical="center" wrapText="1"/>
    </xf>
    <xf numFmtId="0" fontId="2" fillId="9" borderId="24" xfId="0" applyFont="1" applyFill="1" applyBorder="1" applyAlignment="1">
      <alignment vertical="center" wrapText="1"/>
    </xf>
    <xf numFmtId="49" fontId="2" fillId="9" borderId="25" xfId="0" applyNumberFormat="1" applyFont="1" applyFill="1" applyBorder="1" applyAlignment="1">
      <alignment horizontal="center" vertical="center" wrapText="1"/>
    </xf>
    <xf numFmtId="0" fontId="2" fillId="21" borderId="10" xfId="0" applyFont="1" applyFill="1" applyBorder="1" applyAlignment="1">
      <alignment horizontal="center" vertical="center" wrapText="1"/>
    </xf>
    <xf numFmtId="0" fontId="2" fillId="12" borderId="10" xfId="0" applyFont="1" applyFill="1" applyBorder="1" applyAlignment="1">
      <alignment horizontal="center" vertical="center" wrapText="1"/>
    </xf>
    <xf numFmtId="3" fontId="2" fillId="4" borderId="32" xfId="0" applyNumberFormat="1" applyFont="1" applyFill="1" applyBorder="1" applyAlignment="1">
      <alignment horizontal="center" vertical="center"/>
    </xf>
    <xf numFmtId="3" fontId="2" fillId="0" borderId="32" xfId="0" applyNumberFormat="1" applyFont="1" applyFill="1" applyBorder="1" applyAlignment="1">
      <alignment horizontal="center" vertical="center"/>
    </xf>
    <xf numFmtId="3" fontId="1" fillId="0" borderId="23" xfId="0" applyNumberFormat="1" applyFont="1" applyFill="1" applyBorder="1" applyAlignment="1">
      <alignment horizontal="center" vertical="center"/>
    </xf>
    <xf numFmtId="0" fontId="1" fillId="0" borderId="46" xfId="0" applyFont="1" applyBorder="1" applyAlignment="1">
      <alignment/>
    </xf>
    <xf numFmtId="169" fontId="1" fillId="0" borderId="46" xfId="0" applyNumberFormat="1" applyFont="1" applyBorder="1" applyAlignment="1">
      <alignment horizontal="center"/>
    </xf>
    <xf numFmtId="3" fontId="1" fillId="4" borderId="0" xfId="0" applyNumberFormat="1" applyFont="1" applyFill="1" applyAlignment="1">
      <alignment horizontal="justify" vertical="center"/>
    </xf>
    <xf numFmtId="3" fontId="1" fillId="4" borderId="26" xfId="0" applyNumberFormat="1" applyFont="1" applyFill="1" applyBorder="1" applyAlignment="1">
      <alignment horizontal="center" vertical="center" wrapText="1"/>
    </xf>
    <xf numFmtId="3" fontId="1" fillId="0" borderId="46" xfId="0" applyNumberFormat="1" applyFont="1" applyBorder="1" applyAlignment="1">
      <alignment/>
    </xf>
    <xf numFmtId="0" fontId="17" fillId="0" borderId="0" xfId="0" applyFont="1" applyBorder="1" applyAlignment="1">
      <alignment horizontal="center" vertical="center"/>
    </xf>
    <xf numFmtId="0" fontId="17" fillId="0" borderId="34" xfId="0" applyFont="1" applyBorder="1" applyAlignment="1">
      <alignment horizontal="center" vertical="center"/>
    </xf>
    <xf numFmtId="169" fontId="6" fillId="0" borderId="46" xfId="0" applyNumberFormat="1" applyFont="1" applyBorder="1" applyAlignment="1">
      <alignment horizontal="center"/>
    </xf>
    <xf numFmtId="3" fontId="7" fillId="0" borderId="32" xfId="0" applyNumberFormat="1" applyFont="1" applyFill="1" applyBorder="1" applyAlignment="1">
      <alignment horizontal="center" vertical="center"/>
    </xf>
    <xf numFmtId="3" fontId="6" fillId="4" borderId="0" xfId="0" applyNumberFormat="1" applyFont="1" applyFill="1" applyAlignment="1">
      <alignment horizontal="justify" vertical="center"/>
    </xf>
    <xf numFmtId="0" fontId="1" fillId="0" borderId="46" xfId="0" applyFont="1" applyFill="1" applyBorder="1" applyAlignment="1">
      <alignment horizontal="right" vertical="center"/>
    </xf>
    <xf numFmtId="0" fontId="6" fillId="0" borderId="46" xfId="0" applyFont="1" applyFill="1" applyBorder="1" applyAlignment="1">
      <alignment horizontal="right" vertical="center"/>
    </xf>
    <xf numFmtId="0" fontId="1" fillId="0" borderId="47" xfId="0" applyFont="1" applyBorder="1" applyAlignment="1">
      <alignment horizontal="left"/>
    </xf>
    <xf numFmtId="169" fontId="1" fillId="4" borderId="15" xfId="0" applyNumberFormat="1" applyFont="1" applyFill="1" applyBorder="1" applyAlignment="1">
      <alignment horizontal="center" vertical="center" wrapText="1"/>
    </xf>
    <xf numFmtId="169" fontId="1" fillId="4" borderId="48" xfId="0" applyNumberFormat="1" applyFont="1" applyFill="1" applyBorder="1" applyAlignment="1">
      <alignment horizontal="center" vertical="center" wrapText="1"/>
    </xf>
    <xf numFmtId="169" fontId="6" fillId="4" borderId="48" xfId="0" applyNumberFormat="1" applyFont="1" applyFill="1" applyBorder="1" applyAlignment="1">
      <alignment horizontal="center" vertical="center" wrapText="1"/>
    </xf>
    <xf numFmtId="169" fontId="6" fillId="4" borderId="11" xfId="0" applyNumberFormat="1" applyFont="1" applyFill="1" applyBorder="1" applyAlignment="1">
      <alignment horizontal="center" vertical="center" wrapText="1"/>
    </xf>
    <xf numFmtId="3" fontId="1" fillId="4" borderId="11" xfId="0" applyNumberFormat="1" applyFont="1" applyFill="1" applyBorder="1" applyAlignment="1">
      <alignment horizontal="center" vertical="center" wrapText="1"/>
    </xf>
    <xf numFmtId="9" fontId="1" fillId="4" borderId="11" xfId="66" applyFont="1" applyFill="1" applyBorder="1" applyAlignment="1">
      <alignment horizontal="center" vertical="center" wrapText="1"/>
    </xf>
    <xf numFmtId="2" fontId="1" fillId="0" borderId="26" xfId="66" applyNumberFormat="1" applyFont="1" applyFill="1" applyBorder="1" applyAlignment="1">
      <alignment horizontal="center" vertical="center" wrapText="1"/>
    </xf>
    <xf numFmtId="9" fontId="18" fillId="0" borderId="26" xfId="66" applyFont="1" applyFill="1" applyBorder="1" applyAlignment="1">
      <alignment horizontal="center" vertical="center" wrapText="1"/>
    </xf>
    <xf numFmtId="9" fontId="19" fillId="0" borderId="26" xfId="66" applyFont="1" applyFill="1" applyBorder="1" applyAlignment="1">
      <alignment horizontal="center" vertical="center" wrapText="1"/>
    </xf>
    <xf numFmtId="4" fontId="18" fillId="0" borderId="26" xfId="66" applyNumberFormat="1" applyFont="1" applyFill="1" applyBorder="1" applyAlignment="1">
      <alignment horizontal="center" vertical="center" wrapText="1"/>
    </xf>
    <xf numFmtId="4" fontId="19" fillId="0" borderId="26" xfId="66" applyNumberFormat="1" applyFont="1" applyFill="1" applyBorder="1" applyAlignment="1">
      <alignment horizontal="center" vertical="center" wrapText="1"/>
    </xf>
    <xf numFmtId="167" fontId="7" fillId="0" borderId="14" xfId="62" applyFont="1" applyBorder="1" applyAlignment="1">
      <alignment horizontal="center" vertical="center"/>
      <protection/>
    </xf>
    <xf numFmtId="167" fontId="1" fillId="0" borderId="0" xfId="62" applyFont="1" applyFill="1">
      <alignment/>
      <protection/>
    </xf>
    <xf numFmtId="167" fontId="1" fillId="0" borderId="0" xfId="62" applyFont="1">
      <alignment/>
      <protection/>
    </xf>
    <xf numFmtId="167" fontId="7" fillId="0" borderId="0" xfId="62" applyFont="1" applyBorder="1" applyAlignment="1">
      <alignment horizontal="center" vertical="center"/>
      <protection/>
    </xf>
    <xf numFmtId="167" fontId="7" fillId="0" borderId="34" xfId="62" applyFont="1" applyBorder="1" applyAlignment="1">
      <alignment horizontal="center" vertical="center"/>
      <protection/>
    </xf>
    <xf numFmtId="167" fontId="2" fillId="0" borderId="0" xfId="62" applyFont="1" applyFill="1">
      <alignment/>
      <protection/>
    </xf>
    <xf numFmtId="167" fontId="2" fillId="0" borderId="0" xfId="62" applyFont="1">
      <alignment/>
      <protection/>
    </xf>
    <xf numFmtId="167" fontId="2" fillId="9" borderId="10" xfId="62" applyFont="1" applyFill="1" applyBorder="1" applyAlignment="1">
      <alignment horizontal="center" vertical="center" wrapText="1"/>
      <protection/>
    </xf>
    <xf numFmtId="170" fontId="2" fillId="9" borderId="10" xfId="62" applyNumberFormat="1" applyFont="1" applyFill="1" applyBorder="1" applyAlignment="1">
      <alignment horizontal="center" vertical="center" wrapText="1"/>
      <protection/>
    </xf>
    <xf numFmtId="170" fontId="7" fillId="9" borderId="10" xfId="62" applyNumberFormat="1" applyFont="1" applyFill="1" applyBorder="1" applyAlignment="1">
      <alignment horizontal="center" vertical="center" wrapText="1"/>
      <protection/>
    </xf>
    <xf numFmtId="0" fontId="2" fillId="9" borderId="10" xfId="0" applyFont="1" applyFill="1" applyBorder="1" applyAlignment="1">
      <alignment horizontal="center" vertical="center" wrapText="1"/>
    </xf>
    <xf numFmtId="0" fontId="7" fillId="9" borderId="10" xfId="0" applyFont="1" applyFill="1" applyBorder="1" applyAlignment="1">
      <alignment horizontal="center" vertical="center" wrapText="1"/>
    </xf>
    <xf numFmtId="169" fontId="2" fillId="9" borderId="12" xfId="62" applyNumberFormat="1" applyFont="1" applyFill="1" applyBorder="1" applyAlignment="1">
      <alignment horizontal="center" vertical="center" wrapText="1"/>
      <protection/>
    </xf>
    <xf numFmtId="169" fontId="7" fillId="9" borderId="12" xfId="62" applyNumberFormat="1" applyFont="1" applyFill="1" applyBorder="1" applyAlignment="1">
      <alignment horizontal="center" vertical="center" wrapText="1"/>
      <protection/>
    </xf>
    <xf numFmtId="0" fontId="2" fillId="10" borderId="49" xfId="62" applyNumberFormat="1" applyFont="1" applyFill="1" applyBorder="1" applyAlignment="1">
      <alignment horizontal="center" vertical="center" wrapText="1"/>
      <protection/>
    </xf>
    <xf numFmtId="167" fontId="2" fillId="10" borderId="42" xfId="62" applyFont="1" applyFill="1" applyBorder="1" applyAlignment="1">
      <alignment vertical="center"/>
      <protection/>
    </xf>
    <xf numFmtId="167" fontId="2" fillId="10" borderId="14" xfId="62" applyFont="1" applyFill="1" applyBorder="1" applyAlignment="1">
      <alignment vertical="center"/>
      <protection/>
    </xf>
    <xf numFmtId="167" fontId="7" fillId="10" borderId="14" xfId="62" applyFont="1" applyFill="1" applyBorder="1" applyAlignment="1">
      <alignment vertical="center"/>
      <protection/>
    </xf>
    <xf numFmtId="167" fontId="2" fillId="10" borderId="20" xfId="62" applyFont="1" applyFill="1" applyBorder="1" applyAlignment="1">
      <alignment vertical="center"/>
      <protection/>
    </xf>
    <xf numFmtId="0" fontId="2" fillId="9" borderId="38" xfId="62" applyNumberFormat="1" applyFont="1" applyFill="1" applyBorder="1" applyAlignment="1">
      <alignment horizontal="center" vertical="center" wrapText="1"/>
      <protection/>
    </xf>
    <xf numFmtId="167" fontId="2" fillId="9" borderId="25" xfId="62" applyFont="1" applyFill="1" applyBorder="1" applyAlignment="1">
      <alignment vertical="center"/>
      <protection/>
    </xf>
    <xf numFmtId="167" fontId="2" fillId="9" borderId="0" xfId="62" applyFont="1" applyFill="1" applyBorder="1" applyAlignment="1">
      <alignment vertical="center"/>
      <protection/>
    </xf>
    <xf numFmtId="167" fontId="7" fillId="9" borderId="0" xfId="62" applyFont="1" applyFill="1" applyBorder="1" applyAlignment="1">
      <alignment vertical="center"/>
      <protection/>
    </xf>
    <xf numFmtId="167" fontId="2" fillId="9" borderId="44" xfId="62" applyFont="1" applyFill="1" applyBorder="1" applyAlignment="1">
      <alignment vertical="center"/>
      <protection/>
    </xf>
    <xf numFmtId="0" fontId="2" fillId="12" borderId="38" xfId="62" applyNumberFormat="1" applyFont="1" applyFill="1" applyBorder="1" applyAlignment="1">
      <alignment horizontal="center" vertical="center" wrapText="1"/>
      <protection/>
    </xf>
    <xf numFmtId="167" fontId="2" fillId="12" borderId="26" xfId="62" applyFont="1" applyFill="1" applyBorder="1" applyAlignment="1">
      <alignment vertical="center"/>
      <protection/>
    </xf>
    <xf numFmtId="167" fontId="2" fillId="12" borderId="34" xfId="62" applyFont="1" applyFill="1" applyBorder="1" applyAlignment="1">
      <alignment vertical="center"/>
      <protection/>
    </xf>
    <xf numFmtId="167" fontId="7" fillId="12" borderId="34" xfId="62" applyFont="1" applyFill="1" applyBorder="1" applyAlignment="1">
      <alignment vertical="center"/>
      <protection/>
    </xf>
    <xf numFmtId="167" fontId="2" fillId="12" borderId="13" xfId="62" applyFont="1" applyFill="1" applyBorder="1" applyAlignment="1">
      <alignment vertical="center"/>
      <protection/>
    </xf>
    <xf numFmtId="167" fontId="2" fillId="12" borderId="41" xfId="62" applyFont="1" applyFill="1" applyBorder="1" applyAlignment="1">
      <alignment vertical="center"/>
      <protection/>
    </xf>
    <xf numFmtId="167" fontId="1" fillId="4" borderId="12" xfId="62" applyFont="1" applyFill="1" applyBorder="1" applyAlignment="1">
      <alignment horizontal="left" vertical="center" wrapText="1"/>
      <protection/>
    </xf>
    <xf numFmtId="170" fontId="1" fillId="4" borderId="37" xfId="62" applyNumberFormat="1" applyFont="1" applyFill="1" applyBorder="1" applyAlignment="1">
      <alignment horizontal="center" vertical="center" wrapText="1"/>
      <protection/>
    </xf>
    <xf numFmtId="3" fontId="1" fillId="4" borderId="19" xfId="62" applyNumberFormat="1" applyFont="1" applyFill="1" applyBorder="1" applyAlignment="1">
      <alignment horizontal="center" vertical="center" wrapText="1"/>
      <protection/>
    </xf>
    <xf numFmtId="169" fontId="1" fillId="4" borderId="26" xfId="62" applyNumberFormat="1" applyFont="1" applyFill="1" applyBorder="1" applyAlignment="1">
      <alignment horizontal="center" vertical="center" wrapText="1"/>
      <protection/>
    </xf>
    <xf numFmtId="167" fontId="1" fillId="4" borderId="0" xfId="62" applyFont="1" applyFill="1">
      <alignment/>
      <protection/>
    </xf>
    <xf numFmtId="170" fontId="1" fillId="4" borderId="24" xfId="62" applyNumberFormat="1" applyFont="1" applyFill="1" applyBorder="1" applyAlignment="1">
      <alignment horizontal="center" vertical="center" wrapText="1"/>
      <protection/>
    </xf>
    <xf numFmtId="3" fontId="1" fillId="4" borderId="38" xfId="62" applyNumberFormat="1" applyFont="1" applyFill="1" applyBorder="1" applyAlignment="1">
      <alignment horizontal="center" vertical="center" wrapText="1"/>
      <protection/>
    </xf>
    <xf numFmtId="3" fontId="1" fillId="4" borderId="34" xfId="62" applyNumberFormat="1" applyFont="1" applyFill="1" applyBorder="1" applyAlignment="1">
      <alignment horizontal="center" vertical="center" wrapText="1"/>
      <protection/>
    </xf>
    <xf numFmtId="167" fontId="1" fillId="4" borderId="26" xfId="62" applyFont="1" applyFill="1" applyBorder="1" applyAlignment="1">
      <alignment horizontal="left" vertical="center" wrapText="1"/>
      <protection/>
    </xf>
    <xf numFmtId="167" fontId="1" fillId="0" borderId="10" xfId="62" applyFont="1" applyFill="1" applyBorder="1" applyAlignment="1">
      <alignment horizontal="center" vertical="center" wrapText="1"/>
      <protection/>
    </xf>
    <xf numFmtId="3" fontId="1" fillId="0" borderId="10" xfId="62" applyNumberFormat="1" applyFont="1" applyBorder="1" applyAlignment="1">
      <alignment horizontal="center" vertical="center"/>
      <protection/>
    </xf>
    <xf numFmtId="167" fontId="1" fillId="4" borderId="24" xfId="62" applyFont="1" applyFill="1" applyBorder="1" applyAlignment="1">
      <alignment horizontal="center" vertical="center" wrapText="1"/>
      <protection/>
    </xf>
    <xf numFmtId="169" fontId="6" fillId="4" borderId="26" xfId="62" applyNumberFormat="1" applyFont="1" applyFill="1" applyBorder="1" applyAlignment="1">
      <alignment horizontal="center" vertical="center" wrapText="1"/>
      <protection/>
    </xf>
    <xf numFmtId="0" fontId="20" fillId="4" borderId="24" xfId="0" applyFont="1" applyFill="1" applyBorder="1" applyAlignment="1">
      <alignment vertical="center"/>
    </xf>
    <xf numFmtId="170" fontId="1" fillId="4" borderId="10" xfId="62" applyNumberFormat="1" applyFont="1" applyFill="1" applyBorder="1" applyAlignment="1">
      <alignment horizontal="center" vertical="center"/>
      <protection/>
    </xf>
    <xf numFmtId="0" fontId="1" fillId="4" borderId="24" xfId="62" applyNumberFormat="1" applyFont="1" applyFill="1" applyBorder="1" applyAlignment="1">
      <alignment horizontal="center" vertical="center" wrapText="1"/>
      <protection/>
    </xf>
    <xf numFmtId="167" fontId="1" fillId="4" borderId="10" xfId="62" applyFont="1" applyFill="1" applyBorder="1" applyAlignment="1">
      <alignment horizontal="justify" vertical="center" wrapText="1"/>
      <protection/>
    </xf>
    <xf numFmtId="0" fontId="1" fillId="4" borderId="24" xfId="62" applyNumberFormat="1" applyFont="1" applyFill="1" applyBorder="1" applyAlignment="1">
      <alignment horizontal="center" vertical="center"/>
      <protection/>
    </xf>
    <xf numFmtId="3" fontId="1" fillId="4" borderId="24" xfId="62" applyNumberFormat="1" applyFont="1" applyFill="1" applyBorder="1" applyAlignment="1">
      <alignment vertical="center" wrapText="1"/>
      <protection/>
    </xf>
    <xf numFmtId="169" fontId="6" fillId="4" borderId="10" xfId="62" applyNumberFormat="1" applyFont="1" applyFill="1" applyBorder="1" applyAlignment="1">
      <alignment horizontal="center" vertical="center" wrapText="1"/>
      <protection/>
    </xf>
    <xf numFmtId="167" fontId="1" fillId="4" borderId="37" xfId="62" applyFont="1" applyFill="1" applyBorder="1" applyAlignment="1">
      <alignment horizontal="justify" vertical="center" wrapText="1"/>
      <protection/>
    </xf>
    <xf numFmtId="170" fontId="1" fillId="4" borderId="24" xfId="62" applyNumberFormat="1" applyFont="1" applyFill="1" applyBorder="1" applyAlignment="1">
      <alignment horizontal="center" vertical="center"/>
      <protection/>
    </xf>
    <xf numFmtId="169" fontId="1" fillId="0" borderId="26" xfId="62" applyNumberFormat="1" applyFont="1" applyFill="1" applyBorder="1" applyAlignment="1">
      <alignment horizontal="center" vertical="center" wrapText="1"/>
      <protection/>
    </xf>
    <xf numFmtId="169" fontId="6" fillId="0" borderId="26" xfId="62" applyNumberFormat="1" applyFont="1" applyFill="1" applyBorder="1" applyAlignment="1">
      <alignment horizontal="center" vertical="center" wrapText="1"/>
      <protection/>
    </xf>
    <xf numFmtId="169" fontId="6" fillId="0" borderId="10" xfId="62" applyNumberFormat="1" applyFont="1" applyFill="1" applyBorder="1" applyAlignment="1">
      <alignment horizontal="center" vertical="center" wrapText="1"/>
      <protection/>
    </xf>
    <xf numFmtId="170" fontId="1" fillId="4" borderId="37" xfId="62" applyNumberFormat="1" applyFont="1" applyFill="1" applyBorder="1" applyAlignment="1">
      <alignment horizontal="center" vertical="center"/>
      <protection/>
    </xf>
    <xf numFmtId="167" fontId="1" fillId="4" borderId="10" xfId="62" applyFont="1" applyFill="1" applyBorder="1" applyAlignment="1">
      <alignment horizontal="justify" vertical="center" wrapText="1"/>
      <protection/>
    </xf>
    <xf numFmtId="167" fontId="1" fillId="4" borderId="37" xfId="62" applyFont="1" applyFill="1" applyBorder="1" applyAlignment="1">
      <alignment horizontal="justify" vertical="center" wrapText="1"/>
      <protection/>
    </xf>
    <xf numFmtId="169" fontId="1" fillId="0" borderId="25" xfId="62" applyNumberFormat="1" applyFont="1" applyFill="1" applyBorder="1" applyAlignment="1">
      <alignment horizontal="center" vertical="center" wrapText="1"/>
      <protection/>
    </xf>
    <xf numFmtId="1" fontId="2" fillId="12" borderId="25" xfId="62" applyNumberFormat="1" applyFont="1" applyFill="1" applyBorder="1" applyAlignment="1">
      <alignment horizontal="center" vertical="center" wrapText="1"/>
      <protection/>
    </xf>
    <xf numFmtId="1" fontId="2" fillId="12" borderId="17" xfId="62" applyNumberFormat="1" applyFont="1" applyFill="1" applyBorder="1" applyAlignment="1">
      <alignment vertical="center"/>
      <protection/>
    </xf>
    <xf numFmtId="1" fontId="7" fillId="12" borderId="17" xfId="62" applyNumberFormat="1" applyFont="1" applyFill="1" applyBorder="1" applyAlignment="1">
      <alignment vertical="center"/>
      <protection/>
    </xf>
    <xf numFmtId="1" fontId="2" fillId="12" borderId="16" xfId="62" applyNumberFormat="1" applyFont="1" applyFill="1" applyBorder="1" applyAlignment="1">
      <alignment vertical="center"/>
      <protection/>
    </xf>
    <xf numFmtId="1" fontId="4" fillId="4" borderId="10" xfId="45" applyNumberFormat="1" applyFont="1" applyFill="1" applyBorder="1" applyAlignment="1">
      <alignment horizontal="center" vertical="center" wrapText="1"/>
      <protection/>
    </xf>
    <xf numFmtId="167" fontId="1" fillId="0" borderId="10" xfId="62" applyFont="1" applyBorder="1" applyAlignment="1">
      <alignment vertical="top" wrapText="1"/>
      <protection/>
    </xf>
    <xf numFmtId="167" fontId="1" fillId="0" borderId="10" xfId="62" applyFont="1" applyFill="1" applyBorder="1" applyAlignment="1">
      <alignment horizontal="center" vertical="center"/>
      <protection/>
    </xf>
    <xf numFmtId="1" fontId="1" fillId="4" borderId="10" xfId="62" applyNumberFormat="1" applyFont="1" applyFill="1" applyBorder="1" applyAlignment="1">
      <alignment horizontal="center" vertical="center"/>
      <protection/>
    </xf>
    <xf numFmtId="167" fontId="1" fillId="4" borderId="10" xfId="62" applyFont="1" applyFill="1" applyBorder="1" applyAlignment="1">
      <alignment horizontal="left" vertical="center" wrapText="1"/>
      <protection/>
    </xf>
    <xf numFmtId="167" fontId="1" fillId="0" borderId="12" xfId="62" applyFont="1" applyBorder="1" applyAlignment="1">
      <alignment vertical="top" wrapText="1"/>
      <protection/>
    </xf>
    <xf numFmtId="1" fontId="1" fillId="0" borderId="10" xfId="62" applyNumberFormat="1" applyFont="1" applyBorder="1" applyAlignment="1">
      <alignment horizontal="center" vertical="center"/>
      <protection/>
    </xf>
    <xf numFmtId="169" fontId="1" fillId="4" borderId="10" xfId="62" applyNumberFormat="1" applyFont="1" applyFill="1" applyBorder="1" applyAlignment="1">
      <alignment horizontal="center" vertical="center" wrapText="1"/>
      <protection/>
    </xf>
    <xf numFmtId="169" fontId="1" fillId="4" borderId="37" xfId="62" applyNumberFormat="1" applyFont="1" applyFill="1" applyBorder="1" applyAlignment="1">
      <alignment horizontal="center" vertical="center" wrapText="1"/>
      <protection/>
    </xf>
    <xf numFmtId="169" fontId="6" fillId="4" borderId="12" xfId="62" applyNumberFormat="1" applyFont="1" applyFill="1" applyBorder="1" applyAlignment="1">
      <alignment horizontal="center" vertical="center" wrapText="1"/>
      <protection/>
    </xf>
    <xf numFmtId="1" fontId="2" fillId="9" borderId="25" xfId="62" applyNumberFormat="1" applyFont="1" applyFill="1" applyBorder="1" applyAlignment="1">
      <alignment horizontal="center" vertical="center" wrapText="1"/>
      <protection/>
    </xf>
    <xf numFmtId="1" fontId="2" fillId="9" borderId="10" xfId="62" applyNumberFormat="1" applyFont="1" applyFill="1" applyBorder="1" applyAlignment="1">
      <alignment vertical="center"/>
      <protection/>
    </xf>
    <xf numFmtId="1" fontId="2" fillId="9" borderId="17" xfId="62" applyNumberFormat="1" applyFont="1" applyFill="1" applyBorder="1" applyAlignment="1">
      <alignment vertical="center"/>
      <protection/>
    </xf>
    <xf numFmtId="1" fontId="7" fillId="9" borderId="17" xfId="62" applyNumberFormat="1" applyFont="1" applyFill="1" applyBorder="1" applyAlignment="1">
      <alignment vertical="center"/>
      <protection/>
    </xf>
    <xf numFmtId="1" fontId="2" fillId="9" borderId="16" xfId="62" applyNumberFormat="1" applyFont="1" applyFill="1" applyBorder="1" applyAlignment="1">
      <alignment vertical="center"/>
      <protection/>
    </xf>
    <xf numFmtId="1" fontId="2" fillId="12" borderId="24" xfId="62" applyNumberFormat="1" applyFont="1" applyFill="1" applyBorder="1" applyAlignment="1">
      <alignment horizontal="center" vertical="center" wrapText="1"/>
      <protection/>
    </xf>
    <xf numFmtId="167" fontId="2" fillId="12" borderId="15" xfId="62" applyFont="1" applyFill="1" applyBorder="1" applyAlignment="1">
      <alignment vertical="center"/>
      <protection/>
    </xf>
    <xf numFmtId="167" fontId="7" fillId="12" borderId="17" xfId="62" applyFont="1" applyFill="1" applyBorder="1" applyAlignment="1">
      <alignment vertical="center"/>
      <protection/>
    </xf>
    <xf numFmtId="167" fontId="2" fillId="12" borderId="16" xfId="62" applyFont="1" applyFill="1" applyBorder="1" applyAlignment="1">
      <alignment vertical="center"/>
      <protection/>
    </xf>
    <xf numFmtId="167" fontId="1" fillId="4" borderId="37" xfId="62" applyFont="1" applyFill="1" applyBorder="1" applyAlignment="1">
      <alignment vertical="center" wrapText="1"/>
      <protection/>
    </xf>
    <xf numFmtId="167" fontId="1" fillId="4" borderId="24" xfId="62" applyFont="1" applyFill="1" applyBorder="1" applyAlignment="1">
      <alignment vertical="center" wrapText="1"/>
      <protection/>
    </xf>
    <xf numFmtId="167" fontId="1" fillId="0" borderId="10" xfId="62" applyFont="1" applyBorder="1" applyAlignment="1">
      <alignment vertical="center" wrapText="1"/>
      <protection/>
    </xf>
    <xf numFmtId="1" fontId="1" fillId="0" borderId="10" xfId="62" applyNumberFormat="1" applyFont="1" applyFill="1" applyBorder="1" applyAlignment="1">
      <alignment horizontal="center" vertical="center"/>
      <protection/>
    </xf>
    <xf numFmtId="167" fontId="1" fillId="4" borderId="37" xfId="62" applyFont="1" applyFill="1" applyBorder="1" applyAlignment="1">
      <alignment horizontal="left" vertical="center" wrapText="1"/>
      <protection/>
    </xf>
    <xf numFmtId="169" fontId="6" fillId="4" borderId="37" xfId="62" applyNumberFormat="1" applyFont="1" applyFill="1" applyBorder="1" applyAlignment="1">
      <alignment horizontal="center" vertical="center" wrapText="1"/>
      <protection/>
    </xf>
    <xf numFmtId="169" fontId="1" fillId="0" borderId="10" xfId="62" applyNumberFormat="1" applyFont="1" applyFill="1" applyBorder="1" applyAlignment="1">
      <alignment horizontal="center" vertical="center"/>
      <protection/>
    </xf>
    <xf numFmtId="169" fontId="6" fillId="0" borderId="10" xfId="62" applyNumberFormat="1" applyFont="1" applyFill="1" applyBorder="1" applyAlignment="1">
      <alignment horizontal="center" vertical="center"/>
      <protection/>
    </xf>
    <xf numFmtId="169" fontId="1" fillId="0" borderId="10" xfId="62" applyNumberFormat="1" applyFont="1" applyBorder="1" applyAlignment="1">
      <alignment horizontal="center" vertical="center"/>
      <protection/>
    </xf>
    <xf numFmtId="169" fontId="6" fillId="0" borderId="10" xfId="62" applyNumberFormat="1" applyFont="1" applyBorder="1" applyAlignment="1">
      <alignment horizontal="center" vertical="center"/>
      <protection/>
    </xf>
    <xf numFmtId="167" fontId="1" fillId="4" borderId="10" xfId="62" applyFont="1" applyFill="1" applyBorder="1" applyAlignment="1">
      <alignment horizontal="justify" vertical="center"/>
      <protection/>
    </xf>
    <xf numFmtId="1" fontId="2" fillId="9" borderId="10" xfId="62" applyNumberFormat="1" applyFont="1" applyFill="1" applyBorder="1" applyAlignment="1">
      <alignment horizontal="center" vertical="center" wrapText="1"/>
      <protection/>
    </xf>
    <xf numFmtId="167" fontId="2" fillId="9" borderId="15" xfId="62" applyFont="1" applyFill="1" applyBorder="1" applyAlignment="1">
      <alignment vertical="center"/>
      <protection/>
    </xf>
    <xf numFmtId="167" fontId="2" fillId="9" borderId="17" xfId="62" applyFont="1" applyFill="1" applyBorder="1" applyAlignment="1">
      <alignment vertical="center"/>
      <protection/>
    </xf>
    <xf numFmtId="167" fontId="7" fillId="9" borderId="17" xfId="62" applyFont="1" applyFill="1" applyBorder="1" applyAlignment="1">
      <alignment vertical="center"/>
      <protection/>
    </xf>
    <xf numFmtId="167" fontId="2" fillId="9" borderId="16" xfId="62" applyFont="1" applyFill="1" applyBorder="1" applyAlignment="1">
      <alignment vertical="center"/>
      <protection/>
    </xf>
    <xf numFmtId="1" fontId="2" fillId="12" borderId="10" xfId="62" applyNumberFormat="1" applyFont="1" applyFill="1" applyBorder="1" applyAlignment="1">
      <alignment horizontal="center" vertical="center" wrapText="1"/>
      <protection/>
    </xf>
    <xf numFmtId="167" fontId="2" fillId="12" borderId="17" xfId="62" applyFont="1" applyFill="1" applyBorder="1" applyAlignment="1">
      <alignment vertical="center"/>
      <protection/>
    </xf>
    <xf numFmtId="167" fontId="1" fillId="0" borderId="10" xfId="62" applyFont="1" applyFill="1" applyBorder="1" applyAlignment="1">
      <alignment horizontal="justify" vertical="center"/>
      <protection/>
    </xf>
    <xf numFmtId="3" fontId="1" fillId="4" borderId="10" xfId="62" applyNumberFormat="1" applyFont="1" applyFill="1" applyBorder="1" applyAlignment="1">
      <alignment horizontal="center" vertical="center"/>
      <protection/>
    </xf>
    <xf numFmtId="3" fontId="1" fillId="4" borderId="37" xfId="62" applyNumberFormat="1" applyFont="1" applyFill="1" applyBorder="1" applyAlignment="1">
      <alignment horizontal="center" vertical="center"/>
      <protection/>
    </xf>
    <xf numFmtId="169" fontId="1" fillId="0" borderId="37" xfId="62" applyNumberFormat="1" applyFont="1" applyFill="1" applyBorder="1" applyAlignment="1">
      <alignment horizontal="center" vertical="center"/>
      <protection/>
    </xf>
    <xf numFmtId="169" fontId="6" fillId="0" borderId="37" xfId="62" applyNumberFormat="1" applyFont="1" applyFill="1" applyBorder="1" applyAlignment="1">
      <alignment horizontal="center" vertical="center"/>
      <protection/>
    </xf>
    <xf numFmtId="169" fontId="1" fillId="0" borderId="37" xfId="62" applyNumberFormat="1" applyFont="1" applyBorder="1" applyAlignment="1">
      <alignment horizontal="center" vertical="center"/>
      <protection/>
    </xf>
    <xf numFmtId="169" fontId="6" fillId="0" borderId="37" xfId="62" applyNumberFormat="1" applyFont="1" applyBorder="1" applyAlignment="1">
      <alignment horizontal="center" vertical="center"/>
      <protection/>
    </xf>
    <xf numFmtId="3" fontId="1" fillId="4" borderId="24" xfId="62" applyNumberFormat="1" applyFont="1" applyFill="1" applyBorder="1" applyAlignment="1">
      <alignment horizontal="center" vertical="center"/>
      <protection/>
    </xf>
    <xf numFmtId="3" fontId="1" fillId="4" borderId="12" xfId="62" applyNumberFormat="1" applyFont="1" applyFill="1" applyBorder="1" applyAlignment="1">
      <alignment horizontal="center" vertical="center"/>
      <protection/>
    </xf>
    <xf numFmtId="0" fontId="1" fillId="0" borderId="10" xfId="62" applyNumberFormat="1" applyFont="1" applyFill="1" applyBorder="1" applyAlignment="1">
      <alignment horizontal="center" vertical="center" wrapText="1"/>
      <protection/>
    </xf>
    <xf numFmtId="167" fontId="1" fillId="0" borderId="10" xfId="62" applyFont="1" applyFill="1" applyBorder="1" applyAlignment="1">
      <alignment horizontal="justify" vertical="center" wrapText="1"/>
      <protection/>
    </xf>
    <xf numFmtId="167" fontId="1" fillId="4" borderId="10" xfId="62" applyFont="1" applyFill="1" applyBorder="1" applyAlignment="1">
      <alignment horizontal="center" vertical="center"/>
      <protection/>
    </xf>
    <xf numFmtId="3" fontId="1" fillId="0" borderId="15" xfId="62" applyNumberFormat="1" applyFont="1" applyFill="1" applyBorder="1" applyAlignment="1">
      <alignment horizontal="center" vertical="center"/>
      <protection/>
    </xf>
    <xf numFmtId="1" fontId="2" fillId="12" borderId="10" xfId="62" applyNumberFormat="1" applyFont="1" applyFill="1" applyBorder="1" applyAlignment="1">
      <alignment horizontal="center" vertical="center"/>
      <protection/>
    </xf>
    <xf numFmtId="167" fontId="7" fillId="12" borderId="16" xfId="62" applyFont="1" applyFill="1" applyBorder="1" applyAlignment="1">
      <alignment vertical="center"/>
      <protection/>
    </xf>
    <xf numFmtId="3" fontId="1" fillId="0" borderId="12" xfId="62" applyNumberFormat="1" applyFont="1" applyBorder="1" applyAlignment="1">
      <alignment horizontal="center" vertical="center"/>
      <protection/>
    </xf>
    <xf numFmtId="167" fontId="1" fillId="0" borderId="35" xfId="62" applyFont="1" applyBorder="1" applyAlignment="1">
      <alignment vertical="top" wrapText="1"/>
      <protection/>
    </xf>
    <xf numFmtId="167" fontId="1" fillId="0" borderId="12" xfId="62" applyFont="1" applyFill="1" applyBorder="1" applyAlignment="1">
      <alignment horizontal="center" vertical="center"/>
      <protection/>
    </xf>
    <xf numFmtId="3" fontId="1" fillId="0" borderId="12" xfId="62" applyNumberFormat="1" applyFont="1" applyFill="1" applyBorder="1" applyAlignment="1">
      <alignment horizontal="center" vertical="center"/>
      <protection/>
    </xf>
    <xf numFmtId="167" fontId="1" fillId="4" borderId="12" xfId="62" applyFont="1" applyFill="1" applyBorder="1" applyAlignment="1">
      <alignment horizontal="justify" vertical="center"/>
      <protection/>
    </xf>
    <xf numFmtId="169" fontId="1" fillId="0" borderId="12" xfId="62" applyNumberFormat="1" applyFont="1" applyFill="1" applyBorder="1" applyAlignment="1">
      <alignment horizontal="center" vertical="center"/>
      <protection/>
    </xf>
    <xf numFmtId="169" fontId="6" fillId="0" borderId="12" xfId="62" applyNumberFormat="1" applyFont="1" applyFill="1" applyBorder="1" applyAlignment="1">
      <alignment horizontal="center" vertical="center"/>
      <protection/>
    </xf>
    <xf numFmtId="169" fontId="1" fillId="0" borderId="12" xfId="62" applyNumberFormat="1" applyFont="1" applyBorder="1" applyAlignment="1">
      <alignment horizontal="center" vertical="center"/>
      <protection/>
    </xf>
    <xf numFmtId="169" fontId="6" fillId="0" borderId="12" xfId="62" applyNumberFormat="1" applyFont="1" applyBorder="1" applyAlignment="1">
      <alignment horizontal="center" vertical="center"/>
      <protection/>
    </xf>
    <xf numFmtId="167" fontId="1" fillId="4" borderId="37" xfId="62" applyFont="1" applyFill="1" applyBorder="1" applyAlignment="1">
      <alignment horizontal="justify" vertical="center"/>
      <protection/>
    </xf>
    <xf numFmtId="0" fontId="1" fillId="0" borderId="10" xfId="62" applyNumberFormat="1" applyFont="1" applyFill="1" applyBorder="1" applyAlignment="1">
      <alignment horizontal="justify" vertical="center" wrapText="1"/>
      <protection/>
    </xf>
    <xf numFmtId="3" fontId="1" fillId="0" borderId="10" xfId="62" applyNumberFormat="1" applyFont="1" applyFill="1" applyBorder="1" applyAlignment="1">
      <alignment horizontal="center" vertical="center"/>
      <protection/>
    </xf>
    <xf numFmtId="167" fontId="1" fillId="4" borderId="37" xfId="62" applyFont="1" applyFill="1" applyBorder="1" applyAlignment="1">
      <alignment horizontal="justify" vertical="top" wrapText="1"/>
      <protection/>
    </xf>
    <xf numFmtId="1" fontId="2" fillId="12" borderId="24" xfId="62" applyNumberFormat="1" applyFont="1" applyFill="1" applyBorder="1" applyAlignment="1">
      <alignment horizontal="center" vertical="center"/>
      <protection/>
    </xf>
    <xf numFmtId="167" fontId="2" fillId="12" borderId="25" xfId="62" applyFont="1" applyFill="1" applyBorder="1" applyAlignment="1">
      <alignment vertical="center"/>
      <protection/>
    </xf>
    <xf numFmtId="167" fontId="2" fillId="12" borderId="17" xfId="62" applyFont="1" applyFill="1" applyBorder="1" applyAlignment="1">
      <alignment vertical="center" wrapText="1"/>
      <protection/>
    </xf>
    <xf numFmtId="167" fontId="7" fillId="12" borderId="17" xfId="62" applyFont="1" applyFill="1" applyBorder="1" applyAlignment="1">
      <alignment vertical="center" wrapText="1"/>
      <protection/>
    </xf>
    <xf numFmtId="167" fontId="2" fillId="12" borderId="16" xfId="62" applyFont="1" applyFill="1" applyBorder="1" applyAlignment="1">
      <alignment vertical="center" wrapText="1"/>
      <protection/>
    </xf>
    <xf numFmtId="167" fontId="1" fillId="4" borderId="10" xfId="62" applyFont="1" applyFill="1" applyBorder="1" applyAlignment="1">
      <alignment horizontal="left" vertical="center" wrapText="1" readingOrder="2"/>
      <protection/>
    </xf>
    <xf numFmtId="169" fontId="4" fillId="0" borderId="10" xfId="62" applyNumberFormat="1" applyFont="1" applyFill="1" applyBorder="1" applyAlignment="1">
      <alignment horizontal="center" vertical="center"/>
      <protection/>
    </xf>
    <xf numFmtId="3" fontId="1" fillId="0" borderId="37" xfId="62" applyNumberFormat="1" applyFont="1" applyBorder="1" applyAlignment="1">
      <alignment horizontal="center" vertical="center"/>
      <protection/>
    </xf>
    <xf numFmtId="167" fontId="1" fillId="0" borderId="37" xfId="62" applyFont="1" applyBorder="1" applyAlignment="1">
      <alignment vertical="top" wrapText="1"/>
      <protection/>
    </xf>
    <xf numFmtId="167" fontId="4" fillId="0" borderId="37" xfId="62" applyFont="1" applyFill="1" applyBorder="1" applyAlignment="1">
      <alignment horizontal="center" vertical="center" wrapText="1"/>
      <protection/>
    </xf>
    <xf numFmtId="1" fontId="2" fillId="10" borderId="50" xfId="62" applyNumberFormat="1" applyFont="1" applyFill="1" applyBorder="1" applyAlignment="1">
      <alignment horizontal="center" vertical="center" wrapText="1"/>
      <protection/>
    </xf>
    <xf numFmtId="1" fontId="2" fillId="10" borderId="15" xfId="62" applyNumberFormat="1" applyFont="1" applyFill="1" applyBorder="1" applyAlignment="1">
      <alignment vertical="center"/>
      <protection/>
    </xf>
    <xf numFmtId="1" fontId="2" fillId="10" borderId="17" xfId="62" applyNumberFormat="1" applyFont="1" applyFill="1" applyBorder="1" applyAlignment="1">
      <alignment vertical="center"/>
      <protection/>
    </xf>
    <xf numFmtId="1" fontId="7" fillId="10" borderId="17" xfId="62" applyNumberFormat="1" applyFont="1" applyFill="1" applyBorder="1" applyAlignment="1">
      <alignment vertical="center"/>
      <protection/>
    </xf>
    <xf numFmtId="1" fontId="2" fillId="10" borderId="16" xfId="62" applyNumberFormat="1" applyFont="1" applyFill="1" applyBorder="1" applyAlignment="1">
      <alignment vertical="center"/>
      <protection/>
    </xf>
    <xf numFmtId="1" fontId="2" fillId="9" borderId="12" xfId="62" applyNumberFormat="1" applyFont="1" applyFill="1" applyBorder="1" applyAlignment="1">
      <alignment horizontal="center" vertical="center"/>
      <protection/>
    </xf>
    <xf numFmtId="167" fontId="2" fillId="9" borderId="26" xfId="62" applyFont="1" applyFill="1" applyBorder="1" applyAlignment="1">
      <alignment vertical="center"/>
      <protection/>
    </xf>
    <xf numFmtId="167" fontId="2" fillId="9" borderId="34" xfId="62" applyFont="1" applyFill="1" applyBorder="1" applyAlignment="1">
      <alignment vertical="center"/>
      <protection/>
    </xf>
    <xf numFmtId="167" fontId="7" fillId="9" borderId="34" xfId="62" applyFont="1" applyFill="1" applyBorder="1" applyAlignment="1">
      <alignment vertical="center"/>
      <protection/>
    </xf>
    <xf numFmtId="167" fontId="2" fillId="9" borderId="13" xfId="62" applyFont="1" applyFill="1" applyBorder="1" applyAlignment="1">
      <alignment vertical="center"/>
      <protection/>
    </xf>
    <xf numFmtId="1" fontId="2" fillId="9" borderId="37" xfId="62" applyNumberFormat="1" applyFont="1" applyFill="1" applyBorder="1" applyAlignment="1">
      <alignment horizontal="center" vertical="center"/>
      <protection/>
    </xf>
    <xf numFmtId="167" fontId="4" fillId="4" borderId="10" xfId="62" applyFont="1" applyFill="1" applyBorder="1" applyAlignment="1">
      <alignment horizontal="justify" vertical="center" wrapText="1"/>
      <protection/>
    </xf>
    <xf numFmtId="167" fontId="1" fillId="0" borderId="37" xfId="62" applyFont="1" applyFill="1" applyBorder="1" applyAlignment="1">
      <alignment horizontal="center" vertical="center"/>
      <protection/>
    </xf>
    <xf numFmtId="0" fontId="1" fillId="0" borderId="37" xfId="62" applyNumberFormat="1" applyFont="1" applyFill="1" applyBorder="1" applyAlignment="1">
      <alignment horizontal="center" vertical="center" wrapText="1"/>
      <protection/>
    </xf>
    <xf numFmtId="0" fontId="1" fillId="4" borderId="37" xfId="62" applyNumberFormat="1" applyFont="1" applyFill="1" applyBorder="1" applyAlignment="1">
      <alignment horizontal="justify" vertical="center" wrapText="1"/>
      <protection/>
    </xf>
    <xf numFmtId="167" fontId="1" fillId="4" borderId="37" xfId="62" applyFont="1" applyFill="1" applyBorder="1" applyAlignment="1">
      <alignment horizontal="center" vertical="center"/>
      <protection/>
    </xf>
    <xf numFmtId="3" fontId="1" fillId="0" borderId="37" xfId="62" applyNumberFormat="1" applyFont="1" applyFill="1" applyBorder="1" applyAlignment="1">
      <alignment horizontal="center" vertical="center"/>
      <protection/>
    </xf>
    <xf numFmtId="1" fontId="1" fillId="4" borderId="37" xfId="62" applyNumberFormat="1" applyFont="1" applyFill="1" applyBorder="1" applyAlignment="1">
      <alignment horizontal="center" vertical="center" wrapText="1"/>
      <protection/>
    </xf>
    <xf numFmtId="0" fontId="1" fillId="4" borderId="37" xfId="62" applyNumberFormat="1" applyFont="1" applyFill="1" applyBorder="1" applyAlignment="1">
      <alignment horizontal="center" vertical="center" wrapText="1"/>
      <protection/>
    </xf>
    <xf numFmtId="1" fontId="1" fillId="0" borderId="37" xfId="62" applyNumberFormat="1" applyFont="1" applyBorder="1" applyAlignment="1">
      <alignment vertical="center"/>
      <protection/>
    </xf>
    <xf numFmtId="1" fontId="6" fillId="0" borderId="37" xfId="62" applyNumberFormat="1" applyFont="1" applyBorder="1" applyAlignment="1">
      <alignment vertical="center"/>
      <protection/>
    </xf>
    <xf numFmtId="1" fontId="1" fillId="0" borderId="37" xfId="62" applyNumberFormat="1" applyFont="1" applyBorder="1" applyAlignment="1">
      <alignment horizontal="center" vertical="center"/>
      <protection/>
    </xf>
    <xf numFmtId="1" fontId="6" fillId="0" borderId="37" xfId="62" applyNumberFormat="1" applyFont="1" applyBorder="1" applyAlignment="1">
      <alignment horizontal="center" vertical="center"/>
      <protection/>
    </xf>
    <xf numFmtId="1" fontId="1" fillId="0" borderId="37" xfId="62" applyNumberFormat="1" applyFont="1" applyBorder="1">
      <alignment/>
      <protection/>
    </xf>
    <xf numFmtId="1" fontId="6" fillId="0" borderId="37" xfId="62" applyNumberFormat="1" applyFont="1" applyBorder="1">
      <alignment/>
      <protection/>
    </xf>
    <xf numFmtId="170" fontId="1" fillId="0" borderId="37" xfId="62" applyNumberFormat="1" applyFont="1" applyBorder="1" applyAlignment="1">
      <alignment horizontal="center" vertical="center"/>
      <protection/>
    </xf>
    <xf numFmtId="9" fontId="1" fillId="0" borderId="37" xfId="62" applyNumberFormat="1" applyFont="1" applyBorder="1" applyAlignment="1">
      <alignment horizontal="center" vertical="center"/>
      <protection/>
    </xf>
    <xf numFmtId="170" fontId="2" fillId="4" borderId="32" xfId="62" applyNumberFormat="1" applyFont="1" applyFill="1" applyBorder="1" applyAlignment="1">
      <alignment horizontal="center" vertical="center"/>
      <protection/>
    </xf>
    <xf numFmtId="167" fontId="2" fillId="4" borderId="23" xfId="62" applyFont="1" applyFill="1" applyBorder="1" applyAlignment="1">
      <alignment vertical="center"/>
      <protection/>
    </xf>
    <xf numFmtId="167" fontId="2" fillId="4" borderId="21" xfId="62" applyFont="1" applyFill="1" applyBorder="1" applyAlignment="1">
      <alignment vertical="center"/>
      <protection/>
    </xf>
    <xf numFmtId="167" fontId="2" fillId="4" borderId="22" xfId="62" applyFont="1" applyFill="1" applyBorder="1" applyAlignment="1">
      <alignment horizontal="justify" vertical="center"/>
      <protection/>
    </xf>
    <xf numFmtId="170" fontId="2" fillId="4" borderId="32" xfId="62" applyNumberFormat="1" applyFont="1" applyFill="1" applyBorder="1" applyAlignment="1">
      <alignment vertical="center"/>
      <protection/>
    </xf>
    <xf numFmtId="167" fontId="1" fillId="4" borderId="21" xfId="62" applyFont="1" applyFill="1" applyBorder="1" applyAlignment="1">
      <alignment horizontal="justify" vertical="center"/>
      <protection/>
    </xf>
    <xf numFmtId="167" fontId="1" fillId="0" borderId="21" xfId="62" applyFont="1" applyBorder="1" applyAlignment="1">
      <alignment vertical="center"/>
      <protection/>
    </xf>
    <xf numFmtId="167" fontId="6" fillId="0" borderId="21" xfId="62" applyFont="1" applyBorder="1" applyAlignment="1">
      <alignment vertical="center"/>
      <protection/>
    </xf>
    <xf numFmtId="167" fontId="1" fillId="0" borderId="21" xfId="62" applyFont="1" applyFill="1" applyBorder="1" applyAlignment="1">
      <alignment horizontal="right" vertical="center"/>
      <protection/>
    </xf>
    <xf numFmtId="167" fontId="6" fillId="0" borderId="21" xfId="62" applyFont="1" applyFill="1" applyBorder="1" applyAlignment="1">
      <alignment horizontal="right" vertical="center"/>
      <protection/>
    </xf>
    <xf numFmtId="169" fontId="1" fillId="0" borderId="21" xfId="62" applyNumberFormat="1" applyFont="1" applyBorder="1" applyAlignment="1">
      <alignment horizontal="center" vertical="center"/>
      <protection/>
    </xf>
    <xf numFmtId="169" fontId="6" fillId="0" borderId="21" xfId="62" applyNumberFormat="1" applyFont="1" applyBorder="1" applyAlignment="1">
      <alignment horizontal="center" vertical="center"/>
      <protection/>
    </xf>
    <xf numFmtId="167" fontId="1" fillId="0" borderId="22" xfId="62" applyFont="1" applyBorder="1" applyAlignment="1">
      <alignment horizontal="left" vertical="center"/>
      <protection/>
    </xf>
    <xf numFmtId="167" fontId="1" fillId="0" borderId="0" xfId="62" applyFont="1" applyFill="1" applyAlignment="1">
      <alignment vertical="center"/>
      <protection/>
    </xf>
    <xf numFmtId="167" fontId="1" fillId="0" borderId="0" xfId="62" applyFont="1" applyAlignment="1">
      <alignment vertical="center"/>
      <protection/>
    </xf>
    <xf numFmtId="167" fontId="1" fillId="0" borderId="0" xfId="62" applyFont="1" applyBorder="1">
      <alignment/>
      <protection/>
    </xf>
    <xf numFmtId="167" fontId="1" fillId="4" borderId="0" xfId="62" applyFont="1" applyFill="1" applyBorder="1">
      <alignment/>
      <protection/>
    </xf>
    <xf numFmtId="167" fontId="1" fillId="4" borderId="0" xfId="62" applyFont="1" applyFill="1" applyBorder="1" applyAlignment="1">
      <alignment horizontal="center"/>
      <protection/>
    </xf>
    <xf numFmtId="0" fontId="1" fillId="4" borderId="0" xfId="62" applyNumberFormat="1" applyFont="1" applyFill="1" applyBorder="1">
      <alignment/>
      <protection/>
    </xf>
    <xf numFmtId="167" fontId="1" fillId="4" borderId="0" xfId="62" applyFont="1" applyFill="1" applyBorder="1" applyAlignment="1">
      <alignment/>
      <protection/>
    </xf>
    <xf numFmtId="167" fontId="1" fillId="4" borderId="0" xfId="62" applyFont="1" applyFill="1" applyBorder="1" applyAlignment="1">
      <alignment horizontal="center" vertical="center"/>
      <protection/>
    </xf>
    <xf numFmtId="170" fontId="1" fillId="4" borderId="0" xfId="62" applyNumberFormat="1" applyFont="1" applyFill="1" applyBorder="1" applyAlignment="1">
      <alignment horizontal="center"/>
      <protection/>
    </xf>
    <xf numFmtId="167" fontId="1" fillId="4" borderId="0" xfId="62" applyFont="1" applyFill="1" applyBorder="1" applyAlignment="1">
      <alignment horizontal="justify" vertical="center"/>
      <protection/>
    </xf>
    <xf numFmtId="170" fontId="1" fillId="4" borderId="0" xfId="62" applyNumberFormat="1" applyFont="1" applyFill="1" applyBorder="1" applyAlignment="1">
      <alignment horizontal="justify" vertical="center"/>
      <protection/>
    </xf>
    <xf numFmtId="167" fontId="6" fillId="0" borderId="0" xfId="62" applyFont="1" applyBorder="1">
      <alignment/>
      <protection/>
    </xf>
    <xf numFmtId="167" fontId="1" fillId="0" borderId="0" xfId="62" applyFont="1" applyFill="1" applyBorder="1" applyAlignment="1">
      <alignment horizontal="right" vertical="center"/>
      <protection/>
    </xf>
    <xf numFmtId="167" fontId="6" fillId="0" borderId="0" xfId="62" applyFont="1" applyFill="1" applyBorder="1" applyAlignment="1">
      <alignment horizontal="right" vertical="center"/>
      <protection/>
    </xf>
    <xf numFmtId="169" fontId="1" fillId="0" borderId="0" xfId="62" applyNumberFormat="1" applyFont="1" applyBorder="1" applyAlignment="1">
      <alignment horizontal="center"/>
      <protection/>
    </xf>
    <xf numFmtId="169" fontId="6" fillId="0" borderId="0" xfId="62" applyNumberFormat="1" applyFont="1" applyBorder="1" applyAlignment="1">
      <alignment horizontal="center"/>
      <protection/>
    </xf>
    <xf numFmtId="167" fontId="1" fillId="0" borderId="0" xfId="62" applyFont="1" applyBorder="1" applyAlignment="1">
      <alignment horizontal="left"/>
      <protection/>
    </xf>
    <xf numFmtId="170" fontId="1" fillId="4" borderId="0" xfId="62" applyNumberFormat="1" applyFont="1" applyFill="1" applyAlignment="1">
      <alignment horizontal="center"/>
      <protection/>
    </xf>
    <xf numFmtId="167" fontId="1" fillId="4" borderId="0" xfId="62" applyFont="1" applyFill="1" applyAlignment="1">
      <alignment horizontal="justify" vertical="center"/>
      <protection/>
    </xf>
    <xf numFmtId="170" fontId="1" fillId="4" borderId="0" xfId="62" applyNumberFormat="1" applyFont="1" applyFill="1" applyAlignment="1">
      <alignment horizontal="justify" vertical="center"/>
      <protection/>
    </xf>
    <xf numFmtId="167" fontId="6" fillId="0" borderId="0" xfId="62" applyFont="1">
      <alignment/>
      <protection/>
    </xf>
    <xf numFmtId="167" fontId="1" fillId="4" borderId="14" xfId="62" applyFont="1" applyFill="1" applyBorder="1">
      <alignment/>
      <protection/>
    </xf>
    <xf numFmtId="167" fontId="1" fillId="4" borderId="14" xfId="62" applyFont="1" applyFill="1" applyBorder="1" applyAlignment="1">
      <alignment horizontal="center"/>
      <protection/>
    </xf>
    <xf numFmtId="167" fontId="1" fillId="4" borderId="0" xfId="62" applyFont="1" applyFill="1" applyAlignment="1">
      <alignment horizontal="center"/>
      <protection/>
    </xf>
    <xf numFmtId="0" fontId="1" fillId="4" borderId="0" xfId="62" applyNumberFormat="1" applyFont="1" applyFill="1">
      <alignment/>
      <protection/>
    </xf>
    <xf numFmtId="167" fontId="1" fillId="4" borderId="0" xfId="62" applyFont="1" applyFill="1" applyAlignment="1">
      <alignment/>
      <protection/>
    </xf>
    <xf numFmtId="167" fontId="1" fillId="4" borderId="0" xfId="62" applyFont="1" applyFill="1" applyAlignment="1">
      <alignment horizontal="center" vertical="center"/>
      <protection/>
    </xf>
    <xf numFmtId="167" fontId="1" fillId="0" borderId="0" xfId="62" applyFont="1" applyFill="1" applyAlignment="1">
      <alignment horizontal="right" vertical="center"/>
      <protection/>
    </xf>
    <xf numFmtId="167" fontId="6" fillId="0" borderId="0" xfId="62" applyFont="1" applyFill="1" applyAlignment="1">
      <alignment horizontal="right" vertical="center"/>
      <protection/>
    </xf>
    <xf numFmtId="169" fontId="1" fillId="0" borderId="0" xfId="62" applyNumberFormat="1" applyFont="1" applyAlignment="1">
      <alignment horizontal="center"/>
      <protection/>
    </xf>
    <xf numFmtId="169" fontId="6" fillId="0" borderId="0" xfId="62" applyNumberFormat="1" applyFont="1" applyAlignment="1">
      <alignment horizontal="center"/>
      <protection/>
    </xf>
    <xf numFmtId="167" fontId="1" fillId="0" borderId="0" xfId="62" applyFont="1" applyAlignment="1">
      <alignment horizontal="left"/>
      <protection/>
    </xf>
    <xf numFmtId="0" fontId="7" fillId="10" borderId="14" xfId="0" applyFont="1" applyFill="1" applyBorder="1" applyAlignment="1">
      <alignment vertical="center"/>
    </xf>
    <xf numFmtId="170" fontId="4" fillId="4" borderId="12"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37" xfId="0" applyFont="1" applyFill="1" applyBorder="1" applyAlignment="1">
      <alignment horizontal="justify" vertical="center" wrapText="1"/>
    </xf>
    <xf numFmtId="1" fontId="1" fillId="0" borderId="10" xfId="0" applyNumberFormat="1"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2" xfId="0" applyFont="1" applyFill="1" applyBorder="1" applyAlignment="1">
      <alignment horizontal="center" vertical="center" wrapText="1"/>
    </xf>
    <xf numFmtId="170" fontId="6" fillId="4" borderId="12" xfId="0" applyNumberFormat="1" applyFont="1" applyFill="1" applyBorder="1" applyAlignment="1">
      <alignment horizontal="center" vertical="center" wrapText="1"/>
    </xf>
    <xf numFmtId="0" fontId="4" fillId="0" borderId="37"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4" borderId="10" xfId="0" applyFont="1" applyFill="1" applyBorder="1" applyAlignment="1">
      <alignment horizontal="justify" vertical="center" wrapText="1"/>
    </xf>
    <xf numFmtId="0" fontId="4" fillId="4" borderId="10"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2" fillId="9" borderId="24" xfId="0" applyFont="1" applyFill="1" applyBorder="1" applyAlignment="1">
      <alignment horizontal="center" vertical="center" wrapText="1"/>
    </xf>
    <xf numFmtId="0" fontId="2" fillId="9" borderId="12" xfId="0" applyFont="1" applyFill="1" applyBorder="1" applyAlignment="1">
      <alignment horizontal="center" vertical="center" wrapText="1"/>
    </xf>
    <xf numFmtId="169" fontId="2" fillId="9" borderId="26" xfId="0" applyNumberFormat="1"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26"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7" fillId="0" borderId="0" xfId="0" applyFont="1" applyBorder="1" applyAlignment="1">
      <alignment horizontal="center" vertical="center"/>
    </xf>
    <xf numFmtId="0" fontId="4" fillId="4" borderId="37" xfId="0" applyFont="1" applyFill="1" applyBorder="1" applyAlignment="1">
      <alignment horizontal="justify" vertical="center" wrapText="1"/>
    </xf>
    <xf numFmtId="0" fontId="4" fillId="4" borderId="24" xfId="0" applyFont="1" applyFill="1" applyBorder="1" applyAlignment="1">
      <alignment horizontal="justify" vertical="center" wrapText="1"/>
    </xf>
    <xf numFmtId="1" fontId="4" fillId="4" borderId="37" xfId="0" applyNumberFormat="1" applyFont="1" applyFill="1" applyBorder="1" applyAlignment="1">
      <alignment horizontal="center" vertical="center" wrapText="1"/>
    </xf>
    <xf numFmtId="1" fontId="4" fillId="4" borderId="24"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1" fontId="4" fillId="4" borderId="37" xfId="0" applyNumberFormat="1" applyFont="1" applyFill="1" applyBorder="1" applyAlignment="1">
      <alignment horizontal="center" vertical="center"/>
    </xf>
    <xf numFmtId="1" fontId="4" fillId="4" borderId="24" xfId="0" applyNumberFormat="1" applyFont="1" applyFill="1" applyBorder="1" applyAlignment="1">
      <alignment horizontal="center" vertical="center"/>
    </xf>
    <xf numFmtId="170" fontId="4" fillId="4" borderId="37" xfId="0" applyNumberFormat="1" applyFont="1" applyFill="1" applyBorder="1" applyAlignment="1">
      <alignment horizontal="center" vertical="center"/>
    </xf>
    <xf numFmtId="170" fontId="4" fillId="4" borderId="24" xfId="0" applyNumberFormat="1" applyFont="1" applyFill="1" applyBorder="1" applyAlignment="1">
      <alignment horizontal="center" vertical="center"/>
    </xf>
    <xf numFmtId="1" fontId="4" fillId="4" borderId="12" xfId="0" applyNumberFormat="1" applyFont="1" applyFill="1" applyBorder="1" applyAlignment="1">
      <alignment horizontal="center" vertical="center" wrapText="1"/>
    </xf>
    <xf numFmtId="1" fontId="6" fillId="4" borderId="37" xfId="0" applyNumberFormat="1" applyFont="1" applyFill="1" applyBorder="1" applyAlignment="1">
      <alignment horizontal="center" vertical="center"/>
    </xf>
    <xf numFmtId="1" fontId="6" fillId="4" borderId="24" xfId="0" applyNumberFormat="1" applyFont="1" applyFill="1" applyBorder="1" applyAlignment="1">
      <alignment horizontal="center" vertical="center"/>
    </xf>
    <xf numFmtId="1" fontId="6" fillId="4" borderId="12" xfId="0" applyNumberFormat="1" applyFont="1" applyFill="1" applyBorder="1" applyAlignment="1">
      <alignment horizontal="center" vertical="center"/>
    </xf>
    <xf numFmtId="181" fontId="6" fillId="4" borderId="37" xfId="0" applyNumberFormat="1" applyFont="1" applyFill="1" applyBorder="1" applyAlignment="1">
      <alignment horizontal="center" vertical="center"/>
    </xf>
    <xf numFmtId="181" fontId="6" fillId="4" borderId="24" xfId="0" applyNumberFormat="1" applyFont="1" applyFill="1" applyBorder="1" applyAlignment="1">
      <alignment horizontal="center" vertical="center"/>
    </xf>
    <xf numFmtId="170" fontId="4" fillId="4" borderId="12" xfId="0" applyNumberFormat="1" applyFont="1" applyFill="1" applyBorder="1" applyAlignment="1">
      <alignment horizontal="center" vertical="center"/>
    </xf>
    <xf numFmtId="181" fontId="6" fillId="4" borderId="12" xfId="0" applyNumberFormat="1" applyFont="1" applyFill="1" applyBorder="1" applyAlignment="1">
      <alignment horizontal="center" vertical="center"/>
    </xf>
    <xf numFmtId="1" fontId="6" fillId="0" borderId="12"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70" fontId="4" fillId="0" borderId="37" xfId="0" applyNumberFormat="1" applyFont="1" applyFill="1" applyBorder="1" applyAlignment="1">
      <alignment horizontal="center" vertical="center"/>
    </xf>
    <xf numFmtId="0" fontId="4" fillId="4" borderId="10" xfId="0" applyFont="1" applyFill="1" applyBorder="1" applyAlignment="1">
      <alignment horizontal="center" vertical="center"/>
    </xf>
    <xf numFmtId="3" fontId="2" fillId="9" borderId="37" xfId="0" applyNumberFormat="1" applyFont="1" applyFill="1" applyBorder="1" applyAlignment="1">
      <alignment horizontal="center" vertical="center" wrapText="1"/>
    </xf>
    <xf numFmtId="3" fontId="2" fillId="9" borderId="24" xfId="0" applyNumberFormat="1" applyFont="1" applyFill="1" applyBorder="1" applyAlignment="1">
      <alignment horizontal="center" vertical="center" wrapText="1"/>
    </xf>
    <xf numFmtId="3" fontId="2" fillId="9" borderId="12" xfId="0" applyNumberFormat="1" applyFont="1" applyFill="1" applyBorder="1" applyAlignment="1">
      <alignment horizontal="center" vertical="center" wrapText="1"/>
    </xf>
    <xf numFmtId="169" fontId="2" fillId="9" borderId="10" xfId="0" applyNumberFormat="1" applyFont="1" applyFill="1" applyBorder="1" applyAlignment="1">
      <alignment horizontal="center" vertical="center" wrapText="1"/>
    </xf>
    <xf numFmtId="0" fontId="1" fillId="4" borderId="19" xfId="0" applyFont="1" applyFill="1" applyBorder="1" applyAlignment="1">
      <alignment horizontal="justify" vertical="center" wrapText="1"/>
    </xf>
    <xf numFmtId="0" fontId="1" fillId="4" borderId="38" xfId="0" applyFont="1" applyFill="1" applyBorder="1" applyAlignment="1">
      <alignment horizontal="justify" vertical="center" wrapText="1"/>
    </xf>
    <xf numFmtId="0" fontId="1" fillId="4" borderId="37" xfId="0" applyFont="1" applyFill="1" applyBorder="1" applyAlignment="1">
      <alignment horizontal="justify" vertical="center" wrapText="1"/>
    </xf>
    <xf numFmtId="0" fontId="1" fillId="4" borderId="24" xfId="0" applyFont="1" applyFill="1" applyBorder="1" applyAlignment="1">
      <alignment horizontal="justify" vertical="center" wrapText="1"/>
    </xf>
    <xf numFmtId="0" fontId="1" fillId="4" borderId="12" xfId="0" applyFont="1" applyFill="1" applyBorder="1" applyAlignment="1">
      <alignment horizontal="justify" vertical="center" wrapText="1"/>
    </xf>
    <xf numFmtId="1" fontId="1" fillId="4" borderId="12" xfId="0" applyNumberFormat="1" applyFont="1" applyFill="1" applyBorder="1" applyAlignment="1">
      <alignment horizontal="center" vertical="center" wrapText="1"/>
    </xf>
    <xf numFmtId="4" fontId="1" fillId="4" borderId="10" xfId="62" applyNumberFormat="1" applyFont="1" applyFill="1" applyBorder="1" applyAlignment="1">
      <alignment horizontal="center" vertical="center" wrapText="1"/>
      <protection/>
    </xf>
    <xf numFmtId="9" fontId="1" fillId="4" borderId="12" xfId="66" applyFont="1" applyFill="1" applyBorder="1" applyAlignment="1">
      <alignment horizontal="center" vertical="center"/>
    </xf>
    <xf numFmtId="9" fontId="1" fillId="0" borderId="10" xfId="0" applyNumberFormat="1" applyFont="1" applyFill="1" applyBorder="1" applyAlignment="1">
      <alignment horizontal="center" vertical="center" wrapText="1"/>
    </xf>
    <xf numFmtId="170" fontId="4" fillId="4" borderId="10" xfId="0" applyNumberFormat="1" applyFont="1" applyFill="1" applyBorder="1" applyAlignment="1">
      <alignment horizontal="center" vertical="center" wrapText="1"/>
    </xf>
    <xf numFmtId="170" fontId="6" fillId="4" borderId="10" xfId="0" applyNumberFormat="1" applyFont="1" applyFill="1" applyBorder="1" applyAlignment="1">
      <alignment horizontal="center" vertical="center" wrapText="1"/>
    </xf>
    <xf numFmtId="0" fontId="1" fillId="0" borderId="10" xfId="0" applyFont="1" applyBorder="1" applyAlignment="1">
      <alignment horizontal="justify" vertical="center" wrapText="1"/>
    </xf>
    <xf numFmtId="170" fontId="4" fillId="0" borderId="10" xfId="0" applyNumberFormat="1" applyFont="1" applyFill="1" applyBorder="1" applyAlignment="1">
      <alignment horizontal="center" vertical="center"/>
    </xf>
    <xf numFmtId="0" fontId="1" fillId="0" borderId="24" xfId="0" applyFont="1" applyBorder="1" applyAlignment="1">
      <alignment horizontal="justify" vertical="center" wrapText="1"/>
    </xf>
    <xf numFmtId="0" fontId="6" fillId="0" borderId="12" xfId="0"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38" xfId="0" applyFont="1" applyFill="1" applyBorder="1" applyAlignment="1">
      <alignment horizontal="center" vertical="center" wrapText="1"/>
    </xf>
    <xf numFmtId="3" fontId="1" fillId="4" borderId="10" xfId="0" applyNumberFormat="1" applyFont="1" applyFill="1" applyBorder="1" applyAlignment="1">
      <alignment horizontal="center" vertical="center" wrapText="1"/>
    </xf>
    <xf numFmtId="0" fontId="21" fillId="0" borderId="0" xfId="0" applyFont="1" applyFill="1" applyBorder="1" applyAlignment="1">
      <alignment/>
    </xf>
    <xf numFmtId="0" fontId="10" fillId="9" borderId="10" xfId="0" applyFont="1" applyFill="1" applyBorder="1" applyAlignment="1">
      <alignment horizontal="center" vertical="center" wrapText="1"/>
    </xf>
    <xf numFmtId="0" fontId="22" fillId="9" borderId="10" xfId="0" applyFont="1" applyFill="1" applyBorder="1" applyAlignment="1">
      <alignment horizontal="center" vertical="center" wrapText="1"/>
    </xf>
    <xf numFmtId="169" fontId="22" fillId="9" borderId="10" xfId="0" applyNumberFormat="1" applyFont="1" applyFill="1" applyBorder="1" applyAlignment="1">
      <alignment horizontal="center" vertical="center" wrapText="1"/>
    </xf>
    <xf numFmtId="0" fontId="2" fillId="9" borderId="38" xfId="0" applyFont="1" applyFill="1" applyBorder="1" applyAlignment="1">
      <alignment vertical="center" wrapText="1"/>
    </xf>
    <xf numFmtId="0" fontId="7" fillId="9" borderId="24" xfId="0" applyFont="1" applyFill="1" applyBorder="1" applyAlignment="1">
      <alignment vertical="center" wrapText="1"/>
    </xf>
    <xf numFmtId="0" fontId="7" fillId="9" borderId="25" xfId="0" applyFont="1" applyFill="1" applyBorder="1" applyAlignment="1">
      <alignment horizontal="center" vertical="center" wrapText="1"/>
    </xf>
    <xf numFmtId="49" fontId="2" fillId="9" borderId="25" xfId="0" applyNumberFormat="1" applyFont="1" applyFill="1" applyBorder="1" applyAlignment="1">
      <alignment vertical="center" wrapText="1"/>
    </xf>
    <xf numFmtId="49" fontId="7" fillId="9" borderId="25" xfId="0" applyNumberFormat="1" applyFont="1" applyFill="1" applyBorder="1" applyAlignment="1">
      <alignment horizontal="center" vertical="center" wrapText="1"/>
    </xf>
    <xf numFmtId="0" fontId="2" fillId="9" borderId="25" xfId="0" applyFont="1" applyFill="1" applyBorder="1" applyAlignment="1">
      <alignment horizontal="center" vertical="center" textRotation="180" wrapText="1"/>
    </xf>
    <xf numFmtId="9" fontId="2" fillId="9" borderId="25" xfId="66" applyFont="1" applyFill="1" applyBorder="1" applyAlignment="1">
      <alignment horizontal="center" vertical="center" wrapText="1"/>
    </xf>
    <xf numFmtId="169" fontId="2" fillId="9" borderId="25" xfId="0" applyNumberFormat="1" applyFont="1" applyFill="1" applyBorder="1" applyAlignment="1">
      <alignment vertical="center" wrapText="1"/>
    </xf>
    <xf numFmtId="169" fontId="7" fillId="9" borderId="25" xfId="0" applyNumberFormat="1" applyFont="1" applyFill="1" applyBorder="1" applyAlignment="1">
      <alignment vertical="center" wrapText="1"/>
    </xf>
    <xf numFmtId="3" fontId="2" fillId="9" borderId="25" xfId="0" applyNumberFormat="1" applyFont="1" applyFill="1" applyBorder="1" applyAlignment="1">
      <alignment vertical="center" wrapText="1"/>
    </xf>
    <xf numFmtId="0" fontId="7" fillId="10" borderId="17" xfId="0" applyFont="1" applyFill="1" applyBorder="1" applyAlignment="1">
      <alignment horizontal="center" vertical="center"/>
    </xf>
    <xf numFmtId="0" fontId="7" fillId="10" borderId="17" xfId="0" applyFont="1" applyFill="1" applyBorder="1" applyAlignment="1">
      <alignment horizontal="justify" vertical="center"/>
    </xf>
    <xf numFmtId="9" fontId="2" fillId="10" borderId="17" xfId="66" applyFont="1" applyFill="1" applyBorder="1" applyAlignment="1">
      <alignment vertical="center"/>
    </xf>
    <xf numFmtId="0" fontId="2" fillId="0" borderId="37" xfId="0" applyFont="1" applyFill="1" applyBorder="1" applyAlignment="1">
      <alignment vertical="center" wrapText="1"/>
    </xf>
    <xf numFmtId="0" fontId="2" fillId="9" borderId="14" xfId="0" applyFont="1" applyFill="1" applyBorder="1" applyAlignment="1">
      <alignment horizontal="justify" vertical="center" wrapText="1"/>
    </xf>
    <xf numFmtId="0" fontId="7" fillId="9" borderId="17" xfId="0" applyFont="1" applyFill="1" applyBorder="1" applyAlignment="1">
      <alignment horizontal="justify" vertical="center"/>
    </xf>
    <xf numFmtId="9" fontId="2" fillId="9" borderId="17" xfId="66" applyFont="1" applyFill="1" applyBorder="1" applyAlignment="1">
      <alignment vertical="center"/>
    </xf>
    <xf numFmtId="0" fontId="2" fillId="0" borderId="24" xfId="0" applyFont="1" applyFill="1" applyBorder="1" applyAlignment="1">
      <alignment vertical="center" wrapText="1"/>
    </xf>
    <xf numFmtId="0" fontId="2" fillId="0" borderId="42" xfId="0" applyFont="1" applyFill="1" applyBorder="1" applyAlignment="1">
      <alignment vertical="center" wrapText="1"/>
    </xf>
    <xf numFmtId="0" fontId="2" fillId="0" borderId="14" xfId="0" applyFont="1" applyFill="1" applyBorder="1" applyAlignment="1">
      <alignment vertical="center" wrapText="1"/>
    </xf>
    <xf numFmtId="0" fontId="2" fillId="0" borderId="19" xfId="0" applyFont="1" applyFill="1" applyBorder="1" applyAlignment="1">
      <alignment vertical="center" wrapText="1"/>
    </xf>
    <xf numFmtId="0" fontId="2" fillId="10" borderId="17" xfId="0" applyFont="1" applyFill="1" applyBorder="1" applyAlignment="1">
      <alignment horizontal="justify" vertical="center" wrapText="1"/>
    </xf>
    <xf numFmtId="0" fontId="7" fillId="10" borderId="17" xfId="0" applyFont="1" applyFill="1" applyBorder="1" applyAlignment="1">
      <alignment horizontal="justify" vertical="center"/>
    </xf>
    <xf numFmtId="42" fontId="7" fillId="10" borderId="17" xfId="0" applyNumberFormat="1" applyFont="1" applyFill="1" applyBorder="1" applyAlignment="1">
      <alignment horizontal="justify" vertical="center"/>
    </xf>
    <xf numFmtId="0" fontId="2" fillId="10" borderId="17" xfId="0" applyFont="1" applyFill="1" applyBorder="1" applyAlignment="1">
      <alignment horizontal="center" vertical="center"/>
    </xf>
    <xf numFmtId="9" fontId="2" fillId="10" borderId="17" xfId="66" applyFont="1" applyFill="1" applyBorder="1" applyAlignment="1">
      <alignment vertical="center"/>
    </xf>
    <xf numFmtId="0" fontId="1" fillId="4" borderId="24" xfId="0" applyFont="1" applyFill="1" applyBorder="1" applyAlignment="1">
      <alignment vertical="center" wrapText="1"/>
    </xf>
    <xf numFmtId="0" fontId="2" fillId="0" borderId="25" xfId="0" applyFont="1" applyFill="1" applyBorder="1" applyAlignment="1">
      <alignment vertical="center" wrapText="1"/>
    </xf>
    <xf numFmtId="0" fontId="2" fillId="0" borderId="38" xfId="0" applyFont="1" applyFill="1" applyBorder="1" applyAlignment="1">
      <alignment vertical="center" wrapText="1"/>
    </xf>
    <xf numFmtId="0" fontId="1" fillId="4" borderId="42" xfId="0" applyFont="1" applyFill="1" applyBorder="1" applyAlignment="1">
      <alignment vertical="center" wrapText="1"/>
    </xf>
    <xf numFmtId="0" fontId="1" fillId="4" borderId="14" xfId="0" applyFont="1" applyFill="1" applyBorder="1" applyAlignment="1">
      <alignment vertical="center" wrapText="1"/>
    </xf>
    <xf numFmtId="0" fontId="1" fillId="4" borderId="19" xfId="0" applyFont="1" applyFill="1" applyBorder="1" applyAlignment="1">
      <alignment vertical="center" wrapText="1"/>
    </xf>
    <xf numFmtId="42" fontId="6" fillId="0" borderId="10" xfId="56" applyFont="1" applyFill="1" applyBorder="1" applyAlignment="1">
      <alignment horizontal="justify" vertical="center" wrapText="1"/>
    </xf>
    <xf numFmtId="0" fontId="1" fillId="4" borderId="25" xfId="0" applyFont="1" applyFill="1" applyBorder="1" applyAlignment="1">
      <alignment vertical="center" wrapText="1"/>
    </xf>
    <xf numFmtId="0" fontId="1" fillId="4" borderId="38" xfId="0" applyFont="1" applyFill="1" applyBorder="1" applyAlignment="1">
      <alignment vertical="center" wrapTex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13" xfId="0" applyFont="1" applyFill="1" applyBorder="1" applyAlignment="1">
      <alignment vertical="center" wrapText="1"/>
    </xf>
    <xf numFmtId="0" fontId="1" fillId="4" borderId="26" xfId="0" applyFont="1" applyFill="1" applyBorder="1" applyAlignment="1">
      <alignment vertical="center" wrapText="1"/>
    </xf>
    <xf numFmtId="0" fontId="1" fillId="4" borderId="34" xfId="0" applyFont="1" applyFill="1" applyBorder="1" applyAlignment="1">
      <alignment vertical="center" wrapText="1"/>
    </xf>
    <xf numFmtId="0" fontId="1" fillId="4" borderId="13" xfId="0" applyFont="1" applyFill="1" applyBorder="1" applyAlignment="1">
      <alignment vertical="center" wrapText="1"/>
    </xf>
    <xf numFmtId="42" fontId="2" fillId="9" borderId="17" xfId="0" applyNumberFormat="1" applyFont="1" applyFill="1" applyBorder="1" applyAlignment="1">
      <alignment horizontal="justify" vertical="center"/>
    </xf>
    <xf numFmtId="42" fontId="5" fillId="9" borderId="17" xfId="0" applyNumberFormat="1" applyFont="1" applyFill="1" applyBorder="1" applyAlignment="1">
      <alignment horizontal="justify" vertical="center"/>
    </xf>
    <xf numFmtId="1" fontId="2" fillId="9" borderId="17" xfId="0" applyNumberFormat="1" applyFont="1" applyFill="1" applyBorder="1" applyAlignment="1">
      <alignment horizontal="center" vertical="center"/>
    </xf>
    <xf numFmtId="9" fontId="2" fillId="9" borderId="17" xfId="66" applyFont="1" applyFill="1" applyBorder="1" applyAlignment="1">
      <alignment horizontal="justify" vertical="center"/>
    </xf>
    <xf numFmtId="9" fontId="2" fillId="10" borderId="17" xfId="66" applyFont="1" applyFill="1" applyBorder="1" applyAlignment="1">
      <alignment horizontal="justify" vertical="center"/>
    </xf>
    <xf numFmtId="1" fontId="1" fillId="4" borderId="37" xfId="66" applyNumberFormat="1" applyFont="1" applyFill="1" applyBorder="1" applyAlignment="1">
      <alignment horizontal="center" vertical="center" wrapText="1"/>
    </xf>
    <xf numFmtId="42" fontId="6" fillId="0" borderId="24" xfId="56" applyFont="1" applyFill="1" applyBorder="1" applyAlignment="1">
      <alignment horizontal="justify" vertical="center" wrapText="1"/>
    </xf>
    <xf numFmtId="42" fontId="2" fillId="10" borderId="17" xfId="0" applyNumberFormat="1" applyFont="1" applyFill="1" applyBorder="1" applyAlignment="1">
      <alignment horizontal="justify" vertical="center"/>
    </xf>
    <xf numFmtId="42" fontId="5" fillId="10" borderId="17" xfId="0" applyNumberFormat="1" applyFont="1" applyFill="1" applyBorder="1" applyAlignment="1">
      <alignment horizontal="justify" vertical="center"/>
    </xf>
    <xf numFmtId="0" fontId="2" fillId="4" borderId="25" xfId="0" applyFont="1" applyFill="1" applyBorder="1" applyAlignment="1">
      <alignment vertical="center" wrapText="1"/>
    </xf>
    <xf numFmtId="0" fontId="2" fillId="4" borderId="38" xfId="0" applyFont="1" applyFill="1" applyBorder="1" applyAlignment="1">
      <alignment vertical="center" wrapText="1"/>
    </xf>
    <xf numFmtId="0" fontId="2" fillId="4" borderId="14" xfId="0" applyFont="1" applyFill="1" applyBorder="1" applyAlignment="1">
      <alignment vertical="center" wrapText="1"/>
    </xf>
    <xf numFmtId="0" fontId="2" fillId="4" borderId="19" xfId="0" applyFont="1" applyFill="1" applyBorder="1" applyAlignment="1">
      <alignment vertical="center" wrapText="1"/>
    </xf>
    <xf numFmtId="37" fontId="6" fillId="0" borderId="10" xfId="51" applyNumberFormat="1" applyFont="1" applyFill="1" applyBorder="1" applyAlignment="1">
      <alignment horizontal="center" vertical="center"/>
    </xf>
    <xf numFmtId="42" fontId="1" fillId="4" borderId="26" xfId="56" applyFont="1" applyFill="1" applyBorder="1" applyAlignment="1">
      <alignment horizontal="justify" vertical="center" wrapText="1"/>
    </xf>
    <xf numFmtId="0" fontId="2" fillId="4" borderId="13" xfId="0" applyFont="1" applyFill="1" applyBorder="1" applyAlignment="1">
      <alignment vertical="center" wrapText="1"/>
    </xf>
    <xf numFmtId="1" fontId="6" fillId="0" borderId="37" xfId="67" applyNumberFormat="1" applyFont="1" applyFill="1" applyBorder="1" applyAlignment="1">
      <alignment horizontal="center" vertical="center" wrapText="1"/>
    </xf>
    <xf numFmtId="42" fontId="1" fillId="4" borderId="10" xfId="56" applyFont="1" applyFill="1" applyBorder="1" applyAlignment="1">
      <alignment horizontal="justify" vertical="center" wrapText="1"/>
    </xf>
    <xf numFmtId="42" fontId="6" fillId="4" borderId="10" xfId="56" applyFont="1" applyFill="1" applyBorder="1" applyAlignment="1">
      <alignment horizontal="justify" vertical="center" wrapText="1"/>
    </xf>
    <xf numFmtId="1" fontId="6" fillId="0" borderId="10" xfId="67" applyNumberFormat="1" applyFont="1" applyFill="1" applyBorder="1" applyAlignment="1">
      <alignment horizontal="center" vertical="center" wrapText="1"/>
    </xf>
    <xf numFmtId="42" fontId="4" fillId="4" borderId="10" xfId="56" applyFont="1" applyFill="1" applyBorder="1" applyAlignment="1">
      <alignment horizontal="justify" vertical="center" wrapText="1"/>
    </xf>
    <xf numFmtId="42" fontId="6" fillId="4" borderId="12" xfId="56" applyFont="1" applyFill="1" applyBorder="1" applyAlignment="1">
      <alignment horizontal="justify" vertical="center" wrapText="1"/>
    </xf>
    <xf numFmtId="0" fontId="4" fillId="4" borderId="38" xfId="0" applyFont="1" applyFill="1" applyBorder="1" applyAlignment="1">
      <alignment horizontal="center" vertical="center" wrapText="1"/>
    </xf>
    <xf numFmtId="0" fontId="4" fillId="4" borderId="34" xfId="0" applyFont="1" applyFill="1" applyBorder="1" applyAlignment="1">
      <alignment horizontal="center" vertical="center" wrapText="1"/>
    </xf>
    <xf numFmtId="9" fontId="4" fillId="4" borderId="0" xfId="66" applyFont="1" applyFill="1" applyBorder="1" applyAlignment="1">
      <alignment horizontal="center" vertical="center" wrapText="1"/>
    </xf>
    <xf numFmtId="0" fontId="4" fillId="0" borderId="0" xfId="0" applyFont="1" applyFill="1" applyBorder="1" applyAlignment="1">
      <alignment horizontal="justify" vertical="center" wrapText="1"/>
    </xf>
    <xf numFmtId="1" fontId="1" fillId="4" borderId="37" xfId="0" applyNumberFormat="1" applyFont="1" applyFill="1" applyBorder="1" applyAlignment="1">
      <alignment vertical="center" wrapText="1"/>
    </xf>
    <xf numFmtId="1" fontId="6" fillId="4" borderId="37" xfId="0" applyNumberFormat="1" applyFont="1" applyFill="1" applyBorder="1" applyAlignment="1">
      <alignment vertical="center" wrapText="1"/>
    </xf>
    <xf numFmtId="14" fontId="1" fillId="0" borderId="10" xfId="0" applyNumberFormat="1" applyFont="1" applyFill="1" applyBorder="1" applyAlignment="1">
      <alignment horizontal="center" vertical="center"/>
    </xf>
    <xf numFmtId="14" fontId="6" fillId="0" borderId="10" xfId="0" applyNumberFormat="1" applyFont="1" applyFill="1" applyBorder="1" applyAlignment="1">
      <alignment horizontal="center" vertical="center"/>
    </xf>
    <xf numFmtId="0" fontId="2" fillId="4" borderId="24" xfId="0" applyFont="1" applyFill="1" applyBorder="1" applyAlignment="1">
      <alignment horizontal="center" vertical="center" wrapText="1"/>
    </xf>
    <xf numFmtId="0" fontId="2" fillId="4" borderId="14" xfId="0" applyFont="1" applyFill="1" applyBorder="1" applyAlignment="1">
      <alignment vertical="center"/>
    </xf>
    <xf numFmtId="0" fontId="2" fillId="4" borderId="19" xfId="0" applyFont="1" applyFill="1" applyBorder="1" applyAlignment="1">
      <alignment vertical="center"/>
    </xf>
    <xf numFmtId="9" fontId="1" fillId="4" borderId="10" xfId="0" applyNumberFormat="1" applyFont="1" applyFill="1" applyBorder="1" applyAlignment="1">
      <alignment horizontal="center" vertical="center"/>
    </xf>
    <xf numFmtId="42" fontId="1" fillId="4" borderId="10" xfId="56" applyFont="1" applyFill="1" applyBorder="1" applyAlignment="1">
      <alignment horizontal="justify" vertical="center"/>
    </xf>
    <xf numFmtId="172" fontId="1" fillId="4" borderId="10" xfId="53" applyNumberFormat="1" applyFont="1" applyFill="1" applyBorder="1" applyAlignment="1">
      <alignment horizontal="justify" vertical="center"/>
    </xf>
    <xf numFmtId="172" fontId="6" fillId="4" borderId="10" xfId="53" applyNumberFormat="1" applyFont="1" applyFill="1" applyBorder="1" applyAlignment="1">
      <alignment horizontal="justify" vertical="center"/>
    </xf>
    <xf numFmtId="1" fontId="1" fillId="4" borderId="10" xfId="0" applyNumberFormat="1" applyFont="1" applyFill="1" applyBorder="1" applyAlignment="1">
      <alignment horizontal="center" vertical="center"/>
    </xf>
    <xf numFmtId="0" fontId="1" fillId="4" borderId="14" xfId="0" applyFont="1" applyFill="1" applyBorder="1" applyAlignment="1">
      <alignment horizontal="justify" vertical="center" wrapText="1"/>
    </xf>
    <xf numFmtId="0" fontId="4" fillId="4" borderId="24" xfId="0" applyFont="1" applyFill="1" applyBorder="1" applyAlignment="1">
      <alignment vertical="center" wrapText="1"/>
    </xf>
    <xf numFmtId="0" fontId="4" fillId="4" borderId="25" xfId="0" applyFont="1" applyFill="1" applyBorder="1" applyAlignment="1">
      <alignment vertical="center" wrapText="1"/>
    </xf>
    <xf numFmtId="0" fontId="4" fillId="4" borderId="0" xfId="0" applyFont="1" applyFill="1" applyBorder="1" applyAlignment="1">
      <alignment vertical="center" wrapText="1"/>
    </xf>
    <xf numFmtId="0" fontId="4" fillId="4" borderId="38" xfId="0" applyFont="1" applyFill="1" applyBorder="1" applyAlignment="1">
      <alignment vertical="center" wrapText="1"/>
    </xf>
    <xf numFmtId="0" fontId="4" fillId="4" borderId="34" xfId="0" applyFont="1" applyFill="1" applyBorder="1" applyAlignment="1">
      <alignment vertical="center" wrapText="1"/>
    </xf>
    <xf numFmtId="0" fontId="4" fillId="4" borderId="13" xfId="0" applyFont="1" applyFill="1" applyBorder="1" applyAlignment="1">
      <alignment vertical="center" wrapText="1"/>
    </xf>
    <xf numFmtId="172" fontId="2" fillId="10" borderId="17" xfId="0" applyNumberFormat="1" applyFont="1" applyFill="1" applyBorder="1" applyAlignment="1">
      <alignment horizontal="justify" vertical="center"/>
    </xf>
    <xf numFmtId="172" fontId="7" fillId="10" borderId="17" xfId="0" applyNumberFormat="1" applyFont="1" applyFill="1" applyBorder="1" applyAlignment="1">
      <alignment horizontal="justify" vertical="center"/>
    </xf>
    <xf numFmtId="1" fontId="7" fillId="10" borderId="17" xfId="0" applyNumberFormat="1" applyFont="1" applyFill="1" applyBorder="1" applyAlignment="1">
      <alignment horizontal="center" vertical="center"/>
    </xf>
    <xf numFmtId="1" fontId="1" fillId="4" borderId="10" xfId="0" applyNumberFormat="1" applyFont="1" applyFill="1" applyBorder="1" applyAlignment="1">
      <alignment horizontal="center" vertical="center" wrapText="1"/>
    </xf>
    <xf numFmtId="0" fontId="5" fillId="4" borderId="24" xfId="0" applyFont="1" applyFill="1" applyBorder="1" applyAlignment="1">
      <alignment vertical="center" wrapText="1"/>
    </xf>
    <xf numFmtId="0" fontId="5" fillId="4" borderId="25" xfId="0" applyFont="1" applyFill="1" applyBorder="1" applyAlignment="1">
      <alignment vertical="center" wrapText="1"/>
    </xf>
    <xf numFmtId="0" fontId="5" fillId="4" borderId="0" xfId="0" applyFont="1" applyFill="1" applyBorder="1" applyAlignment="1">
      <alignment vertical="center" wrapText="1"/>
    </xf>
    <xf numFmtId="0" fontId="5" fillId="4" borderId="38" xfId="0" applyFont="1" applyFill="1" applyBorder="1" applyAlignment="1">
      <alignment vertical="center" wrapText="1"/>
    </xf>
    <xf numFmtId="42" fontId="4" fillId="0" borderId="12" xfId="56" applyFont="1" applyFill="1" applyBorder="1" applyAlignment="1">
      <alignment horizontal="justify" vertical="center" wrapText="1"/>
    </xf>
    <xf numFmtId="42" fontId="6" fillId="0" borderId="12" xfId="56" applyFont="1" applyFill="1" applyBorder="1" applyAlignment="1">
      <alignment horizontal="justify" vertical="center" wrapText="1"/>
    </xf>
    <xf numFmtId="1" fontId="1" fillId="4" borderId="24" xfId="0" applyNumberFormat="1" applyFont="1" applyFill="1" applyBorder="1" applyAlignment="1">
      <alignment horizontal="center" vertical="center" wrapText="1"/>
    </xf>
    <xf numFmtId="42" fontId="1" fillId="0" borderId="10" xfId="56" applyFont="1" applyFill="1" applyBorder="1" applyAlignment="1">
      <alignment vertical="center" wrapText="1"/>
    </xf>
    <xf numFmtId="42" fontId="6" fillId="0" borderId="10" xfId="56" applyFont="1" applyFill="1" applyBorder="1" applyAlignment="1">
      <alignment vertical="center" wrapText="1"/>
    </xf>
    <xf numFmtId="42" fontId="1" fillId="0" borderId="12" xfId="56" applyFont="1" applyFill="1" applyBorder="1" applyAlignment="1">
      <alignment vertical="center" wrapText="1"/>
    </xf>
    <xf numFmtId="175" fontId="2" fillId="10" borderId="17" xfId="54" applyNumberFormat="1" applyFont="1" applyFill="1" applyBorder="1" applyAlignment="1">
      <alignment horizontal="justify" vertical="center"/>
    </xf>
    <xf numFmtId="1" fontId="7" fillId="10" borderId="17" xfId="0" applyNumberFormat="1" applyFont="1" applyFill="1" applyBorder="1" applyAlignment="1">
      <alignment horizontal="justify" vertical="center"/>
    </xf>
    <xf numFmtId="42" fontId="6" fillId="4" borderId="10" xfId="56" applyFont="1" applyFill="1" applyBorder="1" applyAlignment="1">
      <alignment horizontal="justify" vertical="center"/>
    </xf>
    <xf numFmtId="1" fontId="2" fillId="10" borderId="17" xfId="0" applyNumberFormat="1" applyFont="1" applyFill="1" applyBorder="1" applyAlignment="1">
      <alignment horizontal="justify" vertical="center"/>
    </xf>
    <xf numFmtId="1" fontId="1" fillId="0" borderId="37" xfId="0" applyNumberFormat="1" applyFont="1" applyFill="1" applyBorder="1" applyAlignment="1">
      <alignment horizontal="center" vertical="center"/>
    </xf>
    <xf numFmtId="0" fontId="1" fillId="4" borderId="10" xfId="0" applyFont="1" applyFill="1" applyBorder="1" applyAlignment="1">
      <alignment horizontal="justify" vertical="center" wrapText="1"/>
    </xf>
    <xf numFmtId="42" fontId="1" fillId="0" borderId="10" xfId="56" applyFont="1" applyFill="1" applyBorder="1" applyAlignment="1">
      <alignment horizontal="justify" vertical="center" wrapText="1"/>
    </xf>
    <xf numFmtId="42" fontId="2" fillId="10" borderId="17" xfId="56" applyFont="1" applyFill="1" applyBorder="1" applyAlignment="1">
      <alignment horizontal="justify" vertical="center"/>
    </xf>
    <xf numFmtId="42" fontId="5" fillId="10" borderId="17" xfId="56" applyFont="1" applyFill="1" applyBorder="1" applyAlignment="1">
      <alignment horizontal="justify" vertical="center"/>
    </xf>
    <xf numFmtId="0" fontId="1" fillId="10" borderId="37" xfId="0" applyFont="1" applyFill="1" applyBorder="1" applyAlignment="1">
      <alignment vertical="center" wrapText="1"/>
    </xf>
    <xf numFmtId="0" fontId="1" fillId="10" borderId="25" xfId="0" applyFont="1" applyFill="1" applyBorder="1" applyAlignment="1">
      <alignment horizontal="justify" vertical="center" wrapText="1"/>
    </xf>
    <xf numFmtId="0" fontId="1" fillId="10" borderId="24"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1" fillId="10" borderId="26" xfId="0" applyFont="1" applyFill="1" applyBorder="1" applyAlignment="1">
      <alignment horizontal="justify" vertical="center" wrapText="1"/>
    </xf>
    <xf numFmtId="0" fontId="1" fillId="10" borderId="25" xfId="0" applyFont="1" applyFill="1" applyBorder="1" applyAlignment="1">
      <alignment horizontal="center" vertical="center" wrapText="1"/>
    </xf>
    <xf numFmtId="0" fontId="1" fillId="10" borderId="24" xfId="0" applyFont="1" applyFill="1" applyBorder="1" applyAlignment="1">
      <alignment horizontal="justify" vertical="center" wrapText="1"/>
    </xf>
    <xf numFmtId="9" fontId="4" fillId="10" borderId="37" xfId="66" applyFont="1" applyFill="1" applyBorder="1" applyAlignment="1">
      <alignment horizontal="center" vertical="center" wrapText="1"/>
    </xf>
    <xf numFmtId="42" fontId="1" fillId="10" borderId="24" xfId="56" applyFont="1" applyFill="1" applyBorder="1" applyAlignment="1">
      <alignment horizontal="justify" vertical="center" wrapText="1"/>
    </xf>
    <xf numFmtId="42" fontId="1" fillId="10" borderId="12" xfId="0" applyNumberFormat="1" applyFont="1" applyFill="1" applyBorder="1" applyAlignment="1">
      <alignment horizontal="justify" vertical="center" wrapText="1"/>
    </xf>
    <xf numFmtId="42" fontId="1" fillId="10" borderId="12" xfId="56" applyFont="1" applyFill="1" applyBorder="1" applyAlignment="1">
      <alignment horizontal="justify" vertical="center" wrapText="1"/>
    </xf>
    <xf numFmtId="1" fontId="1" fillId="10" borderId="12" xfId="0" applyNumberFormat="1" applyFont="1" applyFill="1" applyBorder="1" applyAlignment="1">
      <alignment horizontal="center" vertical="center" wrapText="1"/>
    </xf>
    <xf numFmtId="42" fontId="1" fillId="10" borderId="24" xfId="0" applyNumberFormat="1" applyFont="1" applyFill="1" applyBorder="1" applyAlignment="1">
      <alignment horizontal="justify" vertical="center" wrapText="1"/>
    </xf>
    <xf numFmtId="1" fontId="1" fillId="10" borderId="24" xfId="0" applyNumberFormat="1" applyFont="1" applyFill="1" applyBorder="1" applyAlignment="1">
      <alignment horizontal="center" vertical="center" wrapText="1"/>
    </xf>
    <xf numFmtId="1" fontId="6" fillId="10" borderId="24" xfId="0" applyNumberFormat="1" applyFont="1" applyFill="1" applyBorder="1" applyAlignment="1">
      <alignment horizontal="center" vertical="center" wrapText="1"/>
    </xf>
    <xf numFmtId="1" fontId="1" fillId="10" borderId="24" xfId="0" applyNumberFormat="1" applyFont="1" applyFill="1" applyBorder="1" applyAlignment="1">
      <alignment horizontal="center" vertical="center" textRotation="180" wrapText="1"/>
    </xf>
    <xf numFmtId="9" fontId="1" fillId="10" borderId="24" xfId="66" applyFont="1" applyFill="1" applyBorder="1" applyAlignment="1">
      <alignment horizontal="center" vertical="center" wrapText="1"/>
    </xf>
    <xf numFmtId="169" fontId="1" fillId="10" borderId="24" xfId="0" applyNumberFormat="1" applyFont="1" applyFill="1" applyBorder="1" applyAlignment="1">
      <alignment horizontal="center" vertical="center" wrapText="1"/>
    </xf>
    <xf numFmtId="169" fontId="6" fillId="10" borderId="24" xfId="0" applyNumberFormat="1" applyFont="1" applyFill="1" applyBorder="1" applyAlignment="1">
      <alignment horizontal="center" vertical="center" wrapText="1"/>
    </xf>
    <xf numFmtId="3" fontId="1" fillId="10" borderId="25" xfId="0" applyNumberFormat="1" applyFont="1" applyFill="1" applyBorder="1" applyAlignment="1">
      <alignment horizontal="center" vertical="center" wrapText="1"/>
    </xf>
    <xf numFmtId="0" fontId="2" fillId="9" borderId="15" xfId="0" applyFont="1" applyFill="1" applyBorder="1" applyAlignment="1">
      <alignment horizontal="justify" vertical="center" wrapText="1"/>
    </xf>
    <xf numFmtId="0" fontId="2" fillId="9" borderId="34" xfId="0" applyFont="1" applyFill="1" applyBorder="1" applyAlignment="1">
      <alignment vertical="center"/>
    </xf>
    <xf numFmtId="0" fontId="2" fillId="9" borderId="34" xfId="0" applyFont="1" applyFill="1" applyBorder="1" applyAlignment="1">
      <alignment horizontal="justify" vertical="center"/>
    </xf>
    <xf numFmtId="0" fontId="2" fillId="9" borderId="34" xfId="0" applyFont="1" applyFill="1" applyBorder="1" applyAlignment="1">
      <alignment horizontal="center" vertical="center"/>
    </xf>
    <xf numFmtId="0" fontId="7" fillId="9" borderId="34" xfId="0" applyFont="1" applyFill="1" applyBorder="1" applyAlignment="1">
      <alignment horizontal="center" vertical="center"/>
    </xf>
    <xf numFmtId="175" fontId="2" fillId="9" borderId="34" xfId="54" applyNumberFormat="1" applyFont="1" applyFill="1" applyBorder="1" applyAlignment="1">
      <alignment horizontal="justify" vertical="center"/>
    </xf>
    <xf numFmtId="175" fontId="2" fillId="9" borderId="34" xfId="0" applyNumberFormat="1" applyFont="1" applyFill="1" applyBorder="1" applyAlignment="1">
      <alignment horizontal="justify" vertical="center"/>
    </xf>
    <xf numFmtId="42" fontId="2" fillId="9" borderId="34" xfId="56" applyFont="1" applyFill="1" applyBorder="1" applyAlignment="1">
      <alignment horizontal="justify" vertical="center"/>
    </xf>
    <xf numFmtId="42" fontId="5" fillId="9" borderId="34" xfId="56" applyFont="1" applyFill="1" applyBorder="1" applyAlignment="1">
      <alignment horizontal="justify" vertical="center"/>
    </xf>
    <xf numFmtId="1" fontId="2" fillId="9" borderId="34" xfId="0" applyNumberFormat="1" applyFont="1" applyFill="1" applyBorder="1" applyAlignment="1">
      <alignment horizontal="center" vertical="center"/>
    </xf>
    <xf numFmtId="42" fontId="2" fillId="9" borderId="34" xfId="0" applyNumberFormat="1" applyFont="1" applyFill="1" applyBorder="1" applyAlignment="1">
      <alignment horizontal="justify" vertical="center"/>
    </xf>
    <xf numFmtId="42" fontId="7" fillId="9" borderId="34" xfId="0" applyNumberFormat="1" applyFont="1" applyFill="1" applyBorder="1" applyAlignment="1">
      <alignment horizontal="justify" vertical="center"/>
    </xf>
    <xf numFmtId="0" fontId="7" fillId="9" borderId="34" xfId="0" applyFont="1" applyFill="1" applyBorder="1" applyAlignment="1">
      <alignment horizontal="justify" vertical="center"/>
    </xf>
    <xf numFmtId="1" fontId="7" fillId="9" borderId="34" xfId="0" applyNumberFormat="1" applyFont="1" applyFill="1" applyBorder="1" applyAlignment="1">
      <alignment horizontal="justify" vertical="center"/>
    </xf>
    <xf numFmtId="9" fontId="2" fillId="9" borderId="34" xfId="66" applyFont="1" applyFill="1" applyBorder="1" applyAlignment="1">
      <alignment horizontal="justify" vertical="center"/>
    </xf>
    <xf numFmtId="175" fontId="5" fillId="10" borderId="17" xfId="54" applyNumberFormat="1" applyFont="1" applyFill="1" applyBorder="1" applyAlignment="1">
      <alignment horizontal="justify" vertical="center"/>
    </xf>
    <xf numFmtId="10" fontId="1" fillId="4" borderId="17" xfId="66" applyNumberFormat="1" applyFont="1" applyFill="1" applyBorder="1" applyAlignment="1">
      <alignment horizontal="center" vertical="center" wrapText="1"/>
    </xf>
    <xf numFmtId="0" fontId="1" fillId="4" borderId="16" xfId="0" applyFont="1" applyFill="1" applyBorder="1" applyAlignment="1">
      <alignment horizontal="justify" vertical="center" wrapText="1"/>
    </xf>
    <xf numFmtId="0" fontId="1" fillId="4" borderId="10" xfId="0" applyFont="1" applyFill="1" applyBorder="1" applyAlignment="1" quotePrefix="1">
      <alignment horizontal="justify" vertical="center" wrapText="1"/>
    </xf>
    <xf numFmtId="169" fontId="1" fillId="4" borderId="10" xfId="0" applyNumberFormat="1" applyFont="1" applyFill="1" applyBorder="1" applyAlignment="1">
      <alignment horizontal="center" vertical="center" wrapText="1"/>
    </xf>
    <xf numFmtId="0" fontId="7" fillId="10" borderId="0" xfId="0" applyFont="1" applyFill="1" applyBorder="1" applyAlignment="1">
      <alignment horizontal="center" vertical="center"/>
    </xf>
    <xf numFmtId="3" fontId="2" fillId="9" borderId="14" xfId="0" applyNumberFormat="1" applyFont="1" applyFill="1" applyBorder="1" applyAlignment="1">
      <alignment horizontal="justify" vertical="center" wrapText="1"/>
    </xf>
    <xf numFmtId="0" fontId="2" fillId="10" borderId="14" xfId="0" applyFont="1" applyFill="1" applyBorder="1" applyAlignment="1">
      <alignment horizontal="justify" vertical="center" wrapText="1"/>
    </xf>
    <xf numFmtId="0" fontId="7" fillId="10" borderId="14" xfId="0" applyFont="1" applyFill="1" applyBorder="1" applyAlignment="1">
      <alignment horizontal="center" vertical="center"/>
    </xf>
    <xf numFmtId="0" fontId="7" fillId="10" borderId="14" xfId="0" applyFont="1" applyFill="1" applyBorder="1" applyAlignment="1">
      <alignment horizontal="justify" vertical="center"/>
    </xf>
    <xf numFmtId="1" fontId="2" fillId="10" borderId="14" xfId="0" applyNumberFormat="1" applyFont="1" applyFill="1" applyBorder="1" applyAlignment="1">
      <alignment horizontal="center" vertical="center"/>
    </xf>
    <xf numFmtId="1" fontId="7" fillId="10" borderId="14" xfId="0" applyNumberFormat="1" applyFont="1" applyFill="1" applyBorder="1" applyAlignment="1">
      <alignment horizontal="justify" vertical="center"/>
    </xf>
    <xf numFmtId="1" fontId="2" fillId="10" borderId="14" xfId="0" applyNumberFormat="1" applyFont="1" applyFill="1" applyBorder="1" applyAlignment="1">
      <alignment horizontal="justify" vertical="center"/>
    </xf>
    <xf numFmtId="9" fontId="2" fillId="10" borderId="14" xfId="66" applyFont="1" applyFill="1" applyBorder="1" applyAlignment="1">
      <alignment horizontal="justify" vertical="center"/>
    </xf>
    <xf numFmtId="42" fontId="1" fillId="4" borderId="37" xfId="56" applyFont="1" applyFill="1" applyBorder="1" applyAlignment="1">
      <alignment horizontal="center" vertical="center"/>
    </xf>
    <xf numFmtId="42" fontId="1" fillId="0" borderId="10" xfId="56" applyFont="1" applyFill="1" applyBorder="1" applyAlignment="1">
      <alignment vertical="center"/>
    </xf>
    <xf numFmtId="42" fontId="6" fillId="0" borderId="37" xfId="56" applyFont="1" applyFill="1" applyBorder="1" applyAlignment="1">
      <alignment vertical="center"/>
    </xf>
    <xf numFmtId="42" fontId="1" fillId="4" borderId="24" xfId="56" applyFont="1" applyFill="1" applyBorder="1" applyAlignment="1">
      <alignment horizontal="center" vertical="center"/>
    </xf>
    <xf numFmtId="0" fontId="1" fillId="4" borderId="12" xfId="0" applyFont="1" applyFill="1" applyBorder="1" applyAlignment="1" quotePrefix="1">
      <alignment horizontal="justify" vertical="center" wrapText="1"/>
    </xf>
    <xf numFmtId="42" fontId="1" fillId="4" borderId="10" xfId="56" applyFont="1" applyFill="1" applyBorder="1" applyAlignment="1">
      <alignment horizontal="center" vertical="center"/>
    </xf>
    <xf numFmtId="0" fontId="1" fillId="4" borderId="37" xfId="0" applyFont="1" applyFill="1" applyBorder="1" applyAlignment="1" quotePrefix="1">
      <alignment horizontal="justify" vertical="center" wrapText="1"/>
    </xf>
    <xf numFmtId="42" fontId="1" fillId="4" borderId="12" xfId="56" applyFont="1" applyFill="1" applyBorder="1" applyAlignment="1">
      <alignment horizontal="center" vertical="center"/>
    </xf>
    <xf numFmtId="42" fontId="6" fillId="0" borderId="10" xfId="56" applyFont="1" applyFill="1" applyBorder="1" applyAlignment="1">
      <alignment vertical="center"/>
    </xf>
    <xf numFmtId="42" fontId="1" fillId="0" borderId="10" xfId="56" applyFont="1" applyFill="1" applyBorder="1" applyAlignment="1">
      <alignment horizontal="center" vertical="center"/>
    </xf>
    <xf numFmtId="42" fontId="1" fillId="0" borderId="34" xfId="56" applyFont="1" applyFill="1" applyBorder="1" applyAlignment="1">
      <alignment horizontal="center" vertical="center"/>
    </xf>
    <xf numFmtId="42" fontId="6" fillId="0" borderId="10" xfId="56" applyFont="1" applyFill="1" applyBorder="1" applyAlignment="1">
      <alignment horizontal="center" vertical="center"/>
    </xf>
    <xf numFmtId="1" fontId="1" fillId="0" borderId="10" xfId="0" applyNumberFormat="1" applyFont="1" applyFill="1" applyBorder="1" applyAlignment="1" quotePrefix="1">
      <alignment horizontal="center" vertical="center" wrapText="1"/>
    </xf>
    <xf numFmtId="3" fontId="1" fillId="4" borderId="10" xfId="0" applyNumberFormat="1" applyFont="1" applyFill="1" applyBorder="1" applyAlignment="1">
      <alignment vertical="center" wrapText="1"/>
    </xf>
    <xf numFmtId="0" fontId="2" fillId="10" borderId="0" xfId="0" applyFont="1" applyFill="1" applyBorder="1" applyAlignment="1">
      <alignment horizontal="justify" vertical="center" wrapText="1"/>
    </xf>
    <xf numFmtId="0" fontId="2" fillId="10" borderId="34" xfId="0" applyFont="1" applyFill="1" applyBorder="1" applyAlignment="1">
      <alignment vertical="center"/>
    </xf>
    <xf numFmtId="0" fontId="2" fillId="10" borderId="34" xfId="0" applyFont="1" applyFill="1" applyBorder="1" applyAlignment="1">
      <alignment horizontal="justify" vertical="center"/>
    </xf>
    <xf numFmtId="0" fontId="2" fillId="10" borderId="34" xfId="0" applyFont="1" applyFill="1" applyBorder="1" applyAlignment="1">
      <alignment horizontal="center" vertical="center"/>
    </xf>
    <xf numFmtId="0" fontId="7" fillId="10" borderId="34" xfId="0" applyFont="1" applyFill="1" applyBorder="1" applyAlignment="1">
      <alignment horizontal="center" vertical="center"/>
    </xf>
    <xf numFmtId="175" fontId="5" fillId="10" borderId="34" xfId="54" applyNumberFormat="1" applyFont="1" applyFill="1" applyBorder="1" applyAlignment="1">
      <alignment horizontal="justify" vertical="center"/>
    </xf>
    <xf numFmtId="0" fontId="7" fillId="10" borderId="34" xfId="0" applyFont="1" applyFill="1" applyBorder="1" applyAlignment="1">
      <alignment horizontal="justify" vertical="center"/>
    </xf>
    <xf numFmtId="1" fontId="2" fillId="10" borderId="34" xfId="0" applyNumberFormat="1" applyFont="1" applyFill="1" applyBorder="1" applyAlignment="1">
      <alignment horizontal="center" vertical="center"/>
    </xf>
    <xf numFmtId="0" fontId="2" fillId="4" borderId="42" xfId="0" applyFont="1" applyFill="1" applyBorder="1" applyAlignment="1">
      <alignment vertical="center" wrapText="1"/>
    </xf>
    <xf numFmtId="0" fontId="2" fillId="4" borderId="26" xfId="0" applyFont="1" applyFill="1" applyBorder="1" applyAlignment="1">
      <alignment vertical="center" wrapText="1"/>
    </xf>
    <xf numFmtId="42" fontId="6" fillId="4" borderId="37" xfId="56" applyFont="1" applyFill="1" applyBorder="1" applyAlignment="1">
      <alignment horizontal="justify" vertical="center" wrapText="1"/>
    </xf>
    <xf numFmtId="42" fontId="6" fillId="0" borderId="37" xfId="56" applyFont="1" applyFill="1" applyBorder="1" applyAlignment="1">
      <alignment horizontal="justify" vertical="center" wrapText="1"/>
    </xf>
    <xf numFmtId="42" fontId="1" fillId="0" borderId="10" xfId="56" applyFont="1" applyFill="1" applyBorder="1" applyAlignment="1">
      <alignment horizontal="center" vertical="center" wrapText="1"/>
    </xf>
    <xf numFmtId="42" fontId="6" fillId="0" borderId="10" xfId="56" applyFont="1" applyFill="1" applyBorder="1" applyAlignment="1">
      <alignment horizontal="center" vertical="center" wrapText="1"/>
    </xf>
    <xf numFmtId="42" fontId="7" fillId="9" borderId="17" xfId="0" applyNumberFormat="1" applyFont="1" applyFill="1" applyBorder="1" applyAlignment="1">
      <alignment horizontal="justify" vertical="center"/>
    </xf>
    <xf numFmtId="42" fontId="1" fillId="0" borderId="10" xfId="56" applyFont="1" applyFill="1" applyBorder="1" applyAlignment="1">
      <alignment horizontal="justify" vertical="center"/>
    </xf>
    <xf numFmtId="42" fontId="6" fillId="0" borderId="10" xfId="56" applyFont="1" applyFill="1" applyBorder="1" applyAlignment="1">
      <alignment horizontal="justify" vertical="center"/>
    </xf>
    <xf numFmtId="0" fontId="6" fillId="0" borderId="0" xfId="0" applyFont="1" applyAlignment="1">
      <alignment/>
    </xf>
    <xf numFmtId="9" fontId="1" fillId="0" borderId="0" xfId="66" applyFont="1" applyAlignment="1">
      <alignment/>
    </xf>
    <xf numFmtId="0" fontId="6" fillId="0" borderId="0" xfId="0" applyFont="1" applyFill="1" applyBorder="1" applyAlignment="1">
      <alignment/>
    </xf>
    <xf numFmtId="1" fontId="1" fillId="0" borderId="0" xfId="0" applyNumberFormat="1" applyFont="1" applyAlignment="1">
      <alignment/>
    </xf>
    <xf numFmtId="167" fontId="1" fillId="0" borderId="0" xfId="60" applyFont="1" applyFill="1" applyProtection="1">
      <alignment/>
      <protection locked="0"/>
    </xf>
    <xf numFmtId="167" fontId="1" fillId="0" borderId="0" xfId="60" applyFont="1" applyProtection="1">
      <alignment/>
      <protection locked="0"/>
    </xf>
    <xf numFmtId="167" fontId="2" fillId="0" borderId="0" xfId="60" applyFont="1" applyFill="1" applyProtection="1">
      <alignment/>
      <protection locked="0"/>
    </xf>
    <xf numFmtId="167" fontId="2" fillId="0" borderId="0" xfId="60" applyFont="1" applyProtection="1">
      <alignment/>
      <protection locked="0"/>
    </xf>
    <xf numFmtId="167" fontId="2" fillId="9" borderId="10" xfId="60" applyFont="1" applyFill="1" applyBorder="1" applyAlignment="1" applyProtection="1">
      <alignment horizontal="center" vertical="center" wrapText="1"/>
      <protection locked="0"/>
    </xf>
    <xf numFmtId="167" fontId="7" fillId="9" borderId="10" xfId="60" applyFont="1" applyFill="1" applyBorder="1" applyAlignment="1" applyProtection="1">
      <alignment horizontal="center" vertical="center" wrapText="1"/>
      <protection locked="0"/>
    </xf>
    <xf numFmtId="169" fontId="2" fillId="9" borderId="10" xfId="60" applyNumberFormat="1" applyFont="1" applyFill="1" applyBorder="1" applyAlignment="1" applyProtection="1">
      <alignment horizontal="center" vertical="center" wrapText="1"/>
      <protection locked="0"/>
    </xf>
    <xf numFmtId="169" fontId="7" fillId="9" borderId="10" xfId="60" applyNumberFormat="1" applyFont="1" applyFill="1" applyBorder="1" applyAlignment="1" applyProtection="1">
      <alignment horizontal="center" vertical="center" wrapText="1"/>
      <protection locked="0"/>
    </xf>
    <xf numFmtId="167" fontId="2" fillId="10" borderId="42" xfId="60" applyFont="1" applyFill="1" applyBorder="1" applyAlignment="1" applyProtection="1">
      <alignment horizontal="left" vertical="center"/>
      <protection locked="0"/>
    </xf>
    <xf numFmtId="167" fontId="2" fillId="10" borderId="14" xfId="60" applyFont="1" applyFill="1" applyBorder="1" applyAlignment="1" applyProtection="1">
      <alignment horizontal="left" vertical="center"/>
      <protection locked="0"/>
    </xf>
    <xf numFmtId="167" fontId="1" fillId="10" borderId="14" xfId="60" applyFont="1" applyFill="1" applyBorder="1" applyAlignment="1" applyProtection="1">
      <alignment horizontal="left" vertical="center"/>
      <protection locked="0"/>
    </xf>
    <xf numFmtId="167" fontId="6" fillId="10" borderId="14" xfId="60" applyFont="1" applyFill="1" applyBorder="1" applyAlignment="1" applyProtection="1">
      <alignment horizontal="left" vertical="center"/>
      <protection locked="0"/>
    </xf>
    <xf numFmtId="172" fontId="1" fillId="10" borderId="14" xfId="47" applyNumberFormat="1" applyFont="1" applyFill="1" applyBorder="1" applyAlignment="1" applyProtection="1">
      <alignment horizontal="center" vertical="center"/>
      <protection locked="0"/>
    </xf>
    <xf numFmtId="167" fontId="1" fillId="10" borderId="14" xfId="60" applyFont="1" applyFill="1" applyBorder="1" applyAlignment="1" applyProtection="1">
      <alignment horizontal="center" vertical="center"/>
      <protection locked="0"/>
    </xf>
    <xf numFmtId="167" fontId="1" fillId="10" borderId="20" xfId="60" applyFont="1" applyFill="1" applyBorder="1" applyProtection="1">
      <alignment/>
      <protection locked="0"/>
    </xf>
    <xf numFmtId="167" fontId="2" fillId="10" borderId="26" xfId="60" applyFont="1" applyFill="1" applyBorder="1" applyAlignment="1" applyProtection="1">
      <alignment horizontal="left" vertical="center"/>
      <protection locked="0"/>
    </xf>
    <xf numFmtId="167" fontId="2" fillId="10" borderId="34" xfId="60" applyFont="1" applyFill="1" applyBorder="1" applyAlignment="1" applyProtection="1">
      <alignment horizontal="left" vertical="center"/>
      <protection locked="0"/>
    </xf>
    <xf numFmtId="167" fontId="1" fillId="10" borderId="34" xfId="60" applyFont="1" applyFill="1" applyBorder="1" applyAlignment="1" applyProtection="1">
      <alignment horizontal="left" vertical="center"/>
      <protection locked="0"/>
    </xf>
    <xf numFmtId="167" fontId="6" fillId="10" borderId="34" xfId="60" applyFont="1" applyFill="1" applyBorder="1" applyAlignment="1" applyProtection="1">
      <alignment horizontal="left" vertical="center"/>
      <protection locked="0"/>
    </xf>
    <xf numFmtId="172" fontId="1" fillId="10" borderId="34" xfId="47" applyNumberFormat="1" applyFont="1" applyFill="1" applyBorder="1" applyAlignment="1" applyProtection="1">
      <alignment horizontal="center" vertical="center"/>
      <protection locked="0"/>
    </xf>
    <xf numFmtId="167" fontId="1" fillId="10" borderId="34" xfId="60" applyFont="1" applyFill="1" applyBorder="1" applyAlignment="1" applyProtection="1">
      <alignment horizontal="center" vertical="center"/>
      <protection locked="0"/>
    </xf>
    <xf numFmtId="167" fontId="1" fillId="10" borderId="41" xfId="60" applyFont="1" applyFill="1" applyBorder="1" applyProtection="1">
      <alignment/>
      <protection locked="0"/>
    </xf>
    <xf numFmtId="167" fontId="1" fillId="4" borderId="0" xfId="60" applyFont="1" applyFill="1" applyProtection="1">
      <alignment/>
      <protection locked="0"/>
    </xf>
    <xf numFmtId="185" fontId="2" fillId="21" borderId="0" xfId="60" applyNumberFormat="1" applyFont="1" applyFill="1" applyBorder="1" applyAlignment="1" applyProtection="1">
      <alignment horizontal="center" vertical="center" wrapText="1"/>
      <protection locked="0"/>
    </xf>
    <xf numFmtId="167" fontId="2" fillId="21" borderId="25" xfId="60" applyFont="1" applyFill="1" applyBorder="1" applyAlignment="1" applyProtection="1">
      <alignment horizontal="left" vertical="center"/>
      <protection locked="0"/>
    </xf>
    <xf numFmtId="167" fontId="2" fillId="21" borderId="0" xfId="60" applyFont="1" applyFill="1" applyBorder="1" applyAlignment="1" applyProtection="1">
      <alignment horizontal="left" vertical="center"/>
      <protection locked="0"/>
    </xf>
    <xf numFmtId="167" fontId="7" fillId="21" borderId="0" xfId="60" applyFont="1" applyFill="1" applyBorder="1" applyAlignment="1" applyProtection="1">
      <alignment horizontal="left" vertical="center"/>
      <protection locked="0"/>
    </xf>
    <xf numFmtId="172" fontId="2" fillId="21" borderId="0" xfId="47" applyNumberFormat="1" applyFont="1" applyFill="1" applyBorder="1" applyAlignment="1" applyProtection="1">
      <alignment horizontal="center" vertical="center"/>
      <protection locked="0"/>
    </xf>
    <xf numFmtId="167" fontId="2" fillId="21" borderId="0" xfId="60" applyFont="1" applyFill="1" applyBorder="1" applyAlignment="1" applyProtection="1">
      <alignment horizontal="center" vertical="center"/>
      <protection locked="0"/>
    </xf>
    <xf numFmtId="167" fontId="1" fillId="21" borderId="44" xfId="60" applyFont="1" applyFill="1" applyBorder="1" applyProtection="1">
      <alignment/>
      <protection locked="0"/>
    </xf>
    <xf numFmtId="185" fontId="2" fillId="12" borderId="14" xfId="60" applyNumberFormat="1" applyFont="1" applyFill="1" applyBorder="1" applyAlignment="1" applyProtection="1">
      <alignment horizontal="center" vertical="center" wrapText="1"/>
      <protection locked="0"/>
    </xf>
    <xf numFmtId="167" fontId="2" fillId="12" borderId="42" xfId="60" applyFont="1" applyFill="1" applyBorder="1" applyAlignment="1" applyProtection="1">
      <alignment vertical="center"/>
      <protection locked="0"/>
    </xf>
    <xf numFmtId="167" fontId="2" fillId="12" borderId="14" xfId="60" applyFont="1" applyFill="1" applyBorder="1" applyAlignment="1" applyProtection="1">
      <alignment vertical="center"/>
      <protection locked="0"/>
    </xf>
    <xf numFmtId="167" fontId="7" fillId="12" borderId="14" xfId="60" applyFont="1" applyFill="1" applyBorder="1" applyAlignment="1" applyProtection="1">
      <alignment vertical="center"/>
      <protection locked="0"/>
    </xf>
    <xf numFmtId="172" fontId="2" fillId="12" borderId="14" xfId="47" applyNumberFormat="1" applyFont="1" applyFill="1" applyBorder="1" applyAlignment="1" applyProtection="1">
      <alignment horizontal="center" vertical="center"/>
      <protection locked="0"/>
    </xf>
    <xf numFmtId="167" fontId="2" fillId="12" borderId="14" xfId="60" applyFont="1" applyFill="1" applyBorder="1" applyAlignment="1" applyProtection="1">
      <alignment horizontal="center" vertical="center"/>
      <protection locked="0"/>
    </xf>
    <xf numFmtId="167" fontId="1" fillId="12" borderId="20" xfId="60" applyFont="1" applyFill="1" applyBorder="1" applyProtection="1">
      <alignment/>
      <protection locked="0"/>
    </xf>
    <xf numFmtId="0" fontId="1" fillId="4" borderId="24" xfId="60" applyNumberFormat="1" applyFont="1" applyFill="1" applyBorder="1" applyAlignment="1" applyProtection="1">
      <alignment horizontal="center" vertical="center" wrapText="1"/>
      <protection locked="0"/>
    </xf>
    <xf numFmtId="167" fontId="2" fillId="12" borderId="14" xfId="60" applyFont="1" applyFill="1" applyBorder="1" applyAlignment="1" applyProtection="1">
      <alignment vertical="center" wrapText="1"/>
      <protection locked="0"/>
    </xf>
    <xf numFmtId="167" fontId="7" fillId="12" borderId="14" xfId="60" applyFont="1" applyFill="1" applyBorder="1" applyAlignment="1" applyProtection="1">
      <alignment vertical="center" wrapText="1"/>
      <protection locked="0"/>
    </xf>
    <xf numFmtId="172" fontId="2" fillId="12" borderId="14" xfId="47" applyNumberFormat="1" applyFont="1" applyFill="1" applyBorder="1" applyAlignment="1" applyProtection="1">
      <alignment horizontal="center" vertical="center" wrapText="1"/>
      <protection locked="0"/>
    </xf>
    <xf numFmtId="167" fontId="2" fillId="12" borderId="14" xfId="60" applyFont="1" applyFill="1" applyBorder="1" applyAlignment="1" applyProtection="1">
      <alignment horizontal="center" vertical="center" wrapText="1"/>
      <protection locked="0"/>
    </xf>
    <xf numFmtId="167" fontId="2" fillId="12" borderId="26" xfId="60" applyFont="1" applyFill="1" applyBorder="1" applyAlignment="1" applyProtection="1">
      <alignment vertical="center" wrapText="1"/>
      <protection locked="0"/>
    </xf>
    <xf numFmtId="167" fontId="2" fillId="12" borderId="34" xfId="60" applyFont="1" applyFill="1" applyBorder="1" applyAlignment="1" applyProtection="1">
      <alignment vertical="center" wrapText="1"/>
      <protection locked="0"/>
    </xf>
    <xf numFmtId="167" fontId="7" fillId="12" borderId="34" xfId="60" applyFont="1" applyFill="1" applyBorder="1" applyAlignment="1" applyProtection="1">
      <alignment vertical="center" wrapText="1"/>
      <protection locked="0"/>
    </xf>
    <xf numFmtId="172" fontId="2" fillId="12" borderId="34" xfId="47" applyNumberFormat="1" applyFont="1" applyFill="1" applyBorder="1" applyAlignment="1" applyProtection="1">
      <alignment horizontal="center" vertical="center" wrapText="1"/>
      <protection locked="0"/>
    </xf>
    <xf numFmtId="167" fontId="2" fillId="12" borderId="34" xfId="60" applyFont="1" applyFill="1" applyBorder="1" applyAlignment="1" applyProtection="1">
      <alignment horizontal="center" vertical="center" wrapText="1"/>
      <protection locked="0"/>
    </xf>
    <xf numFmtId="185" fontId="1" fillId="0" borderId="12" xfId="60" applyNumberFormat="1" applyFont="1" applyFill="1" applyBorder="1" applyAlignment="1" applyProtection="1">
      <alignment horizontal="center" vertical="center"/>
      <protection locked="0"/>
    </xf>
    <xf numFmtId="167" fontId="1" fillId="0" borderId="12" xfId="60" applyFont="1" applyFill="1" applyBorder="1" applyAlignment="1" applyProtection="1">
      <alignment vertical="center" wrapText="1"/>
      <protection locked="0"/>
    </xf>
    <xf numFmtId="1" fontId="1" fillId="4" borderId="12" xfId="60" applyNumberFormat="1" applyFont="1" applyFill="1" applyBorder="1" applyAlignment="1" applyProtection="1">
      <alignment horizontal="center" vertical="center"/>
      <protection locked="0"/>
    </xf>
    <xf numFmtId="1" fontId="6" fillId="4" borderId="10" xfId="60" applyNumberFormat="1" applyFont="1" applyFill="1" applyBorder="1" applyAlignment="1" applyProtection="1">
      <alignment horizontal="center" vertical="center"/>
      <protection locked="0"/>
    </xf>
    <xf numFmtId="9" fontId="1" fillId="4" borderId="12" xfId="66" applyFont="1" applyFill="1" applyBorder="1" applyAlignment="1" applyProtection="1">
      <alignment horizontal="center" vertical="center"/>
      <protection locked="0"/>
    </xf>
    <xf numFmtId="167" fontId="4" fillId="0" borderId="10" xfId="60" applyFont="1" applyFill="1" applyBorder="1" applyAlignment="1" applyProtection="1">
      <alignment horizontal="justify" vertical="center" wrapText="1"/>
      <protection locked="0"/>
    </xf>
    <xf numFmtId="170" fontId="1" fillId="0" borderId="12" xfId="60" applyNumberFormat="1" applyFont="1" applyFill="1" applyBorder="1" applyAlignment="1" applyProtection="1">
      <alignment horizontal="center" vertical="center"/>
      <protection locked="0"/>
    </xf>
    <xf numFmtId="185" fontId="1" fillId="0" borderId="10" xfId="60" applyNumberFormat="1" applyFont="1" applyBorder="1" applyAlignment="1" applyProtection="1">
      <alignment vertical="center"/>
      <protection locked="0"/>
    </xf>
    <xf numFmtId="172" fontId="1" fillId="0" borderId="10" xfId="47" applyNumberFormat="1" applyFont="1" applyBorder="1" applyAlignment="1" applyProtection="1">
      <alignment vertical="center"/>
      <protection locked="0"/>
    </xf>
    <xf numFmtId="185" fontId="1" fillId="0" borderId="10" xfId="60" applyNumberFormat="1" applyFont="1" applyBorder="1" applyAlignment="1" applyProtection="1">
      <alignment horizontal="right" vertical="center"/>
      <protection locked="0"/>
    </xf>
    <xf numFmtId="185" fontId="1" fillId="0" borderId="10" xfId="60" applyNumberFormat="1" applyFont="1" applyBorder="1" applyAlignment="1" applyProtection="1">
      <alignment horizontal="center" vertical="center"/>
      <protection locked="0"/>
    </xf>
    <xf numFmtId="185" fontId="1" fillId="0" borderId="10" xfId="60" applyNumberFormat="1" applyFont="1" applyBorder="1" applyAlignment="1" applyProtection="1">
      <alignment vertical="center" wrapText="1"/>
      <protection locked="0"/>
    </xf>
    <xf numFmtId="14" fontId="1" fillId="0" borderId="10" xfId="60" applyNumberFormat="1" applyFont="1" applyBorder="1" applyAlignment="1" applyProtection="1">
      <alignment horizontal="center" vertical="center"/>
      <protection locked="0"/>
    </xf>
    <xf numFmtId="14" fontId="6" fillId="0" borderId="10" xfId="60" applyNumberFormat="1" applyFont="1" applyBorder="1" applyAlignment="1" applyProtection="1">
      <alignment horizontal="center" vertical="center"/>
      <protection locked="0"/>
    </xf>
    <xf numFmtId="185" fontId="1" fillId="0" borderId="37" xfId="60" applyNumberFormat="1" applyFont="1" applyBorder="1" applyAlignment="1" applyProtection="1">
      <alignment horizontal="center" vertical="center" wrapText="1"/>
      <protection locked="0"/>
    </xf>
    <xf numFmtId="172" fontId="1" fillId="0" borderId="37" xfId="47" applyNumberFormat="1" applyFont="1" applyBorder="1" applyAlignment="1" applyProtection="1">
      <alignment vertical="center"/>
      <protection locked="0"/>
    </xf>
    <xf numFmtId="185" fontId="1" fillId="0" borderId="37" xfId="60" applyNumberFormat="1" applyFont="1" applyBorder="1" applyAlignment="1" applyProtection="1">
      <alignment horizontal="right" vertical="center"/>
      <protection locked="0"/>
    </xf>
    <xf numFmtId="185" fontId="1" fillId="0" borderId="37" xfId="60" applyNumberFormat="1" applyFont="1" applyBorder="1" applyAlignment="1" applyProtection="1">
      <alignment horizontal="center" vertical="center"/>
      <protection locked="0"/>
    </xf>
    <xf numFmtId="185" fontId="1" fillId="0" borderId="37" xfId="60" applyNumberFormat="1" applyFont="1" applyBorder="1" applyAlignment="1" applyProtection="1">
      <alignment vertical="center"/>
      <protection locked="0"/>
    </xf>
    <xf numFmtId="185" fontId="1" fillId="0" borderId="37" xfId="60" applyNumberFormat="1" applyFont="1" applyBorder="1" applyAlignment="1" applyProtection="1">
      <alignment vertical="center" wrapText="1"/>
      <protection locked="0"/>
    </xf>
    <xf numFmtId="14" fontId="1" fillId="0" borderId="37" xfId="60" applyNumberFormat="1" applyFont="1" applyBorder="1" applyAlignment="1" applyProtection="1">
      <alignment horizontal="center" vertical="center"/>
      <protection locked="0"/>
    </xf>
    <xf numFmtId="14" fontId="6" fillId="0" borderId="37" xfId="60" applyNumberFormat="1" applyFont="1" applyBorder="1" applyAlignment="1" applyProtection="1">
      <alignment horizontal="center" vertical="center"/>
      <protection locked="0"/>
    </xf>
    <xf numFmtId="185" fontId="1" fillId="0" borderId="24" xfId="60" applyNumberFormat="1" applyFont="1" applyBorder="1" applyAlignment="1" applyProtection="1">
      <alignment vertical="center"/>
      <protection locked="0"/>
    </xf>
    <xf numFmtId="172" fontId="1" fillId="0" borderId="24" xfId="47" applyNumberFormat="1" applyFont="1" applyBorder="1" applyAlignment="1" applyProtection="1">
      <alignment horizontal="center" vertical="center"/>
      <protection locked="0"/>
    </xf>
    <xf numFmtId="185" fontId="1" fillId="0" borderId="24" xfId="60" applyNumberFormat="1" applyFont="1" applyBorder="1" applyAlignment="1" applyProtection="1">
      <alignment horizontal="right" vertical="center"/>
      <protection locked="0"/>
    </xf>
    <xf numFmtId="185" fontId="1" fillId="0" borderId="24" xfId="60" applyNumberFormat="1" applyFont="1" applyBorder="1" applyAlignment="1" applyProtection="1">
      <alignment horizontal="center" vertical="center"/>
      <protection locked="0"/>
    </xf>
    <xf numFmtId="185" fontId="1" fillId="0" borderId="24" xfId="60" applyNumberFormat="1" applyFont="1" applyBorder="1" applyAlignment="1" applyProtection="1">
      <alignment horizontal="left" vertical="center" wrapText="1"/>
      <protection locked="0"/>
    </xf>
    <xf numFmtId="14" fontId="1" fillId="0" borderId="24" xfId="60" applyNumberFormat="1" applyFont="1" applyBorder="1" applyAlignment="1" applyProtection="1">
      <alignment horizontal="center" vertical="center"/>
      <protection locked="0"/>
    </xf>
    <xf numFmtId="14" fontId="6" fillId="0" borderId="24" xfId="60" applyNumberFormat="1" applyFont="1" applyBorder="1" applyAlignment="1" applyProtection="1">
      <alignment horizontal="center" vertical="center"/>
      <protection locked="0"/>
    </xf>
    <xf numFmtId="167" fontId="2" fillId="12" borderId="42" xfId="60" applyFont="1" applyFill="1" applyBorder="1" applyAlignment="1" applyProtection="1">
      <alignment horizontal="left" vertical="center"/>
      <protection locked="0"/>
    </xf>
    <xf numFmtId="167" fontId="2" fillId="12" borderId="14" xfId="60" applyFont="1" applyFill="1" applyBorder="1" applyAlignment="1" applyProtection="1">
      <alignment horizontal="left" vertical="center"/>
      <protection locked="0"/>
    </xf>
    <xf numFmtId="167" fontId="7" fillId="12" borderId="14" xfId="60" applyFont="1" applyFill="1" applyBorder="1" applyAlignment="1" applyProtection="1">
      <alignment horizontal="left" vertical="center"/>
      <protection locked="0"/>
    </xf>
    <xf numFmtId="167" fontId="2" fillId="12" borderId="25" xfId="60" applyFont="1" applyFill="1" applyBorder="1" applyAlignment="1" applyProtection="1">
      <alignment horizontal="left" vertical="center"/>
      <protection locked="0"/>
    </xf>
    <xf numFmtId="167" fontId="2" fillId="12" borderId="0" xfId="60" applyFont="1" applyFill="1" applyBorder="1" applyAlignment="1" applyProtection="1">
      <alignment horizontal="left" vertical="center"/>
      <protection locked="0"/>
    </xf>
    <xf numFmtId="167" fontId="2" fillId="12" borderId="34" xfId="60" applyFont="1" applyFill="1" applyBorder="1" applyAlignment="1" applyProtection="1">
      <alignment horizontal="left" vertical="center"/>
      <protection locked="0"/>
    </xf>
    <xf numFmtId="167" fontId="7" fillId="12" borderId="34" xfId="60" applyFont="1" applyFill="1" applyBorder="1" applyAlignment="1" applyProtection="1">
      <alignment horizontal="left" vertical="center"/>
      <protection locked="0"/>
    </xf>
    <xf numFmtId="172" fontId="2" fillId="12" borderId="0" xfId="47" applyNumberFormat="1" applyFont="1" applyFill="1" applyBorder="1" applyAlignment="1" applyProtection="1">
      <alignment horizontal="center" vertical="center"/>
      <protection locked="0"/>
    </xf>
    <xf numFmtId="167" fontId="2" fillId="12" borderId="0" xfId="60" applyFont="1" applyFill="1" applyBorder="1" applyAlignment="1" applyProtection="1">
      <alignment horizontal="center" vertical="center"/>
      <protection locked="0"/>
    </xf>
    <xf numFmtId="167" fontId="7" fillId="12" borderId="0" xfId="60" applyFont="1" applyFill="1" applyBorder="1" applyAlignment="1" applyProtection="1">
      <alignment horizontal="left" vertical="center"/>
      <protection locked="0"/>
    </xf>
    <xf numFmtId="185" fontId="2" fillId="0" borderId="42" xfId="60" applyNumberFormat="1" applyFont="1" applyFill="1" applyBorder="1" applyAlignment="1" applyProtection="1">
      <alignment horizontal="center" vertical="center" wrapText="1"/>
      <protection locked="0"/>
    </xf>
    <xf numFmtId="167" fontId="2" fillId="0" borderId="14" xfId="60" applyFont="1" applyFill="1" applyBorder="1" applyAlignment="1" applyProtection="1">
      <alignment horizontal="left" vertical="center"/>
      <protection locked="0"/>
    </xf>
    <xf numFmtId="167" fontId="2" fillId="0" borderId="19" xfId="60" applyFont="1" applyFill="1" applyBorder="1" applyAlignment="1" applyProtection="1">
      <alignment horizontal="left" vertical="center"/>
      <protection locked="0"/>
    </xf>
    <xf numFmtId="167" fontId="1" fillId="0" borderId="10" xfId="60" applyFont="1" applyFill="1" applyBorder="1" applyAlignment="1" applyProtection="1">
      <alignment horizontal="justify" vertical="center" wrapText="1"/>
      <protection locked="0"/>
    </xf>
    <xf numFmtId="167" fontId="4" fillId="0" borderId="10" xfId="60" applyFont="1" applyFill="1" applyBorder="1" applyAlignment="1" applyProtection="1">
      <alignment vertical="center" wrapText="1"/>
      <protection locked="0"/>
    </xf>
    <xf numFmtId="185" fontId="1" fillId="4" borderId="42" xfId="60" applyNumberFormat="1" applyFont="1" applyFill="1" applyBorder="1" applyAlignment="1" applyProtection="1">
      <alignment vertical="center"/>
      <protection locked="0"/>
    </xf>
    <xf numFmtId="172" fontId="1" fillId="4" borderId="37" xfId="47" applyNumberFormat="1" applyFont="1" applyFill="1" applyBorder="1" applyAlignment="1" applyProtection="1">
      <alignment horizontal="center" vertical="center"/>
      <protection locked="0"/>
    </xf>
    <xf numFmtId="185" fontId="1" fillId="4" borderId="37" xfId="60" applyNumberFormat="1" applyFont="1" applyFill="1" applyBorder="1" applyAlignment="1" applyProtection="1">
      <alignment vertical="center"/>
      <protection locked="0"/>
    </xf>
    <xf numFmtId="167" fontId="1" fillId="0" borderId="0" xfId="60" applyFont="1" applyFill="1" applyBorder="1" applyProtection="1">
      <alignment/>
      <protection locked="0"/>
    </xf>
    <xf numFmtId="167" fontId="1" fillId="0" borderId="10" xfId="60" applyFont="1" applyFill="1" applyBorder="1" applyProtection="1">
      <alignment/>
      <protection locked="0"/>
    </xf>
    <xf numFmtId="185" fontId="2" fillId="0" borderId="25" xfId="60" applyNumberFormat="1" applyFont="1" applyFill="1" applyBorder="1" applyAlignment="1" applyProtection="1">
      <alignment horizontal="center" vertical="center" wrapText="1"/>
      <protection locked="0"/>
    </xf>
    <xf numFmtId="167" fontId="2" fillId="0" borderId="0" xfId="60" applyFont="1" applyFill="1" applyBorder="1" applyAlignment="1" applyProtection="1">
      <alignment horizontal="left" vertical="center"/>
      <protection locked="0"/>
    </xf>
    <xf numFmtId="167" fontId="2" fillId="0" borderId="38" xfId="60" applyFont="1" applyFill="1" applyBorder="1" applyAlignment="1" applyProtection="1">
      <alignment horizontal="left" vertical="center"/>
      <protection locked="0"/>
    </xf>
    <xf numFmtId="167" fontId="1" fillId="0" borderId="37" xfId="60" applyFont="1" applyFill="1" applyBorder="1" applyAlignment="1" applyProtection="1">
      <alignment horizontal="justify" vertical="center" wrapText="1"/>
      <protection locked="0"/>
    </xf>
    <xf numFmtId="185" fontId="1" fillId="4" borderId="25" xfId="60" applyNumberFormat="1" applyFont="1" applyFill="1" applyBorder="1" applyAlignment="1" applyProtection="1">
      <alignment vertical="center"/>
      <protection locked="0"/>
    </xf>
    <xf numFmtId="172" fontId="1" fillId="4" borderId="24" xfId="47" applyNumberFormat="1" applyFont="1" applyFill="1" applyBorder="1" applyAlignment="1" applyProtection="1">
      <alignment horizontal="center" vertical="center"/>
      <protection locked="0"/>
    </xf>
    <xf numFmtId="185" fontId="1" fillId="4" borderId="24" xfId="60" applyNumberFormat="1" applyFont="1" applyFill="1" applyBorder="1" applyAlignment="1" applyProtection="1">
      <alignment vertical="center"/>
      <protection locked="0"/>
    </xf>
    <xf numFmtId="167" fontId="1" fillId="0" borderId="37" xfId="60" applyFont="1" applyFill="1" applyBorder="1" applyAlignment="1" applyProtection="1">
      <alignment horizontal="left" vertical="center" wrapText="1"/>
      <protection locked="0"/>
    </xf>
    <xf numFmtId="167" fontId="1" fillId="4" borderId="25" xfId="60" applyFont="1" applyFill="1" applyBorder="1" applyProtection="1">
      <alignment/>
      <protection locked="0"/>
    </xf>
    <xf numFmtId="172" fontId="1" fillId="4" borderId="24" xfId="47" applyNumberFormat="1" applyFont="1" applyFill="1" applyBorder="1" applyAlignment="1" applyProtection="1">
      <alignment horizontal="center"/>
      <protection locked="0"/>
    </xf>
    <xf numFmtId="167" fontId="1" fillId="4" borderId="24" xfId="60" applyFont="1" applyFill="1" applyBorder="1" applyProtection="1">
      <alignment/>
      <protection locked="0"/>
    </xf>
    <xf numFmtId="167" fontId="1" fillId="4" borderId="26" xfId="60" applyFont="1" applyFill="1" applyBorder="1" applyProtection="1">
      <alignment/>
      <protection locked="0"/>
    </xf>
    <xf numFmtId="172" fontId="1" fillId="4" borderId="12" xfId="47" applyNumberFormat="1" applyFont="1" applyFill="1" applyBorder="1" applyAlignment="1" applyProtection="1">
      <alignment horizontal="center"/>
      <protection locked="0"/>
    </xf>
    <xf numFmtId="167" fontId="1" fillId="4" borderId="12" xfId="60" applyFont="1" applyFill="1" applyBorder="1" applyProtection="1">
      <alignment/>
      <protection locked="0"/>
    </xf>
    <xf numFmtId="167" fontId="1" fillId="0" borderId="19" xfId="60" applyFont="1" applyFill="1" applyBorder="1" applyProtection="1">
      <alignment/>
      <protection locked="0"/>
    </xf>
    <xf numFmtId="167" fontId="1" fillId="0" borderId="37" xfId="60" applyFont="1" applyFill="1" applyBorder="1" applyProtection="1">
      <alignment/>
      <protection locked="0"/>
    </xf>
    <xf numFmtId="167" fontId="1" fillId="0" borderId="16" xfId="60" applyFont="1" applyFill="1" applyBorder="1" applyProtection="1">
      <alignment/>
      <protection locked="0"/>
    </xf>
    <xf numFmtId="185" fontId="1" fillId="4" borderId="24" xfId="60" applyNumberFormat="1" applyFont="1" applyFill="1" applyBorder="1" applyAlignment="1" applyProtection="1">
      <alignment vertical="center" textRotation="180"/>
      <protection locked="0"/>
    </xf>
    <xf numFmtId="185" fontId="6" fillId="4" borderId="37" xfId="60" applyNumberFormat="1" applyFont="1" applyFill="1" applyBorder="1" applyAlignment="1" applyProtection="1">
      <alignment horizontal="center" vertical="center" textRotation="180"/>
      <protection locked="0"/>
    </xf>
    <xf numFmtId="185" fontId="1" fillId="4" borderId="10" xfId="60" applyNumberFormat="1" applyFont="1" applyFill="1" applyBorder="1" applyAlignment="1" applyProtection="1">
      <alignment vertical="center"/>
      <protection locked="0"/>
    </xf>
    <xf numFmtId="185" fontId="1" fillId="4" borderId="10" xfId="60" applyNumberFormat="1" applyFont="1" applyFill="1" applyBorder="1" applyAlignment="1" applyProtection="1">
      <alignment horizontal="center" vertical="center"/>
      <protection locked="0"/>
    </xf>
    <xf numFmtId="185" fontId="1" fillId="4" borderId="10" xfId="60" applyNumberFormat="1" applyFont="1" applyFill="1" applyBorder="1" applyAlignment="1" applyProtection="1">
      <alignment vertical="center" wrapText="1"/>
      <protection locked="0"/>
    </xf>
    <xf numFmtId="185" fontId="6" fillId="4" borderId="10" xfId="60" applyNumberFormat="1" applyFont="1" applyFill="1" applyBorder="1" applyAlignment="1" applyProtection="1">
      <alignment horizontal="center" vertical="center"/>
      <protection locked="0"/>
    </xf>
    <xf numFmtId="185" fontId="6" fillId="4" borderId="24" xfId="60" applyNumberFormat="1" applyFont="1" applyFill="1" applyBorder="1" applyAlignment="1" applyProtection="1">
      <alignment horizontal="center" vertical="center" textRotation="180"/>
      <protection locked="0"/>
    </xf>
    <xf numFmtId="185" fontId="1" fillId="4" borderId="10" xfId="60" applyNumberFormat="1" applyFont="1" applyFill="1" applyBorder="1" applyAlignment="1" applyProtection="1">
      <alignment horizontal="center" vertical="center" wrapText="1"/>
      <protection locked="0"/>
    </xf>
    <xf numFmtId="14" fontId="6" fillId="4" borderId="10" xfId="60" applyNumberFormat="1" applyFont="1" applyFill="1" applyBorder="1" applyAlignment="1" applyProtection="1">
      <alignment horizontal="center" vertical="center"/>
      <protection locked="0"/>
    </xf>
    <xf numFmtId="14" fontId="1" fillId="4" borderId="10" xfId="60" applyNumberFormat="1" applyFont="1" applyFill="1" applyBorder="1" applyAlignment="1" applyProtection="1">
      <alignment horizontal="center" vertical="center"/>
      <protection locked="0"/>
    </xf>
    <xf numFmtId="185" fontId="1" fillId="4" borderId="12" xfId="60" applyNumberFormat="1" applyFont="1" applyFill="1" applyBorder="1" applyAlignment="1" applyProtection="1">
      <alignment vertical="center" textRotation="180"/>
      <protection locked="0"/>
    </xf>
    <xf numFmtId="185" fontId="6" fillId="4" borderId="12" xfId="60" applyNumberFormat="1" applyFont="1" applyFill="1" applyBorder="1" applyAlignment="1" applyProtection="1">
      <alignment horizontal="center" vertical="center" textRotation="180"/>
      <protection locked="0"/>
    </xf>
    <xf numFmtId="167" fontId="2" fillId="21" borderId="42" xfId="60" applyFont="1" applyFill="1" applyBorder="1" applyAlignment="1" applyProtection="1">
      <alignment vertical="center"/>
      <protection locked="0"/>
    </xf>
    <xf numFmtId="167" fontId="2" fillId="21" borderId="14" xfId="60" applyFont="1" applyFill="1" applyBorder="1" applyAlignment="1" applyProtection="1">
      <alignment vertical="center"/>
      <protection locked="0"/>
    </xf>
    <xf numFmtId="167" fontId="7" fillId="21" borderId="14" xfId="60" applyFont="1" applyFill="1" applyBorder="1" applyAlignment="1" applyProtection="1">
      <alignment vertical="center"/>
      <protection locked="0"/>
    </xf>
    <xf numFmtId="167" fontId="2" fillId="21" borderId="0" xfId="60" applyFont="1" applyFill="1" applyBorder="1" applyAlignment="1" applyProtection="1">
      <alignment vertical="center"/>
      <protection locked="0"/>
    </xf>
    <xf numFmtId="167" fontId="7" fillId="21" borderId="0" xfId="60" applyFont="1" applyFill="1" applyBorder="1" applyAlignment="1" applyProtection="1">
      <alignment vertical="center"/>
      <protection locked="0"/>
    </xf>
    <xf numFmtId="167" fontId="2" fillId="21" borderId="25" xfId="60" applyFont="1" applyFill="1" applyBorder="1" applyAlignment="1" applyProtection="1">
      <alignment vertical="center"/>
      <protection locked="0"/>
    </xf>
    <xf numFmtId="167" fontId="2" fillId="21" borderId="34" xfId="60" applyFont="1" applyFill="1" applyBorder="1" applyAlignment="1" applyProtection="1">
      <alignment vertical="center"/>
      <protection locked="0"/>
    </xf>
    <xf numFmtId="167" fontId="7" fillId="21" borderId="34" xfId="60" applyFont="1" applyFill="1" applyBorder="1" applyAlignment="1" applyProtection="1">
      <alignment vertical="center"/>
      <protection locked="0"/>
    </xf>
    <xf numFmtId="172" fontId="2" fillId="21" borderId="34" xfId="47" applyNumberFormat="1" applyFont="1" applyFill="1" applyBorder="1" applyAlignment="1" applyProtection="1">
      <alignment horizontal="center" vertical="center"/>
      <protection locked="0"/>
    </xf>
    <xf numFmtId="167" fontId="2" fillId="21" borderId="34" xfId="60" applyFont="1" applyFill="1" applyBorder="1" applyAlignment="1" applyProtection="1">
      <alignment horizontal="center" vertical="center"/>
      <protection locked="0"/>
    </xf>
    <xf numFmtId="1" fontId="2" fillId="10" borderId="16" xfId="60" applyNumberFormat="1" applyFont="1" applyFill="1" applyBorder="1" applyAlignment="1" applyProtection="1">
      <alignment horizontal="center" vertical="center"/>
      <protection locked="0"/>
    </xf>
    <xf numFmtId="167" fontId="2" fillId="10" borderId="17" xfId="60" applyFont="1" applyFill="1" applyBorder="1" applyAlignment="1" applyProtection="1">
      <alignment vertical="center"/>
      <protection locked="0"/>
    </xf>
    <xf numFmtId="167" fontId="2" fillId="10" borderId="17" xfId="60" applyFont="1" applyFill="1" applyBorder="1" applyAlignment="1" applyProtection="1">
      <alignment vertical="center" wrapText="1"/>
      <protection locked="0"/>
    </xf>
    <xf numFmtId="167" fontId="7" fillId="10" borderId="17" xfId="60" applyFont="1" applyFill="1" applyBorder="1" applyAlignment="1" applyProtection="1">
      <alignment vertical="center" wrapText="1"/>
      <protection locked="0"/>
    </xf>
    <xf numFmtId="172" fontId="2" fillId="10" borderId="17" xfId="47" applyNumberFormat="1" applyFont="1" applyFill="1" applyBorder="1" applyAlignment="1" applyProtection="1">
      <alignment horizontal="center" vertical="center" wrapText="1"/>
      <protection locked="0"/>
    </xf>
    <xf numFmtId="167" fontId="2" fillId="10" borderId="17" xfId="60" applyFont="1" applyFill="1" applyBorder="1" applyAlignment="1" applyProtection="1">
      <alignment horizontal="center" vertical="center" wrapText="1"/>
      <protection locked="0"/>
    </xf>
    <xf numFmtId="167" fontId="1" fillId="10" borderId="29" xfId="60" applyFont="1" applyFill="1" applyBorder="1" applyAlignment="1" applyProtection="1">
      <alignment vertical="center" wrapText="1"/>
      <protection locked="0"/>
    </xf>
    <xf numFmtId="185" fontId="1" fillId="0" borderId="0" xfId="60" applyNumberFormat="1" applyFont="1" applyFill="1" applyBorder="1" applyAlignment="1" applyProtection="1">
      <alignment vertical="center" wrapText="1"/>
      <protection locked="0"/>
    </xf>
    <xf numFmtId="1" fontId="1" fillId="0" borderId="12" xfId="60" applyNumberFormat="1" applyFont="1" applyFill="1" applyBorder="1" applyAlignment="1" applyProtection="1">
      <alignment horizontal="center" vertical="center" wrapText="1"/>
      <protection locked="0"/>
    </xf>
    <xf numFmtId="167" fontId="1" fillId="0" borderId="12" xfId="60" applyFont="1" applyFill="1" applyBorder="1" applyAlignment="1" applyProtection="1">
      <alignment horizontal="justify" vertical="center" wrapText="1"/>
      <protection locked="0"/>
    </xf>
    <xf numFmtId="167" fontId="1" fillId="0" borderId="12" xfId="60" applyFont="1" applyFill="1" applyBorder="1" applyAlignment="1" applyProtection="1">
      <alignment horizontal="center" vertical="center" wrapText="1"/>
      <protection locked="0"/>
    </xf>
    <xf numFmtId="1" fontId="6" fillId="0" borderId="12" xfId="60" applyNumberFormat="1" applyFont="1" applyFill="1" applyBorder="1" applyAlignment="1" applyProtection="1">
      <alignment horizontal="center" vertical="center" wrapText="1"/>
      <protection locked="0"/>
    </xf>
    <xf numFmtId="167" fontId="1" fillId="0" borderId="12" xfId="60" applyFont="1" applyFill="1" applyBorder="1" applyAlignment="1" applyProtection="1">
      <alignment horizontal="left" vertical="center" wrapText="1"/>
      <protection locked="0"/>
    </xf>
    <xf numFmtId="0" fontId="1" fillId="0" borderId="12" xfId="60" applyNumberFormat="1" applyFont="1" applyFill="1" applyBorder="1" applyAlignment="1" applyProtection="1">
      <alignment horizontal="center" vertical="center" wrapText="1"/>
      <protection locked="0"/>
    </xf>
    <xf numFmtId="9" fontId="1" fillId="0" borderId="12" xfId="66" applyFont="1" applyFill="1" applyBorder="1" applyAlignment="1" applyProtection="1">
      <alignment horizontal="center" vertical="center" wrapText="1"/>
      <protection locked="0"/>
    </xf>
    <xf numFmtId="170" fontId="1" fillId="0" borderId="12" xfId="60" applyNumberFormat="1" applyFont="1" applyFill="1" applyBorder="1" applyAlignment="1" applyProtection="1">
      <alignment horizontal="center" vertical="center" wrapText="1"/>
      <protection locked="0"/>
    </xf>
    <xf numFmtId="170" fontId="6" fillId="0" borderId="12" xfId="60" applyNumberFormat="1" applyFont="1" applyFill="1" applyBorder="1" applyAlignment="1" applyProtection="1">
      <alignment horizontal="center" vertical="center" wrapText="1"/>
      <protection locked="0"/>
    </xf>
    <xf numFmtId="185" fontId="1" fillId="0" borderId="12" xfId="60" applyNumberFormat="1" applyFont="1" applyFill="1" applyBorder="1" applyAlignment="1" applyProtection="1">
      <alignment horizontal="center" vertical="center" textRotation="180"/>
      <protection locked="0"/>
    </xf>
    <xf numFmtId="185" fontId="6" fillId="0" borderId="12" xfId="60" applyNumberFormat="1" applyFont="1" applyFill="1" applyBorder="1" applyAlignment="1" applyProtection="1">
      <alignment horizontal="center" vertical="center" textRotation="180"/>
      <protection locked="0"/>
    </xf>
    <xf numFmtId="1" fontId="1" fillId="0" borderId="12" xfId="60" applyNumberFormat="1" applyFont="1" applyFill="1" applyBorder="1" applyAlignment="1" applyProtection="1">
      <alignment horizontal="left" vertical="center" wrapText="1"/>
      <protection locked="0"/>
    </xf>
    <xf numFmtId="1" fontId="6" fillId="0" borderId="12" xfId="60" applyNumberFormat="1" applyFont="1" applyFill="1" applyBorder="1" applyAlignment="1" applyProtection="1">
      <alignment horizontal="left" vertical="center" wrapText="1"/>
      <protection locked="0"/>
    </xf>
    <xf numFmtId="172" fontId="1" fillId="0" borderId="12" xfId="47" applyNumberFormat="1" applyFont="1" applyFill="1" applyBorder="1" applyAlignment="1" applyProtection="1">
      <alignment horizontal="center" vertical="center" wrapText="1"/>
      <protection locked="0"/>
    </xf>
    <xf numFmtId="14" fontId="1" fillId="0" borderId="24" xfId="60" applyNumberFormat="1" applyFont="1" applyFill="1" applyBorder="1" applyAlignment="1" applyProtection="1">
      <alignment horizontal="center" vertical="center" wrapText="1"/>
      <protection locked="0"/>
    </xf>
    <xf numFmtId="14" fontId="6" fillId="0" borderId="24" xfId="60" applyNumberFormat="1" applyFont="1" applyFill="1" applyBorder="1" applyAlignment="1" applyProtection="1">
      <alignment horizontal="center" vertical="center" wrapText="1"/>
      <protection locked="0"/>
    </xf>
    <xf numFmtId="14" fontId="6" fillId="0" borderId="25" xfId="60" applyNumberFormat="1" applyFont="1" applyFill="1" applyBorder="1" applyAlignment="1" applyProtection="1">
      <alignment horizontal="center" vertical="center" wrapText="1"/>
      <protection locked="0"/>
    </xf>
    <xf numFmtId="167" fontId="1" fillId="0" borderId="12" xfId="60" applyFont="1" applyFill="1" applyBorder="1" applyProtection="1">
      <alignment/>
      <protection locked="0"/>
    </xf>
    <xf numFmtId="9" fontId="1" fillId="0" borderId="10" xfId="66" applyFont="1" applyFill="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170" fontId="1" fillId="0" borderId="10" xfId="60" applyNumberFormat="1" applyFont="1" applyFill="1" applyBorder="1" applyAlignment="1" applyProtection="1">
      <alignment horizontal="center" vertical="center" wrapText="1"/>
      <protection locked="0"/>
    </xf>
    <xf numFmtId="170" fontId="6" fillId="0" borderId="10" xfId="60" applyNumberFormat="1" applyFont="1" applyFill="1" applyBorder="1" applyAlignment="1" applyProtection="1">
      <alignment horizontal="center" vertical="center" wrapText="1"/>
      <protection locked="0"/>
    </xf>
    <xf numFmtId="185" fontId="1" fillId="0" borderId="0" xfId="60" applyNumberFormat="1" applyFont="1" applyFill="1" applyBorder="1" applyAlignment="1" applyProtection="1">
      <alignment horizontal="center" vertical="center" wrapText="1"/>
      <protection locked="0"/>
    </xf>
    <xf numFmtId="185" fontId="1" fillId="4" borderId="0" xfId="60" applyNumberFormat="1" applyFont="1" applyFill="1" applyBorder="1" applyAlignment="1" applyProtection="1">
      <alignment vertical="center" wrapText="1"/>
      <protection locked="0"/>
    </xf>
    <xf numFmtId="185" fontId="1" fillId="4" borderId="38" xfId="60" applyNumberFormat="1" applyFont="1" applyFill="1" applyBorder="1" applyAlignment="1" applyProtection="1">
      <alignment vertical="center" wrapText="1"/>
      <protection locked="0"/>
    </xf>
    <xf numFmtId="167" fontId="1" fillId="4" borderId="12" xfId="60" applyFont="1" applyFill="1" applyBorder="1" applyAlignment="1" applyProtection="1">
      <alignment horizontal="center" vertical="center" wrapText="1"/>
      <protection locked="0"/>
    </xf>
    <xf numFmtId="167" fontId="1" fillId="4" borderId="24" xfId="60" applyFont="1" applyFill="1" applyBorder="1" applyAlignment="1" applyProtection="1">
      <alignment horizontal="center" vertical="center" wrapText="1"/>
      <protection locked="0"/>
    </xf>
    <xf numFmtId="185" fontId="1" fillId="4" borderId="37" xfId="60" applyNumberFormat="1" applyFont="1" applyFill="1" applyBorder="1" applyAlignment="1" applyProtection="1">
      <alignment horizontal="center" vertical="center"/>
      <protection locked="0"/>
    </xf>
    <xf numFmtId="185" fontId="1" fillId="4" borderId="37" xfId="60" applyNumberFormat="1" applyFont="1" applyFill="1" applyBorder="1" applyAlignment="1" applyProtection="1">
      <alignment horizontal="center" vertical="center" wrapText="1"/>
      <protection locked="0"/>
    </xf>
    <xf numFmtId="14" fontId="1" fillId="4" borderId="37" xfId="60" applyNumberFormat="1" applyFont="1" applyFill="1" applyBorder="1" applyAlignment="1" applyProtection="1">
      <alignment horizontal="center" vertical="center"/>
      <protection locked="0"/>
    </xf>
    <xf numFmtId="14" fontId="6" fillId="4" borderId="37" xfId="60" applyNumberFormat="1" applyFont="1" applyFill="1" applyBorder="1" applyAlignment="1" applyProtection="1">
      <alignment horizontal="center" vertical="center"/>
      <protection locked="0"/>
    </xf>
    <xf numFmtId="172" fontId="1" fillId="4" borderId="10" xfId="47" applyNumberFormat="1" applyFont="1" applyFill="1" applyBorder="1" applyAlignment="1" applyProtection="1">
      <alignment horizontal="center" vertical="center"/>
      <protection locked="0"/>
    </xf>
    <xf numFmtId="167" fontId="1" fillId="0" borderId="10" xfId="60" applyFont="1" applyFill="1" applyBorder="1" applyAlignment="1" applyProtection="1">
      <alignment horizontal="center" vertical="center" wrapText="1"/>
      <protection locked="0"/>
    </xf>
    <xf numFmtId="172" fontId="1" fillId="0" borderId="10" xfId="47" applyNumberFormat="1" applyFont="1" applyFill="1" applyBorder="1" applyAlignment="1" applyProtection="1">
      <alignment horizontal="center" vertical="center"/>
      <protection locked="0"/>
    </xf>
    <xf numFmtId="172" fontId="1" fillId="0" borderId="10" xfId="47" applyNumberFormat="1" applyFont="1" applyFill="1" applyBorder="1" applyAlignment="1" applyProtection="1">
      <alignment horizontal="center" vertical="center" wrapText="1"/>
      <protection locked="0"/>
    </xf>
    <xf numFmtId="14" fontId="1" fillId="0" borderId="10" xfId="60" applyNumberFormat="1" applyFont="1" applyFill="1" applyBorder="1" applyAlignment="1" applyProtection="1">
      <alignment horizontal="center" vertical="center"/>
      <protection locked="0"/>
    </xf>
    <xf numFmtId="14" fontId="4" fillId="4" borderId="10" xfId="60" applyNumberFormat="1" applyFont="1" applyFill="1" applyBorder="1" applyAlignment="1" applyProtection="1">
      <alignment horizontal="center" vertical="center"/>
      <protection locked="0"/>
    </xf>
    <xf numFmtId="167" fontId="2" fillId="12" borderId="20" xfId="60" applyFont="1" applyFill="1" applyBorder="1" applyAlignment="1" applyProtection="1">
      <alignment vertical="center"/>
      <protection locked="0"/>
    </xf>
    <xf numFmtId="167" fontId="2" fillId="12" borderId="26" xfId="60" applyFont="1" applyFill="1" applyBorder="1" applyAlignment="1" applyProtection="1">
      <alignment vertical="center"/>
      <protection locked="0"/>
    </xf>
    <xf numFmtId="167" fontId="2" fillId="12" borderId="34" xfId="60" applyFont="1" applyFill="1" applyBorder="1" applyAlignment="1" applyProtection="1">
      <alignment vertical="center"/>
      <protection locked="0"/>
    </xf>
    <xf numFmtId="167" fontId="7" fillId="12" borderId="34" xfId="60" applyFont="1" applyFill="1" applyBorder="1" applyAlignment="1" applyProtection="1">
      <alignment vertical="center"/>
      <protection locked="0"/>
    </xf>
    <xf numFmtId="172" fontId="2" fillId="12" borderId="34" xfId="47" applyNumberFormat="1" applyFont="1" applyFill="1" applyBorder="1" applyAlignment="1" applyProtection="1">
      <alignment horizontal="center" vertical="center"/>
      <protection locked="0"/>
    </xf>
    <xf numFmtId="167" fontId="2" fillId="12" borderId="34" xfId="60" applyFont="1" applyFill="1" applyBorder="1" applyAlignment="1" applyProtection="1">
      <alignment horizontal="center" vertical="center"/>
      <protection locked="0"/>
    </xf>
    <xf numFmtId="167" fontId="2" fillId="12" borderId="41" xfId="60" applyFont="1" applyFill="1" applyBorder="1" applyAlignment="1" applyProtection="1">
      <alignment vertical="center"/>
      <protection locked="0"/>
    </xf>
    <xf numFmtId="167" fontId="1" fillId="4" borderId="24" xfId="60" applyFont="1" applyFill="1" applyBorder="1" applyAlignment="1" applyProtection="1">
      <alignment vertical="center" wrapText="1"/>
      <protection locked="0"/>
    </xf>
    <xf numFmtId="49" fontId="1" fillId="0" borderId="10" xfId="60" applyNumberFormat="1" applyFont="1" applyBorder="1" applyAlignment="1" applyProtection="1">
      <alignment horizontal="center" vertical="center"/>
      <protection locked="0"/>
    </xf>
    <xf numFmtId="49" fontId="1" fillId="0" borderId="12" xfId="60" applyNumberFormat="1" applyFont="1" applyBorder="1" applyAlignment="1" applyProtection="1">
      <alignment horizontal="center" vertical="center"/>
      <protection locked="0"/>
    </xf>
    <xf numFmtId="172" fontId="1" fillId="0" borderId="12" xfId="47" applyNumberFormat="1" applyFont="1" applyBorder="1" applyAlignment="1" applyProtection="1">
      <alignment vertical="center"/>
      <protection locked="0"/>
    </xf>
    <xf numFmtId="185" fontId="1" fillId="0" borderId="12" xfId="60" applyNumberFormat="1" applyFont="1" applyBorder="1" applyAlignment="1" applyProtection="1">
      <alignment horizontal="center" vertical="center"/>
      <protection locked="0"/>
    </xf>
    <xf numFmtId="185" fontId="1" fillId="0" borderId="12" xfId="60" applyNumberFormat="1" applyFont="1" applyBorder="1" applyAlignment="1" applyProtection="1">
      <alignment vertical="center" wrapText="1"/>
      <protection locked="0"/>
    </xf>
    <xf numFmtId="172" fontId="1" fillId="0" borderId="24" xfId="47" applyNumberFormat="1" applyFont="1" applyBorder="1" applyAlignment="1" applyProtection="1">
      <alignment vertical="center"/>
      <protection locked="0"/>
    </xf>
    <xf numFmtId="185" fontId="1" fillId="0" borderId="24" xfId="60" applyNumberFormat="1" applyFont="1" applyBorder="1" applyAlignment="1" applyProtection="1">
      <alignment vertical="center" wrapText="1"/>
      <protection locked="0"/>
    </xf>
    <xf numFmtId="185" fontId="1" fillId="0" borderId="38" xfId="60" applyNumberFormat="1" applyFont="1" applyFill="1" applyBorder="1" applyAlignment="1" applyProtection="1">
      <alignment vertical="center" wrapText="1"/>
      <protection locked="0"/>
    </xf>
    <xf numFmtId="167" fontId="2" fillId="12" borderId="20" xfId="60" applyFont="1" applyFill="1" applyBorder="1" applyAlignment="1" applyProtection="1">
      <alignment horizontal="left" vertical="center"/>
      <protection locked="0"/>
    </xf>
    <xf numFmtId="167" fontId="2" fillId="12" borderId="26" xfId="60" applyFont="1" applyFill="1" applyBorder="1" applyAlignment="1" applyProtection="1">
      <alignment horizontal="left" vertical="center"/>
      <protection locked="0"/>
    </xf>
    <xf numFmtId="167" fontId="2" fillId="12" borderId="41" xfId="60" applyFont="1" applyFill="1" applyBorder="1" applyAlignment="1" applyProtection="1">
      <alignment horizontal="left" vertical="center"/>
      <protection locked="0"/>
    </xf>
    <xf numFmtId="49" fontId="1" fillId="0" borderId="10" xfId="60" applyNumberFormat="1" applyFont="1" applyBorder="1" applyAlignment="1" applyProtection="1">
      <alignment horizontal="center" vertical="center"/>
      <protection locked="0"/>
    </xf>
    <xf numFmtId="49" fontId="6" fillId="0" borderId="10" xfId="60" applyNumberFormat="1" applyFont="1" applyBorder="1" applyAlignment="1" applyProtection="1">
      <alignment horizontal="center" vertical="center"/>
      <protection locked="0"/>
    </xf>
    <xf numFmtId="49" fontId="1" fillId="0" borderId="10" xfId="60" applyNumberFormat="1" applyFont="1" applyBorder="1" applyAlignment="1" applyProtection="1">
      <alignment horizontal="center" vertical="center" wrapText="1"/>
      <protection locked="0"/>
    </xf>
    <xf numFmtId="172" fontId="1" fillId="0" borderId="10" xfId="47" applyNumberFormat="1" applyFont="1" applyBorder="1" applyAlignment="1" applyProtection="1">
      <alignment horizontal="center" vertical="center"/>
      <protection locked="0"/>
    </xf>
    <xf numFmtId="9" fontId="1" fillId="0" borderId="10" xfId="66" applyFont="1" applyBorder="1" applyAlignment="1" applyProtection="1">
      <alignment horizontal="center" vertical="center"/>
      <protection locked="0"/>
    </xf>
    <xf numFmtId="14" fontId="6" fillId="0" borderId="10" xfId="60" applyNumberFormat="1" applyFont="1" applyFill="1" applyBorder="1" applyAlignment="1" applyProtection="1">
      <alignment horizontal="center" vertical="center"/>
      <protection locked="0"/>
    </xf>
    <xf numFmtId="49" fontId="1" fillId="0" borderId="12" xfId="60" applyNumberFormat="1" applyFont="1" applyBorder="1" applyAlignment="1" applyProtection="1">
      <alignment vertical="center" wrapText="1"/>
      <protection locked="0"/>
    </xf>
    <xf numFmtId="9" fontId="1" fillId="0" borderId="12" xfId="66" applyFont="1" applyBorder="1" applyAlignment="1" applyProtection="1">
      <alignment horizontal="center" vertical="center"/>
      <protection locked="0"/>
    </xf>
    <xf numFmtId="14" fontId="1" fillId="0" borderId="12" xfId="60" applyNumberFormat="1" applyFont="1" applyFill="1" applyBorder="1" applyAlignment="1" applyProtection="1">
      <alignment horizontal="center" vertical="center"/>
      <protection locked="0"/>
    </xf>
    <xf numFmtId="14" fontId="6" fillId="0" borderId="12" xfId="60" applyNumberFormat="1" applyFont="1" applyFill="1" applyBorder="1" applyAlignment="1" applyProtection="1">
      <alignment horizontal="center" vertical="center"/>
      <protection locked="0"/>
    </xf>
    <xf numFmtId="49" fontId="1" fillId="0" borderId="12" xfId="60" applyNumberFormat="1" applyFont="1" applyBorder="1" applyAlignment="1" applyProtection="1">
      <alignment horizontal="center" vertical="center" wrapText="1"/>
      <protection locked="0"/>
    </xf>
    <xf numFmtId="49" fontId="1" fillId="0" borderId="12" xfId="60" applyNumberFormat="1" applyFont="1" applyBorder="1" applyAlignment="1" applyProtection="1">
      <alignment vertical="center"/>
      <protection locked="0"/>
    </xf>
    <xf numFmtId="172" fontId="1" fillId="0" borderId="12" xfId="47" applyNumberFormat="1" applyFont="1" applyBorder="1" applyAlignment="1" applyProtection="1">
      <alignment horizontal="center" vertical="center"/>
      <protection locked="0"/>
    </xf>
    <xf numFmtId="14" fontId="1" fillId="0" borderId="12" xfId="60" applyNumberFormat="1" applyFont="1" applyBorder="1" applyAlignment="1" applyProtection="1">
      <alignment horizontal="center" vertical="center"/>
      <protection locked="0"/>
    </xf>
    <xf numFmtId="14" fontId="6" fillId="0" borderId="12" xfId="60" applyNumberFormat="1" applyFont="1" applyBorder="1" applyAlignment="1" applyProtection="1">
      <alignment horizontal="center" vertical="center"/>
      <protection locked="0"/>
    </xf>
    <xf numFmtId="0" fontId="1" fillId="0" borderId="37" xfId="0" applyFont="1" applyFill="1" applyBorder="1" applyAlignment="1" applyProtection="1">
      <alignment horizontal="justify" vertical="center" wrapText="1"/>
      <protection locked="0"/>
    </xf>
    <xf numFmtId="167" fontId="1" fillId="0" borderId="10" xfId="60" applyFont="1" applyFill="1" applyBorder="1" applyAlignment="1" applyProtection="1">
      <alignment vertical="center" wrapText="1"/>
      <protection locked="0"/>
    </xf>
    <xf numFmtId="9" fontId="1" fillId="0" borderId="12" xfId="66" applyFont="1" applyBorder="1" applyAlignment="1" applyProtection="1">
      <alignment vertical="center"/>
      <protection locked="0"/>
    </xf>
    <xf numFmtId="167" fontId="1" fillId="0" borderId="11" xfId="60" applyFont="1" applyFill="1" applyBorder="1" applyAlignment="1" applyProtection="1">
      <alignment horizontal="justify" vertical="center" wrapText="1"/>
      <protection locked="0"/>
    </xf>
    <xf numFmtId="0" fontId="1" fillId="0" borderId="11" xfId="0" applyFont="1" applyFill="1" applyBorder="1" applyAlignment="1" applyProtection="1">
      <alignment horizontal="justify" vertical="center" wrapText="1"/>
      <protection locked="0"/>
    </xf>
    <xf numFmtId="167" fontId="1" fillId="0" borderId="11" xfId="60" applyFont="1" applyFill="1" applyBorder="1" applyAlignment="1" applyProtection="1">
      <alignment vertical="center" wrapText="1"/>
      <protection locked="0"/>
    </xf>
    <xf numFmtId="172" fontId="1" fillId="0" borderId="35" xfId="47" applyNumberFormat="1" applyFont="1" applyFill="1" applyBorder="1" applyAlignment="1" applyProtection="1">
      <alignment horizontal="center" vertical="center" wrapText="1"/>
      <protection locked="0"/>
    </xf>
    <xf numFmtId="185" fontId="1" fillId="0" borderId="11" xfId="60" applyNumberFormat="1" applyFont="1" applyFill="1" applyBorder="1" applyAlignment="1" applyProtection="1">
      <alignment horizontal="center" vertical="center" wrapText="1"/>
      <protection locked="0"/>
    </xf>
    <xf numFmtId="14" fontId="1" fillId="0" borderId="11" xfId="60" applyNumberFormat="1" applyFont="1" applyFill="1" applyBorder="1" applyAlignment="1" applyProtection="1">
      <alignment horizontal="center" vertical="center"/>
      <protection locked="0"/>
    </xf>
    <xf numFmtId="14" fontId="6" fillId="0" borderId="11" xfId="60" applyNumberFormat="1" applyFont="1" applyFill="1" applyBorder="1" applyAlignment="1" applyProtection="1">
      <alignment horizontal="center" vertical="center"/>
      <protection locked="0"/>
    </xf>
    <xf numFmtId="170" fontId="2" fillId="4" borderId="32" xfId="60" applyNumberFormat="1" applyFont="1" applyFill="1" applyBorder="1" applyAlignment="1" applyProtection="1">
      <alignment vertical="center"/>
      <protection locked="0"/>
    </xf>
    <xf numFmtId="0" fontId="4" fillId="0" borderId="23" xfId="0" applyFont="1" applyFill="1" applyBorder="1" applyAlignment="1" applyProtection="1">
      <alignment vertical="center" wrapText="1"/>
      <protection locked="0"/>
    </xf>
    <xf numFmtId="167" fontId="1" fillId="4" borderId="21" xfId="60" applyFont="1" applyFill="1" applyBorder="1" applyProtection="1">
      <alignment/>
      <protection locked="0"/>
    </xf>
    <xf numFmtId="167" fontId="1" fillId="4" borderId="22" xfId="60" applyFont="1" applyFill="1" applyBorder="1" applyAlignment="1" applyProtection="1">
      <alignment horizontal="justify" vertical="center"/>
      <protection locked="0"/>
    </xf>
    <xf numFmtId="170" fontId="7" fillId="4" borderId="23" xfId="60" applyNumberFormat="1" applyFont="1" applyFill="1" applyBorder="1" applyAlignment="1" applyProtection="1">
      <alignment vertical="center"/>
      <protection locked="0"/>
    </xf>
    <xf numFmtId="0" fontId="1" fillId="4" borderId="23" xfId="60" applyNumberFormat="1" applyFont="1" applyFill="1" applyBorder="1" applyAlignment="1" applyProtection="1">
      <alignment horizontal="center" vertical="center"/>
      <protection locked="0"/>
    </xf>
    <xf numFmtId="167" fontId="1" fillId="0" borderId="21" xfId="60" applyFont="1" applyBorder="1" applyProtection="1">
      <alignment/>
      <protection locked="0"/>
    </xf>
    <xf numFmtId="167" fontId="6" fillId="0" borderId="21" xfId="60" applyFont="1" applyBorder="1" applyProtection="1">
      <alignment/>
      <protection locked="0"/>
    </xf>
    <xf numFmtId="167" fontId="1" fillId="0" borderId="21" xfId="60" applyFont="1" applyFill="1" applyBorder="1" applyAlignment="1" applyProtection="1">
      <alignment horizontal="right" vertical="center"/>
      <protection locked="0"/>
    </xf>
    <xf numFmtId="167" fontId="6" fillId="0" borderId="21" xfId="60" applyFont="1" applyFill="1" applyBorder="1" applyAlignment="1" applyProtection="1">
      <alignment horizontal="right" vertical="center"/>
      <protection locked="0"/>
    </xf>
    <xf numFmtId="172" fontId="2" fillId="0" borderId="21" xfId="47" applyNumberFormat="1" applyFont="1" applyFill="1" applyBorder="1" applyAlignment="1" applyProtection="1">
      <alignment horizontal="center" vertical="center"/>
      <protection locked="0"/>
    </xf>
    <xf numFmtId="167" fontId="1" fillId="0" borderId="21" xfId="60" applyFont="1" applyFill="1" applyBorder="1" applyAlignment="1" applyProtection="1">
      <alignment horizontal="center" vertical="center"/>
      <protection locked="0"/>
    </xf>
    <xf numFmtId="169" fontId="1" fillId="0" borderId="21" xfId="60" applyNumberFormat="1" applyFont="1" applyBorder="1" applyAlignment="1" applyProtection="1">
      <alignment horizontal="center"/>
      <protection locked="0"/>
    </xf>
    <xf numFmtId="169" fontId="6" fillId="0" borderId="21" xfId="60" applyNumberFormat="1" applyFont="1" applyBorder="1" applyAlignment="1" applyProtection="1">
      <alignment horizontal="center"/>
      <protection locked="0"/>
    </xf>
    <xf numFmtId="167" fontId="1" fillId="0" borderId="21" xfId="60" applyFont="1" applyBorder="1" applyAlignment="1" applyProtection="1">
      <alignment horizontal="left"/>
      <protection locked="0"/>
    </xf>
    <xf numFmtId="167" fontId="6" fillId="0" borderId="21" xfId="60" applyFont="1" applyBorder="1" applyAlignment="1" applyProtection="1">
      <alignment horizontal="left"/>
      <protection locked="0"/>
    </xf>
    <xf numFmtId="167" fontId="1" fillId="0" borderId="22" xfId="60" applyFont="1" applyFill="1" applyBorder="1" applyProtection="1">
      <alignment/>
      <protection locked="0"/>
    </xf>
    <xf numFmtId="0" fontId="4" fillId="0" borderId="0" xfId="0" applyFont="1" applyFill="1" applyBorder="1" applyAlignment="1" applyProtection="1">
      <alignment vertical="center" wrapText="1"/>
      <protection locked="0"/>
    </xf>
    <xf numFmtId="167" fontId="1" fillId="0" borderId="0" xfId="60" applyFont="1" applyFill="1" applyAlignment="1" applyProtection="1">
      <alignment horizontal="right" vertical="center"/>
      <protection locked="0"/>
    </xf>
    <xf numFmtId="167" fontId="6" fillId="0" borderId="0" xfId="60" applyFont="1" applyFill="1" applyAlignment="1" applyProtection="1">
      <alignment horizontal="right" vertical="center"/>
      <protection locked="0"/>
    </xf>
    <xf numFmtId="172" fontId="1" fillId="0" borderId="0" xfId="47" applyNumberFormat="1" applyFont="1" applyFill="1" applyAlignment="1" applyProtection="1">
      <alignment horizontal="center" vertical="center"/>
      <protection locked="0"/>
    </xf>
    <xf numFmtId="167" fontId="1" fillId="0" borderId="0" xfId="60" applyFont="1" applyFill="1" applyAlignment="1" applyProtection="1">
      <alignment horizontal="center" vertical="center"/>
      <protection locked="0"/>
    </xf>
    <xf numFmtId="170" fontId="7" fillId="4" borderId="32" xfId="62" applyNumberFormat="1" applyFont="1" applyFill="1" applyBorder="1" applyAlignment="1">
      <alignment vertical="center"/>
      <protection/>
    </xf>
    <xf numFmtId="0" fontId="2" fillId="9" borderId="10" xfId="0" applyFont="1" applyFill="1" applyBorder="1" applyAlignment="1">
      <alignment vertical="center" wrapText="1"/>
    </xf>
    <xf numFmtId="0" fontId="7" fillId="9" borderId="10" xfId="0" applyFont="1" applyFill="1" applyBorder="1" applyAlignment="1">
      <alignment vertical="center" wrapText="1"/>
    </xf>
    <xf numFmtId="170" fontId="1" fillId="4" borderId="12" xfId="62" applyNumberFormat="1" applyFont="1" applyFill="1" applyBorder="1" applyAlignment="1">
      <alignment vertical="center" wrapText="1"/>
      <protection/>
    </xf>
    <xf numFmtId="42" fontId="6" fillId="4" borderId="12" xfId="62" applyNumberFormat="1" applyFont="1" applyFill="1" applyBorder="1" applyAlignment="1">
      <alignment vertical="center" wrapText="1"/>
      <protection/>
    </xf>
    <xf numFmtId="42" fontId="6" fillId="0" borderId="12" xfId="62" applyNumberFormat="1" applyFont="1" applyFill="1" applyBorder="1" applyAlignment="1">
      <alignment vertical="center" wrapText="1"/>
      <protection/>
    </xf>
    <xf numFmtId="170" fontId="1" fillId="4" borderId="10" xfId="62" applyNumberFormat="1" applyFont="1" applyFill="1" applyBorder="1" applyAlignment="1">
      <alignment vertical="center"/>
      <protection/>
    </xf>
    <xf numFmtId="42" fontId="6" fillId="4" borderId="10" xfId="62" applyNumberFormat="1" applyFont="1" applyFill="1" applyBorder="1" applyAlignment="1">
      <alignment vertical="center"/>
      <protection/>
    </xf>
    <xf numFmtId="42" fontId="6" fillId="0" borderId="10" xfId="62" applyNumberFormat="1" applyFont="1" applyFill="1" applyBorder="1" applyAlignment="1">
      <alignment vertical="center"/>
      <protection/>
    </xf>
    <xf numFmtId="170" fontId="1" fillId="4" borderId="37" xfId="62" applyNumberFormat="1" applyFont="1" applyFill="1" applyBorder="1" applyAlignment="1">
      <alignment vertical="center"/>
      <protection/>
    </xf>
    <xf numFmtId="42" fontId="6" fillId="0" borderId="10" xfId="60" applyNumberFormat="1" applyFont="1" applyFill="1" applyBorder="1" applyAlignment="1">
      <alignment vertical="center"/>
      <protection/>
    </xf>
    <xf numFmtId="42" fontId="6" fillId="4" borderId="10" xfId="62" applyNumberFormat="1" applyFont="1" applyFill="1" applyBorder="1" applyAlignment="1">
      <alignment vertical="center" wrapText="1"/>
      <protection/>
    </xf>
    <xf numFmtId="42" fontId="6" fillId="0" borderId="10" xfId="62" applyNumberFormat="1" applyFont="1" applyFill="1" applyBorder="1" applyAlignment="1">
      <alignment vertical="center" wrapText="1"/>
      <protection/>
    </xf>
    <xf numFmtId="170" fontId="1" fillId="4" borderId="10" xfId="62" applyNumberFormat="1" applyFont="1" applyFill="1" applyBorder="1" applyAlignment="1">
      <alignment vertical="center" wrapText="1"/>
      <protection/>
    </xf>
    <xf numFmtId="170" fontId="6" fillId="4" borderId="10" xfId="62" applyNumberFormat="1" applyFont="1" applyFill="1" applyBorder="1" applyAlignment="1">
      <alignment vertical="center" wrapText="1"/>
      <protection/>
    </xf>
    <xf numFmtId="170" fontId="1" fillId="4" borderId="37" xfId="62" applyNumberFormat="1" applyFont="1" applyFill="1" applyBorder="1" applyAlignment="1">
      <alignment vertical="center" wrapText="1"/>
      <protection/>
    </xf>
    <xf numFmtId="170" fontId="6" fillId="4" borderId="24" xfId="62" applyNumberFormat="1" applyFont="1" applyFill="1" applyBorder="1" applyAlignment="1">
      <alignment vertical="center" wrapText="1"/>
      <protection/>
    </xf>
    <xf numFmtId="170" fontId="6" fillId="4" borderId="10" xfId="62" applyNumberFormat="1" applyFont="1" applyFill="1" applyBorder="1" applyAlignment="1">
      <alignment vertical="center"/>
      <protection/>
    </xf>
    <xf numFmtId="170" fontId="1" fillId="4" borderId="24" xfId="62" applyNumberFormat="1" applyFont="1" applyFill="1" applyBorder="1" applyAlignment="1">
      <alignment vertical="center"/>
      <protection/>
    </xf>
    <xf numFmtId="170" fontId="1" fillId="4" borderId="12" xfId="62" applyNumberFormat="1" applyFont="1" applyFill="1" applyBorder="1" applyAlignment="1">
      <alignment vertical="center"/>
      <protection/>
    </xf>
    <xf numFmtId="170" fontId="6" fillId="0" borderId="10" xfId="62" applyNumberFormat="1" applyFont="1" applyFill="1" applyBorder="1" applyAlignment="1">
      <alignment vertical="center"/>
      <protection/>
    </xf>
    <xf numFmtId="170" fontId="6" fillId="0" borderId="10" xfId="60" applyNumberFormat="1" applyFont="1" applyFill="1" applyBorder="1" applyAlignment="1">
      <alignment vertical="center"/>
      <protection/>
    </xf>
    <xf numFmtId="170" fontId="4" fillId="4" borderId="10" xfId="62" applyNumberFormat="1" applyFont="1" applyFill="1" applyBorder="1" applyAlignment="1">
      <alignment vertical="center"/>
      <protection/>
    </xf>
    <xf numFmtId="170" fontId="6" fillId="4" borderId="37" xfId="62" applyNumberFormat="1" applyFont="1" applyFill="1" applyBorder="1" applyAlignment="1">
      <alignment vertical="center"/>
      <protection/>
    </xf>
    <xf numFmtId="170" fontId="1" fillId="4" borderId="0" xfId="62" applyNumberFormat="1" applyFont="1" applyFill="1" applyBorder="1" applyAlignment="1">
      <alignment vertical="center"/>
      <protection/>
    </xf>
    <xf numFmtId="170" fontId="6" fillId="4" borderId="0" xfId="62" applyNumberFormat="1" applyFont="1" applyFill="1" applyBorder="1" applyAlignment="1">
      <alignment vertical="center"/>
      <protection/>
    </xf>
    <xf numFmtId="170" fontId="1" fillId="4" borderId="0" xfId="62" applyNumberFormat="1" applyFont="1" applyFill="1" applyAlignment="1">
      <alignment vertical="center"/>
      <protection/>
    </xf>
    <xf numFmtId="170" fontId="6" fillId="4" borderId="0" xfId="62" applyNumberFormat="1" applyFont="1" applyFill="1" applyAlignment="1">
      <alignment vertical="center"/>
      <protection/>
    </xf>
    <xf numFmtId="170" fontId="1" fillId="0" borderId="24" xfId="62" applyNumberFormat="1" applyFont="1" applyFill="1" applyBorder="1" applyAlignment="1">
      <alignment vertical="center" wrapText="1"/>
      <protection/>
    </xf>
    <xf numFmtId="9" fontId="2" fillId="12" borderId="34" xfId="66" applyFont="1" applyFill="1" applyBorder="1" applyAlignment="1">
      <alignment vertical="center"/>
    </xf>
    <xf numFmtId="9" fontId="1" fillId="4" borderId="10" xfId="66" applyFont="1" applyFill="1" applyBorder="1" applyAlignment="1">
      <alignment horizontal="center" vertical="center"/>
    </xf>
    <xf numFmtId="9" fontId="1" fillId="4" borderId="37" xfId="66" applyFont="1" applyFill="1" applyBorder="1" applyAlignment="1">
      <alignment horizontal="center" vertical="center"/>
    </xf>
    <xf numFmtId="190" fontId="1" fillId="4" borderId="10" xfId="66"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1" fontId="5" fillId="4" borderId="42" xfId="0" applyNumberFormat="1" applyFont="1" applyFill="1" applyBorder="1" applyAlignment="1">
      <alignment horizontal="center" vertical="center" wrapText="1"/>
    </xf>
    <xf numFmtId="0" fontId="5" fillId="4" borderId="19" xfId="0" applyFont="1" applyFill="1" applyBorder="1" applyAlignment="1">
      <alignment horizontal="center" vertical="center" wrapText="1"/>
    </xf>
    <xf numFmtId="1" fontId="5" fillId="4" borderId="25" xfId="0" applyNumberFormat="1" applyFont="1" applyFill="1" applyBorder="1" applyAlignment="1">
      <alignment horizontal="center" vertical="center" wrapText="1"/>
    </xf>
    <xf numFmtId="1" fontId="4" fillId="4" borderId="25" xfId="0" applyNumberFormat="1" applyFont="1" applyFill="1" applyBorder="1" applyAlignment="1">
      <alignment horizontal="center" vertical="center" wrapText="1"/>
    </xf>
    <xf numFmtId="1" fontId="4" fillId="4" borderId="26" xfId="0" applyNumberFormat="1"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12" borderId="14" xfId="0" applyFont="1" applyFill="1" applyBorder="1" applyAlignment="1">
      <alignment vertical="center"/>
    </xf>
    <xf numFmtId="0" fontId="5" fillId="12" borderId="14" xfId="0" applyFont="1" applyFill="1" applyBorder="1" applyAlignment="1">
      <alignment horizontal="justify" vertical="center"/>
    </xf>
    <xf numFmtId="0" fontId="7" fillId="12" borderId="14" xfId="0" applyFont="1" applyFill="1" applyBorder="1" applyAlignment="1">
      <alignment vertical="center"/>
    </xf>
    <xf numFmtId="0" fontId="5" fillId="12" borderId="14" xfId="0" applyFont="1" applyFill="1" applyBorder="1" applyAlignment="1">
      <alignment horizontal="center" vertical="center"/>
    </xf>
    <xf numFmtId="180" fontId="5" fillId="12" borderId="14" xfId="0" applyNumberFormat="1" applyFont="1" applyFill="1" applyBorder="1" applyAlignment="1">
      <alignment horizontal="center" vertical="center"/>
    </xf>
    <xf numFmtId="170" fontId="5" fillId="12" borderId="14" xfId="0" applyNumberFormat="1" applyFont="1" applyFill="1" applyBorder="1" applyAlignment="1">
      <alignment vertical="center"/>
    </xf>
    <xf numFmtId="170" fontId="5" fillId="12" borderId="14" xfId="0" applyNumberFormat="1" applyFont="1" applyFill="1" applyBorder="1" applyAlignment="1">
      <alignment horizontal="center" vertical="center"/>
    </xf>
    <xf numFmtId="170" fontId="7" fillId="12" borderId="14" xfId="0" applyNumberFormat="1" applyFont="1" applyFill="1" applyBorder="1" applyAlignment="1">
      <alignment horizontal="center" vertical="center"/>
    </xf>
    <xf numFmtId="1" fontId="5" fillId="12" borderId="14" xfId="0" applyNumberFormat="1" applyFont="1" applyFill="1" applyBorder="1" applyAlignment="1">
      <alignment horizontal="center" vertical="center"/>
    </xf>
    <xf numFmtId="172" fontId="5" fillId="12" borderId="14" xfId="47" applyNumberFormat="1" applyFont="1" applyFill="1" applyBorder="1" applyAlignment="1">
      <alignment vertical="center"/>
    </xf>
    <xf numFmtId="181" fontId="5" fillId="12" borderId="14" xfId="0" applyNumberFormat="1" applyFont="1" applyFill="1" applyBorder="1" applyAlignment="1">
      <alignment vertical="center"/>
    </xf>
    <xf numFmtId="181" fontId="7" fillId="12" borderId="14" xfId="0" applyNumberFormat="1" applyFont="1" applyFill="1" applyBorder="1" applyAlignment="1">
      <alignment vertical="center"/>
    </xf>
    <xf numFmtId="0" fontId="5" fillId="12" borderId="20" xfId="0" applyFont="1" applyFill="1" applyBorder="1" applyAlignment="1">
      <alignment horizontal="justify" vertical="center"/>
    </xf>
    <xf numFmtId="1" fontId="5" fillId="12" borderId="26" xfId="0" applyNumberFormat="1" applyFont="1" applyFill="1" applyBorder="1" applyAlignment="1">
      <alignment horizontal="left" vertical="center" wrapText="1" indent="1"/>
    </xf>
    <xf numFmtId="170" fontId="5" fillId="12" borderId="34" xfId="0" applyNumberFormat="1" applyFont="1" applyFill="1" applyBorder="1" applyAlignment="1">
      <alignment horizontal="center" vertical="center"/>
    </xf>
    <xf numFmtId="0" fontId="4" fillId="4" borderId="15" xfId="0" applyFont="1" applyFill="1" applyBorder="1" applyAlignment="1">
      <alignment horizontal="justify" vertical="center" wrapText="1"/>
    </xf>
    <xf numFmtId="1" fontId="5" fillId="12" borderId="14" xfId="0" applyNumberFormat="1" applyFont="1" applyFill="1" applyBorder="1" applyAlignment="1">
      <alignment horizontal="left" vertical="center" wrapText="1" indent="1"/>
    </xf>
    <xf numFmtId="1" fontId="5" fillId="9" borderId="0" xfId="0" applyNumberFormat="1" applyFont="1" applyFill="1" applyBorder="1" applyAlignment="1">
      <alignment horizontal="center" vertical="center"/>
    </xf>
    <xf numFmtId="0" fontId="5" fillId="9" borderId="0" xfId="0" applyFont="1" applyFill="1" applyBorder="1" applyAlignment="1">
      <alignment vertical="center"/>
    </xf>
    <xf numFmtId="1" fontId="4" fillId="0" borderId="42" xfId="0" applyNumberFormat="1" applyFont="1" applyBorder="1" applyAlignment="1">
      <alignment/>
    </xf>
    <xf numFmtId="0" fontId="4" fillId="0" borderId="14" xfId="0" applyFont="1" applyBorder="1" applyAlignment="1">
      <alignment/>
    </xf>
    <xf numFmtId="0" fontId="4" fillId="0" borderId="19" xfId="0" applyFont="1" applyBorder="1" applyAlignment="1">
      <alignment/>
    </xf>
    <xf numFmtId="1" fontId="4" fillId="0" borderId="25" xfId="0" applyNumberFormat="1" applyFont="1" applyBorder="1" applyAlignment="1">
      <alignment/>
    </xf>
    <xf numFmtId="1" fontId="4" fillId="0" borderId="25" xfId="0" applyNumberFormat="1" applyFont="1" applyBorder="1" applyAlignment="1">
      <alignment horizontal="center" vertical="center"/>
    </xf>
    <xf numFmtId="1" fontId="4" fillId="0" borderId="26" xfId="0" applyNumberFormat="1" applyFont="1" applyBorder="1" applyAlignment="1">
      <alignment/>
    </xf>
    <xf numFmtId="0" fontId="5" fillId="9" borderId="16" xfId="0" applyFont="1" applyFill="1" applyBorder="1" applyAlignment="1">
      <alignment horizontal="justify" vertical="center"/>
    </xf>
    <xf numFmtId="0" fontId="5" fillId="12" borderId="16" xfId="0" applyFont="1" applyFill="1" applyBorder="1" applyAlignment="1">
      <alignment horizontal="justify" vertical="center"/>
    </xf>
    <xf numFmtId="0" fontId="4" fillId="0" borderId="26" xfId="0" applyFont="1" applyBorder="1" applyAlignment="1">
      <alignment/>
    </xf>
    <xf numFmtId="0" fontId="5" fillId="12" borderId="13" xfId="0" applyFont="1" applyFill="1" applyBorder="1" applyAlignment="1">
      <alignment horizontal="justify" vertical="center"/>
    </xf>
    <xf numFmtId="1" fontId="4" fillId="0" borderId="25" xfId="0" applyNumberFormat="1" applyFont="1" applyFill="1" applyBorder="1" applyAlignment="1">
      <alignment/>
    </xf>
    <xf numFmtId="0" fontId="4" fillId="0" borderId="38" xfId="0" applyFont="1" applyFill="1" applyBorder="1" applyAlignment="1">
      <alignment/>
    </xf>
    <xf numFmtId="1" fontId="5" fillId="9" borderId="14" xfId="0" applyNumberFormat="1" applyFont="1" applyFill="1" applyBorder="1" applyAlignment="1">
      <alignment horizontal="center" vertical="center"/>
    </xf>
    <xf numFmtId="0" fontId="4" fillId="0" borderId="42" xfId="0" applyFont="1" applyBorder="1" applyAlignment="1">
      <alignment/>
    </xf>
    <xf numFmtId="0" fontId="4" fillId="0" borderId="25" xfId="0" applyFont="1" applyFill="1" applyBorder="1" applyAlignment="1">
      <alignment/>
    </xf>
    <xf numFmtId="0" fontId="4" fillId="0" borderId="38" xfId="0" applyFont="1" applyFill="1" applyBorder="1" applyAlignment="1">
      <alignment wrapText="1"/>
    </xf>
    <xf numFmtId="1" fontId="4" fillId="4" borderId="13" xfId="0" applyNumberFormat="1" applyFont="1" applyFill="1" applyBorder="1" applyAlignment="1">
      <alignment horizontal="center" vertical="center" wrapText="1"/>
    </xf>
    <xf numFmtId="1" fontId="4" fillId="4" borderId="16" xfId="0" applyNumberFormat="1" applyFont="1" applyFill="1" applyBorder="1" applyAlignment="1">
      <alignment horizontal="center" vertical="center" wrapText="1"/>
    </xf>
    <xf numFmtId="1" fontId="5" fillId="12" borderId="0" xfId="0" applyNumberFormat="1" applyFont="1" applyFill="1" applyBorder="1" applyAlignment="1">
      <alignment horizontal="center" vertical="center" wrapText="1"/>
    </xf>
    <xf numFmtId="0" fontId="5" fillId="12" borderId="0" xfId="0" applyFont="1" applyFill="1" applyBorder="1" applyAlignment="1">
      <alignment vertical="center"/>
    </xf>
    <xf numFmtId="170" fontId="6" fillId="0" borderId="37" xfId="0" applyNumberFormat="1" applyFont="1" applyFill="1" applyBorder="1" applyAlignment="1">
      <alignment horizontal="center" vertical="center"/>
    </xf>
    <xf numFmtId="181" fontId="6" fillId="4" borderId="42" xfId="0" applyNumberFormat="1" applyFont="1" applyFill="1" applyBorder="1" applyAlignment="1">
      <alignment horizontal="center" vertical="center"/>
    </xf>
    <xf numFmtId="181" fontId="6" fillId="4" borderId="26" xfId="0" applyNumberFormat="1" applyFont="1" applyFill="1" applyBorder="1" applyAlignment="1">
      <alignment horizontal="center" vertical="center"/>
    </xf>
    <xf numFmtId="1" fontId="4" fillId="4" borderId="12" xfId="0" applyNumberFormat="1" applyFont="1" applyFill="1" applyBorder="1" applyAlignment="1">
      <alignment horizontal="center" vertical="top" wrapText="1"/>
    </xf>
    <xf numFmtId="0" fontId="4" fillId="4" borderId="37" xfId="0" applyFont="1" applyFill="1" applyBorder="1" applyAlignment="1">
      <alignment vertical="center" wrapText="1"/>
    </xf>
    <xf numFmtId="170" fontId="4" fillId="4" borderId="16" xfId="0" applyNumberFormat="1" applyFont="1" applyFill="1" applyBorder="1" applyAlignment="1">
      <alignment horizontal="center" vertical="center"/>
    </xf>
    <xf numFmtId="170" fontId="6" fillId="4" borderId="16" xfId="0" applyNumberFormat="1" applyFont="1" applyFill="1" applyBorder="1" applyAlignment="1">
      <alignment horizontal="center" vertical="center"/>
    </xf>
    <xf numFmtId="1" fontId="4" fillId="4" borderId="37" xfId="0" applyNumberFormat="1" applyFont="1" applyFill="1" applyBorder="1" applyAlignment="1">
      <alignment vertical="center" wrapText="1"/>
    </xf>
    <xf numFmtId="0" fontId="4" fillId="4" borderId="12" xfId="0" applyFont="1" applyFill="1" applyBorder="1" applyAlignment="1">
      <alignment vertical="center" wrapText="1"/>
    </xf>
    <xf numFmtId="180" fontId="4" fillId="4" borderId="10" xfId="0" applyNumberFormat="1" applyFont="1" applyFill="1" applyBorder="1" applyAlignment="1">
      <alignment horizontal="center" vertical="center"/>
    </xf>
    <xf numFmtId="0" fontId="2" fillId="9" borderId="12" xfId="0" applyFont="1" applyFill="1" applyBorder="1" applyAlignment="1">
      <alignment horizontal="justify" vertical="center" wrapText="1"/>
    </xf>
    <xf numFmtId="0" fontId="2" fillId="9" borderId="26" xfId="0" applyFont="1" applyFill="1" applyBorder="1" applyAlignment="1">
      <alignment horizontal="justify" vertical="center" wrapText="1"/>
    </xf>
    <xf numFmtId="49" fontId="7" fillId="9" borderId="26" xfId="0" applyNumberFormat="1" applyFont="1" applyFill="1" applyBorder="1" applyAlignment="1">
      <alignment horizontal="center" vertical="center" textRotation="180" wrapText="1"/>
    </xf>
    <xf numFmtId="49" fontId="2" fillId="9" borderId="26" xfId="0" applyNumberFormat="1" applyFont="1" applyFill="1" applyBorder="1" applyAlignment="1">
      <alignment horizontal="center" vertical="center" textRotation="180" wrapText="1"/>
    </xf>
    <xf numFmtId="0" fontId="5" fillId="9" borderId="26" xfId="0" applyFont="1" applyFill="1" applyBorder="1" applyAlignment="1">
      <alignment horizontal="center" vertical="center" textRotation="180" wrapText="1"/>
    </xf>
    <xf numFmtId="169" fontId="7" fillId="9" borderId="26" xfId="0" applyNumberFormat="1" applyFont="1" applyFill="1" applyBorder="1" applyAlignment="1">
      <alignment horizontal="center" vertical="center" wrapText="1"/>
    </xf>
    <xf numFmtId="3" fontId="2" fillId="10" borderId="17" xfId="0" applyNumberFormat="1" applyFont="1" applyFill="1" applyBorder="1" applyAlignment="1">
      <alignment horizontal="center" vertical="center"/>
    </xf>
    <xf numFmtId="3" fontId="2" fillId="10" borderId="14" xfId="0" applyNumberFormat="1" applyFont="1" applyFill="1" applyBorder="1" applyAlignment="1">
      <alignment horizontal="center" vertical="center"/>
    </xf>
    <xf numFmtId="0" fontId="5" fillId="10" borderId="14" xfId="0" applyFont="1" applyFill="1" applyBorder="1" applyAlignment="1">
      <alignment vertical="center"/>
    </xf>
    <xf numFmtId="0" fontId="1" fillId="0" borderId="13" xfId="0" applyFont="1" applyFill="1" applyBorder="1" applyAlignment="1">
      <alignment horizontal="justify" vertical="center" wrapText="1"/>
    </xf>
    <xf numFmtId="0" fontId="1" fillId="4" borderId="15" xfId="0" applyFont="1" applyFill="1" applyBorder="1" applyAlignment="1">
      <alignment horizontal="justify" vertical="center" wrapText="1"/>
    </xf>
    <xf numFmtId="0" fontId="1" fillId="4" borderId="10" xfId="0" applyFont="1" applyFill="1" applyBorder="1" applyAlignment="1">
      <alignment horizontal="justify" vertical="center" wrapText="1"/>
    </xf>
    <xf numFmtId="164" fontId="1" fillId="4" borderId="16" xfId="56" applyNumberFormat="1" applyFont="1" applyFill="1" applyBorder="1" applyAlignment="1">
      <alignment horizontal="center" vertical="center" wrapText="1"/>
    </xf>
    <xf numFmtId="3" fontId="1" fillId="4" borderId="10" xfId="56" applyNumberFormat="1" applyFont="1" applyFill="1" applyBorder="1" applyAlignment="1">
      <alignment horizontal="center" vertical="center" wrapText="1"/>
    </xf>
    <xf numFmtId="0" fontId="1" fillId="0" borderId="16" xfId="0" applyFont="1" applyFill="1" applyBorder="1" applyAlignment="1">
      <alignment horizontal="justify" vertical="center" wrapText="1"/>
    </xf>
    <xf numFmtId="0" fontId="4" fillId="4" borderId="24" xfId="0" applyFont="1" applyFill="1" applyBorder="1" applyAlignment="1">
      <alignment vertical="center" textRotation="180" wrapText="1"/>
    </xf>
    <xf numFmtId="0" fontId="1" fillId="0" borderId="19" xfId="0" applyFont="1" applyFill="1" applyBorder="1" applyAlignment="1">
      <alignment horizontal="justify" vertical="center" wrapText="1"/>
    </xf>
    <xf numFmtId="3" fontId="1" fillId="4" borderId="37" xfId="56" applyNumberFormat="1" applyFont="1" applyFill="1" applyBorder="1" applyAlignment="1">
      <alignment horizontal="center" vertical="center" wrapText="1"/>
    </xf>
    <xf numFmtId="164" fontId="1" fillId="4" borderId="10" xfId="56"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textRotation="180" wrapText="1"/>
    </xf>
    <xf numFmtId="1" fontId="6" fillId="0" borderId="10" xfId="0" applyNumberFormat="1" applyFont="1" applyFill="1" applyBorder="1" applyAlignment="1">
      <alignment horizontal="center" vertical="center" textRotation="180" wrapText="1"/>
    </xf>
    <xf numFmtId="0" fontId="6" fillId="4" borderId="10" xfId="0" applyFont="1" applyFill="1" applyBorder="1" applyAlignment="1">
      <alignment horizontal="center" vertical="center" textRotation="180" wrapText="1"/>
    </xf>
    <xf numFmtId="9" fontId="0" fillId="0" borderId="10" xfId="0" applyNumberFormat="1" applyFont="1" applyFill="1" applyBorder="1" applyAlignment="1">
      <alignment horizontal="center" vertical="center"/>
    </xf>
    <xf numFmtId="0" fontId="4" fillId="4" borderId="10" xfId="0" applyFont="1" applyFill="1" applyBorder="1" applyAlignment="1">
      <alignment vertical="center" wrapText="1"/>
    </xf>
    <xf numFmtId="169" fontId="4" fillId="4" borderId="10" xfId="0" applyNumberFormat="1" applyFont="1" applyFill="1" applyBorder="1" applyAlignment="1">
      <alignment horizontal="center" vertical="center" wrapText="1"/>
    </xf>
    <xf numFmtId="42" fontId="1" fillId="4" borderId="10" xfId="56" applyFont="1" applyFill="1" applyBorder="1" applyAlignment="1">
      <alignment horizontal="center" vertical="center" wrapText="1"/>
    </xf>
    <xf numFmtId="0" fontId="2" fillId="10" borderId="12" xfId="0" applyFont="1" applyFill="1" applyBorder="1" applyAlignment="1">
      <alignment vertical="center"/>
    </xf>
    <xf numFmtId="0" fontId="2" fillId="10" borderId="26" xfId="0" applyFont="1" applyFill="1" applyBorder="1" applyAlignment="1">
      <alignment horizontal="justify" vertical="center"/>
    </xf>
    <xf numFmtId="0" fontId="7" fillId="10" borderId="34" xfId="0" applyFont="1" applyFill="1" applyBorder="1" applyAlignment="1">
      <alignment vertical="center"/>
    </xf>
    <xf numFmtId="0" fontId="1" fillId="10" borderId="34" xfId="0" applyFont="1" applyFill="1" applyBorder="1" applyAlignment="1">
      <alignment vertical="center"/>
    </xf>
    <xf numFmtId="3" fontId="2" fillId="10" borderId="34" xfId="0" applyNumberFormat="1" applyFont="1" applyFill="1" applyBorder="1" applyAlignment="1">
      <alignment horizontal="center" vertical="center"/>
    </xf>
    <xf numFmtId="0" fontId="5" fillId="10" borderId="34" xfId="0" applyFont="1" applyFill="1" applyBorder="1" applyAlignment="1">
      <alignment vertical="center"/>
    </xf>
    <xf numFmtId="0" fontId="1" fillId="10" borderId="13" xfId="0" applyFont="1" applyFill="1" applyBorder="1" applyAlignment="1">
      <alignment vertical="center"/>
    </xf>
    <xf numFmtId="9" fontId="1" fillId="4" borderId="12" xfId="0" applyNumberFormat="1" applyFont="1" applyFill="1" applyBorder="1" applyAlignment="1">
      <alignment horizontal="center" vertical="center" wrapText="1"/>
    </xf>
    <xf numFmtId="42" fontId="1" fillId="4" borderId="26" xfId="56" applyFont="1" applyFill="1" applyBorder="1" applyAlignment="1">
      <alignment horizontal="center" vertical="center" wrapText="1"/>
    </xf>
    <xf numFmtId="0" fontId="1" fillId="0" borderId="0" xfId="0" applyFont="1" applyAlignment="1">
      <alignment horizontal="justify" vertical="center" wrapText="1"/>
    </xf>
    <xf numFmtId="42" fontId="1" fillId="4" borderId="25" xfId="56" applyFont="1" applyFill="1" applyBorder="1" applyAlignment="1">
      <alignment horizontal="center" vertical="center" wrapText="1"/>
    </xf>
    <xf numFmtId="3" fontId="1" fillId="4" borderId="25" xfId="56" applyNumberFormat="1" applyFont="1" applyFill="1" applyBorder="1" applyAlignment="1">
      <alignment horizontal="center" vertical="center" wrapText="1"/>
    </xf>
    <xf numFmtId="0" fontId="2" fillId="10" borderId="15" xfId="0" applyFont="1" applyFill="1" applyBorder="1" applyAlignment="1">
      <alignment horizontal="justify" vertical="center"/>
    </xf>
    <xf numFmtId="0" fontId="1" fillId="10" borderId="17" xfId="0" applyFont="1" applyFill="1" applyBorder="1" applyAlignment="1">
      <alignment vertical="center"/>
    </xf>
    <xf numFmtId="0" fontId="5" fillId="10" borderId="17" xfId="0" applyFont="1" applyFill="1" applyBorder="1" applyAlignment="1">
      <alignment vertical="center"/>
    </xf>
    <xf numFmtId="42" fontId="4" fillId="4" borderId="10" xfId="56" applyFont="1" applyFill="1" applyBorder="1" applyAlignment="1">
      <alignment horizontal="center" vertical="center" wrapText="1"/>
    </xf>
    <xf numFmtId="42" fontId="4" fillId="4" borderId="37" xfId="56" applyFont="1" applyFill="1" applyBorder="1" applyAlignment="1">
      <alignment horizontal="center" vertical="center" wrapText="1"/>
    </xf>
    <xf numFmtId="42" fontId="4" fillId="4" borderId="10" xfId="56" applyFont="1" applyFill="1" applyBorder="1" applyAlignment="1">
      <alignment horizontal="center" vertical="center"/>
    </xf>
    <xf numFmtId="42" fontId="6" fillId="4" borderId="10" xfId="56" applyFont="1" applyFill="1" applyBorder="1" applyAlignment="1">
      <alignment horizontal="center" vertical="center"/>
    </xf>
    <xf numFmtId="0" fontId="1" fillId="4" borderId="37" xfId="0" applyFont="1" applyFill="1" applyBorder="1" applyAlignment="1">
      <alignment horizontal="justify" vertical="center"/>
    </xf>
    <xf numFmtId="42" fontId="4" fillId="4" borderId="37" xfId="56" applyFont="1" applyFill="1" applyBorder="1" applyAlignment="1">
      <alignment horizontal="center" vertical="center"/>
    </xf>
    <xf numFmtId="42" fontId="1" fillId="0" borderId="10" xfId="56" applyFont="1" applyBorder="1" applyAlignment="1">
      <alignment horizontal="center" vertical="center"/>
    </xf>
    <xf numFmtId="3" fontId="1" fillId="0" borderId="10" xfId="56" applyNumberFormat="1" applyFont="1" applyBorder="1" applyAlignment="1">
      <alignment horizontal="center" vertical="center"/>
    </xf>
    <xf numFmtId="0" fontId="1" fillId="4" borderId="10" xfId="0" applyFont="1" applyFill="1" applyBorder="1" applyAlignment="1">
      <alignment horizontal="justify" vertical="center" wrapText="1"/>
    </xf>
    <xf numFmtId="9" fontId="1" fillId="4" borderId="10" xfId="66" applyNumberFormat="1" applyFont="1" applyFill="1" applyBorder="1" applyAlignment="1">
      <alignment horizontal="center" vertical="center"/>
    </xf>
    <xf numFmtId="1" fontId="4" fillId="0" borderId="10" xfId="0" applyNumberFormat="1" applyFont="1" applyBorder="1" applyAlignment="1">
      <alignment horizontal="center" vertical="center" textRotation="180"/>
    </xf>
    <xf numFmtId="168" fontId="4" fillId="0" borderId="10" xfId="0" applyNumberFormat="1" applyFont="1" applyBorder="1" applyAlignment="1">
      <alignment horizontal="center" vertical="center"/>
    </xf>
    <xf numFmtId="0" fontId="26" fillId="0" borderId="10" xfId="0" applyFont="1" applyBorder="1" applyAlignment="1">
      <alignment horizontal="center" vertical="center"/>
    </xf>
    <xf numFmtId="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4" fillId="0" borderId="10" xfId="0" applyFont="1" applyBorder="1" applyAlignment="1">
      <alignment vertical="center" wrapText="1"/>
    </xf>
    <xf numFmtId="169" fontId="4" fillId="4" borderId="10" xfId="0"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38" xfId="0" applyFont="1" applyFill="1" applyBorder="1" applyAlignment="1">
      <alignment horizontal="justify" vertical="center" wrapText="1"/>
    </xf>
    <xf numFmtId="0" fontId="1" fillId="4" borderId="24" xfId="0" applyFont="1" applyFill="1" applyBorder="1" applyAlignment="1">
      <alignment horizontal="center" vertical="center"/>
    </xf>
    <xf numFmtId="1" fontId="1" fillId="4" borderId="24" xfId="0" applyNumberFormat="1" applyFont="1" applyFill="1" applyBorder="1" applyAlignment="1">
      <alignment horizontal="center" vertical="center"/>
    </xf>
    <xf numFmtId="0" fontId="1" fillId="0" borderId="24" xfId="0" applyFont="1" applyFill="1" applyBorder="1" applyAlignment="1">
      <alignment horizontal="center" vertical="center"/>
    </xf>
    <xf numFmtId="9" fontId="1" fillId="4" borderId="24" xfId="66" applyNumberFormat="1" applyFont="1" applyFill="1" applyBorder="1" applyAlignment="1">
      <alignment horizontal="center" vertical="center"/>
    </xf>
    <xf numFmtId="42" fontId="1" fillId="0" borderId="24" xfId="56" applyFont="1" applyBorder="1" applyAlignment="1">
      <alignment horizontal="center" vertical="center"/>
    </xf>
    <xf numFmtId="3" fontId="1" fillId="0" borderId="24" xfId="56" applyNumberFormat="1" applyFont="1" applyBorder="1" applyAlignment="1">
      <alignment horizontal="center" vertical="center"/>
    </xf>
    <xf numFmtId="1" fontId="4" fillId="0" borderId="24" xfId="0" applyNumberFormat="1" applyFont="1" applyBorder="1" applyAlignment="1">
      <alignment horizontal="center" vertical="center" textRotation="180"/>
    </xf>
    <xf numFmtId="168" fontId="4" fillId="0" borderId="24" xfId="0" applyNumberFormat="1" applyFont="1" applyBorder="1" applyAlignment="1">
      <alignment horizontal="center" vertical="center"/>
    </xf>
    <xf numFmtId="0" fontId="6" fillId="0" borderId="24" xfId="0" applyFont="1" applyBorder="1" applyAlignment="1">
      <alignment/>
    </xf>
    <xf numFmtId="0" fontId="26" fillId="0" borderId="24" xfId="0" applyFont="1" applyBorder="1" applyAlignment="1">
      <alignment horizontal="center" vertical="center"/>
    </xf>
    <xf numFmtId="9" fontId="0" fillId="0" borderId="51" xfId="0" applyNumberFormat="1" applyFont="1" applyBorder="1" applyAlignment="1">
      <alignment horizontal="center" vertical="center"/>
    </xf>
    <xf numFmtId="0" fontId="0" fillId="0" borderId="24" xfId="0" applyFont="1" applyBorder="1" applyAlignment="1">
      <alignment horizontal="center" vertical="center"/>
    </xf>
    <xf numFmtId="0" fontId="4" fillId="0" borderId="51" xfId="0" applyFont="1" applyBorder="1" applyAlignment="1">
      <alignment vertical="center" wrapText="1"/>
    </xf>
    <xf numFmtId="169" fontId="1" fillId="4" borderId="51" xfId="0" applyNumberFormat="1" applyFont="1" applyFill="1" applyBorder="1" applyAlignment="1">
      <alignment horizontal="center" vertical="center" wrapText="1"/>
    </xf>
    <xf numFmtId="169" fontId="4" fillId="4" borderId="51" xfId="0" applyNumberFormat="1" applyFont="1" applyFill="1" applyBorder="1" applyAlignment="1">
      <alignment horizontal="center" vertical="center" wrapText="1"/>
    </xf>
    <xf numFmtId="169" fontId="4" fillId="4" borderId="51" xfId="0" applyNumberFormat="1" applyFont="1" applyFill="1" applyBorder="1" applyAlignment="1">
      <alignment horizontal="center" vertical="center"/>
    </xf>
    <xf numFmtId="0" fontId="1" fillId="0" borderId="51" xfId="0" applyFont="1" applyBorder="1" applyAlignment="1">
      <alignment horizontal="center" vertical="center" wrapText="1"/>
    </xf>
    <xf numFmtId="0" fontId="2" fillId="10" borderId="16" xfId="0" applyFont="1" applyFill="1" applyBorder="1" applyAlignment="1">
      <alignment horizontal="justify" vertical="center"/>
    </xf>
    <xf numFmtId="0" fontId="1" fillId="0" borderId="12" xfId="0" applyFont="1" applyBorder="1" applyAlignment="1">
      <alignment horizontal="justify" vertical="center" wrapText="1"/>
    </xf>
    <xf numFmtId="0" fontId="1" fillId="4" borderId="12" xfId="0" applyFont="1" applyFill="1" applyBorder="1" applyAlignment="1">
      <alignment horizontal="justify" vertical="center"/>
    </xf>
    <xf numFmtId="3" fontId="1" fillId="4" borderId="12" xfId="56" applyNumberFormat="1" applyFont="1" applyFill="1" applyBorder="1" applyAlignment="1">
      <alignment horizontal="center" vertical="center"/>
    </xf>
    <xf numFmtId="0" fontId="1" fillId="4" borderId="12" xfId="0" applyFont="1" applyFill="1" applyBorder="1" applyAlignment="1">
      <alignment horizontal="center" vertical="center"/>
    </xf>
    <xf numFmtId="0" fontId="1" fillId="0" borderId="37" xfId="0" applyFont="1" applyBorder="1" applyAlignment="1">
      <alignment horizontal="justify" vertical="center" wrapText="1"/>
    </xf>
    <xf numFmtId="3" fontId="1" fillId="4" borderId="24" xfId="56" applyNumberFormat="1" applyFont="1" applyFill="1" applyBorder="1" applyAlignment="1">
      <alignment horizontal="center" vertical="center"/>
    </xf>
    <xf numFmtId="0" fontId="1" fillId="4" borderId="37" xfId="0" applyFont="1" applyFill="1" applyBorder="1" applyAlignment="1">
      <alignment horizontal="center" vertical="center"/>
    </xf>
    <xf numFmtId="1" fontId="6" fillId="0" borderId="10" xfId="0" applyNumberFormat="1" applyFont="1" applyFill="1" applyBorder="1" applyAlignment="1">
      <alignment horizontal="center" vertical="center"/>
    </xf>
    <xf numFmtId="0" fontId="1" fillId="4" borderId="10" xfId="0" applyFont="1" applyFill="1" applyBorder="1" applyAlignment="1">
      <alignment horizontal="justify" vertical="justify" wrapText="1"/>
    </xf>
    <xf numFmtId="3" fontId="1" fillId="4" borderId="10" xfId="56" applyNumberFormat="1" applyFont="1" applyFill="1" applyBorder="1" applyAlignment="1">
      <alignment horizontal="center" vertical="center"/>
    </xf>
    <xf numFmtId="168" fontId="4" fillId="0" borderId="10" xfId="0" applyNumberFormat="1" applyFont="1" applyBorder="1" applyAlignment="1">
      <alignment vertical="center"/>
    </xf>
    <xf numFmtId="0" fontId="1" fillId="0" borderId="10" xfId="0" applyFont="1" applyBorder="1" applyAlignment="1">
      <alignment horizontal="center" vertical="center"/>
    </xf>
    <xf numFmtId="9" fontId="1" fillId="0" borderId="10" xfId="66" applyFont="1" applyBorder="1" applyAlignment="1">
      <alignment horizontal="center" vertical="center"/>
    </xf>
    <xf numFmtId="0" fontId="2" fillId="10" borderId="26" xfId="0" applyFont="1" applyFill="1" applyBorder="1" applyAlignment="1">
      <alignment vertical="center"/>
    </xf>
    <xf numFmtId="1" fontId="1" fillId="0" borderId="10" xfId="0" applyNumberFormat="1" applyFont="1" applyFill="1" applyBorder="1" applyAlignment="1">
      <alignment horizontal="center" vertical="center"/>
    </xf>
    <xf numFmtId="9" fontId="1" fillId="0" borderId="37" xfId="66" applyFont="1" applyFill="1" applyBorder="1" applyAlignment="1">
      <alignment horizontal="center" vertical="center"/>
    </xf>
    <xf numFmtId="0" fontId="1" fillId="0" borderId="10" xfId="0" applyFont="1" applyFill="1" applyBorder="1" applyAlignment="1">
      <alignment horizontal="justify" vertical="center" wrapText="1"/>
    </xf>
    <xf numFmtId="0" fontId="1" fillId="0" borderId="14" xfId="0" applyFont="1" applyFill="1" applyBorder="1" applyAlignment="1">
      <alignment horizontal="justify" vertical="center" wrapText="1"/>
    </xf>
    <xf numFmtId="3" fontId="1" fillId="0" borderId="10" xfId="56" applyNumberFormat="1" applyFont="1" applyFill="1" applyBorder="1" applyAlignment="1">
      <alignment horizontal="center" vertical="center"/>
    </xf>
    <xf numFmtId="9" fontId="1" fillId="0" borderId="10" xfId="66" applyFont="1" applyFill="1" applyBorder="1" applyAlignment="1">
      <alignment horizontal="center" vertical="center"/>
    </xf>
    <xf numFmtId="0" fontId="1" fillId="0" borderId="37" xfId="0" applyFont="1" applyFill="1" applyBorder="1" applyAlignment="1">
      <alignment horizontal="center" vertical="center"/>
    </xf>
    <xf numFmtId="0" fontId="1" fillId="0" borderId="0" xfId="0" applyFont="1" applyFill="1" applyBorder="1" applyAlignment="1">
      <alignment horizontal="justify" vertical="center" wrapText="1"/>
    </xf>
    <xf numFmtId="3" fontId="1" fillId="0" borderId="37" xfId="56" applyNumberFormat="1" applyFont="1" applyFill="1" applyBorder="1" applyAlignment="1">
      <alignment horizontal="center" vertical="center"/>
    </xf>
    <xf numFmtId="3" fontId="4" fillId="0" borderId="10" xfId="0" applyNumberFormat="1" applyFont="1" applyBorder="1" applyAlignment="1">
      <alignment vertical="center"/>
    </xf>
    <xf numFmtId="168" fontId="4" fillId="4" borderId="10" xfId="0" applyNumberFormat="1" applyFont="1" applyFill="1" applyBorder="1" applyAlignment="1">
      <alignment horizontal="center" vertical="center"/>
    </xf>
    <xf numFmtId="1" fontId="6" fillId="0" borderId="10" xfId="0" applyNumberFormat="1" applyFont="1" applyBorder="1" applyAlignment="1">
      <alignment/>
    </xf>
    <xf numFmtId="10" fontId="1" fillId="0" borderId="10" xfId="0" applyNumberFormat="1" applyFont="1" applyBorder="1" applyAlignment="1">
      <alignment horizontal="center" vertical="center"/>
    </xf>
    <xf numFmtId="0" fontId="2" fillId="10" borderId="13" xfId="0" applyFont="1" applyFill="1" applyBorder="1" applyAlignment="1">
      <alignment horizontal="justify" vertical="center"/>
    </xf>
    <xf numFmtId="9" fontId="1" fillId="0" borderId="12" xfId="66" applyFont="1" applyFill="1" applyBorder="1" applyAlignment="1">
      <alignment horizontal="center" vertical="center"/>
    </xf>
    <xf numFmtId="0" fontId="1" fillId="0" borderId="12" xfId="0" applyFont="1" applyFill="1" applyBorder="1" applyAlignment="1">
      <alignment horizontal="justify" vertical="center" wrapText="1"/>
    </xf>
    <xf numFmtId="0" fontId="1" fillId="0" borderId="12" xfId="0" applyFont="1" applyFill="1" applyBorder="1" applyAlignment="1">
      <alignment horizontal="justify" vertical="center"/>
    </xf>
    <xf numFmtId="0" fontId="1" fillId="0" borderId="12" xfId="0" applyFont="1" applyFill="1" applyBorder="1" applyAlignment="1">
      <alignment horizontal="center" vertical="center"/>
    </xf>
    <xf numFmtId="1" fontId="1" fillId="4" borderId="37" xfId="0" applyNumberFormat="1" applyFont="1" applyFill="1" applyBorder="1" applyAlignment="1">
      <alignment horizontal="center" vertical="center"/>
    </xf>
    <xf numFmtId="0" fontId="1" fillId="0" borderId="0" xfId="0" applyFont="1" applyFill="1" applyBorder="1" applyAlignment="1">
      <alignment horizontal="justify" vertical="center" wrapText="1"/>
    </xf>
    <xf numFmtId="0" fontId="1" fillId="0" borderId="37" xfId="0" applyFont="1" applyFill="1" applyBorder="1" applyAlignment="1">
      <alignment horizontal="justify" vertical="center"/>
    </xf>
    <xf numFmtId="164" fontId="1" fillId="4" borderId="10" xfId="0" applyNumberFormat="1" applyFont="1" applyFill="1" applyBorder="1" applyAlignment="1">
      <alignment horizontal="center" vertical="center"/>
    </xf>
    <xf numFmtId="9" fontId="1" fillId="0" borderId="10" xfId="0" applyNumberFormat="1" applyFont="1" applyBorder="1" applyAlignment="1">
      <alignment horizontal="center" vertical="center"/>
    </xf>
    <xf numFmtId="0" fontId="2" fillId="10" borderId="37" xfId="0" applyFont="1" applyFill="1" applyBorder="1" applyAlignment="1">
      <alignment vertical="center"/>
    </xf>
    <xf numFmtId="0" fontId="2" fillId="10" borderId="42" xfId="0" applyFont="1" applyFill="1" applyBorder="1" applyAlignment="1">
      <alignment vertical="center"/>
    </xf>
    <xf numFmtId="0" fontId="1" fillId="0" borderId="10" xfId="0" applyFont="1" applyFill="1" applyBorder="1" applyAlignment="1">
      <alignment horizontal="justify" vertical="center"/>
    </xf>
    <xf numFmtId="168" fontId="1" fillId="0" borderId="10" xfId="52" applyNumberFormat="1" applyFont="1" applyFill="1" applyBorder="1" applyAlignment="1">
      <alignment horizontal="center" vertical="center"/>
    </xf>
    <xf numFmtId="168" fontId="6" fillId="0" borderId="10" xfId="52" applyNumberFormat="1" applyFont="1" applyFill="1" applyBorder="1" applyAlignment="1">
      <alignment horizontal="center" vertical="center"/>
    </xf>
    <xf numFmtId="168" fontId="4" fillId="0" borderId="10" xfId="52" applyNumberFormat="1" applyFont="1" applyFill="1" applyBorder="1" applyAlignment="1">
      <alignment horizontal="center" vertical="center"/>
    </xf>
    <xf numFmtId="0" fontId="4" fillId="0" borderId="10" xfId="0" applyFont="1" applyBorder="1" applyAlignment="1">
      <alignment horizontal="center" vertical="center"/>
    </xf>
    <xf numFmtId="9" fontId="0" fillId="0" borderId="10" xfId="66" applyFont="1" applyFill="1" applyBorder="1" applyAlignment="1">
      <alignment horizontal="right" vertical="center"/>
    </xf>
    <xf numFmtId="0" fontId="1" fillId="4" borderId="52" xfId="0" applyFont="1" applyFill="1" applyBorder="1" applyAlignment="1">
      <alignment horizontal="justify" vertical="center"/>
    </xf>
    <xf numFmtId="0" fontId="1" fillId="4" borderId="46" xfId="0" applyFont="1" applyFill="1" applyBorder="1" applyAlignment="1">
      <alignment horizontal="justify" vertical="center"/>
    </xf>
    <xf numFmtId="0" fontId="1" fillId="4" borderId="47" xfId="0" applyFont="1" applyFill="1" applyBorder="1" applyAlignment="1">
      <alignment horizontal="justify" vertical="center"/>
    </xf>
    <xf numFmtId="42" fontId="2" fillId="0" borderId="53" xfId="0" applyNumberFormat="1" applyFont="1" applyFill="1" applyBorder="1" applyAlignment="1">
      <alignment horizontal="center" vertical="center"/>
    </xf>
    <xf numFmtId="42" fontId="7" fillId="0" borderId="53" xfId="0" applyNumberFormat="1" applyFont="1" applyFill="1" applyBorder="1" applyAlignment="1">
      <alignment horizontal="center" vertical="center"/>
    </xf>
    <xf numFmtId="3" fontId="1" fillId="4" borderId="52" xfId="0" applyNumberFormat="1" applyFont="1" applyFill="1" applyBorder="1" applyAlignment="1">
      <alignment horizontal="center" vertical="center"/>
    </xf>
    <xf numFmtId="0" fontId="1" fillId="4" borderId="46" xfId="0" applyFont="1" applyFill="1" applyBorder="1" applyAlignment="1">
      <alignment horizontal="center" vertical="center"/>
    </xf>
    <xf numFmtId="0" fontId="6" fillId="0" borderId="46" xfId="0" applyFont="1" applyBorder="1" applyAlignment="1">
      <alignment/>
    </xf>
    <xf numFmtId="0" fontId="4" fillId="0" borderId="46" xfId="0" applyFont="1" applyBorder="1" applyAlignment="1">
      <alignment/>
    </xf>
    <xf numFmtId="0" fontId="1" fillId="0" borderId="46" xfId="0" applyFont="1" applyFill="1" applyBorder="1" applyAlignment="1">
      <alignment horizontal="center" vertical="center"/>
    </xf>
    <xf numFmtId="0" fontId="6" fillId="0" borderId="46" xfId="0" applyFont="1" applyFill="1" applyBorder="1" applyAlignment="1">
      <alignment horizontal="center" vertical="center"/>
    </xf>
    <xf numFmtId="43" fontId="0" fillId="4" borderId="0" xfId="51" applyFont="1" applyFill="1" applyAlignment="1">
      <alignment horizontal="center"/>
    </xf>
    <xf numFmtId="44" fontId="6" fillId="4" borderId="0" xfId="54" applyFont="1" applyFill="1" applyAlignment="1">
      <alignment horizontal="center" vertical="center"/>
    </xf>
    <xf numFmtId="42" fontId="1" fillId="4" borderId="0" xfId="0" applyNumberFormat="1" applyFont="1" applyFill="1" applyAlignment="1">
      <alignment horizontal="center" vertical="center"/>
    </xf>
    <xf numFmtId="3" fontId="0" fillId="4" borderId="0" xfId="0" applyNumberFormat="1" applyFont="1" applyFill="1" applyAlignment="1">
      <alignment horizontal="center" vertical="center"/>
    </xf>
    <xf numFmtId="169" fontId="1" fillId="4" borderId="0" xfId="0" applyNumberFormat="1" applyFont="1" applyFill="1" applyAlignment="1">
      <alignment horizontal="center"/>
    </xf>
    <xf numFmtId="169" fontId="6" fillId="4" borderId="0" xfId="0" applyNumberFormat="1" applyFont="1" applyFill="1" applyAlignment="1">
      <alignment horizontal="center"/>
    </xf>
    <xf numFmtId="0" fontId="1" fillId="4" borderId="14" xfId="0" applyFont="1" applyFill="1" applyBorder="1" applyAlignment="1">
      <alignment/>
    </xf>
    <xf numFmtId="0" fontId="1" fillId="4" borderId="19" xfId="0" applyFont="1" applyFill="1" applyBorder="1" applyAlignment="1">
      <alignment/>
    </xf>
    <xf numFmtId="0" fontId="1" fillId="4" borderId="25" xfId="0" applyFont="1" applyFill="1" applyBorder="1" applyAlignment="1">
      <alignment/>
    </xf>
    <xf numFmtId="0" fontId="1" fillId="4" borderId="38" xfId="0" applyFont="1" applyFill="1" applyBorder="1" applyAlignment="1">
      <alignment/>
    </xf>
    <xf numFmtId="0" fontId="1" fillId="4" borderId="25" xfId="0" applyFont="1" applyFill="1" applyBorder="1" applyAlignment="1">
      <alignment/>
    </xf>
    <xf numFmtId="0" fontId="1" fillId="4" borderId="38" xfId="0" applyFont="1" applyFill="1" applyBorder="1" applyAlignment="1">
      <alignment/>
    </xf>
    <xf numFmtId="0" fontId="1" fillId="4" borderId="25" xfId="0" applyFont="1" applyFill="1" applyBorder="1" applyAlignment="1">
      <alignment horizontal="center"/>
    </xf>
    <xf numFmtId="0" fontId="1" fillId="4" borderId="38" xfId="0" applyFont="1" applyFill="1" applyBorder="1" applyAlignment="1">
      <alignment horizontal="center"/>
    </xf>
    <xf numFmtId="1" fontId="2" fillId="10" borderId="14" xfId="0" applyNumberFormat="1" applyFont="1" applyFill="1" applyBorder="1" applyAlignment="1">
      <alignment horizontal="left" vertical="center" wrapText="1"/>
    </xf>
    <xf numFmtId="1" fontId="2" fillId="10" borderId="16" xfId="0" applyNumberFormat="1" applyFont="1" applyFill="1" applyBorder="1" applyAlignment="1">
      <alignment horizontal="justify" vertical="center" wrapText="1"/>
    </xf>
    <xf numFmtId="1" fontId="2" fillId="10" borderId="16" xfId="0" applyNumberFormat="1" applyFont="1" applyFill="1" applyBorder="1" applyAlignment="1">
      <alignment horizontal="justify" vertical="center"/>
    </xf>
    <xf numFmtId="0" fontId="2" fillId="4" borderId="38" xfId="0" applyFont="1" applyFill="1" applyBorder="1" applyAlignment="1">
      <alignment vertical="center"/>
    </xf>
    <xf numFmtId="1" fontId="2" fillId="10" borderId="19" xfId="0" applyNumberFormat="1" applyFont="1" applyFill="1" applyBorder="1" applyAlignment="1">
      <alignment horizontal="justify" vertical="center" wrapText="1"/>
    </xf>
    <xf numFmtId="0" fontId="1" fillId="4" borderId="42" xfId="0" applyFont="1" applyFill="1" applyBorder="1" applyAlignment="1">
      <alignment/>
    </xf>
    <xf numFmtId="0" fontId="1" fillId="4" borderId="14" xfId="0" applyFont="1" applyFill="1" applyBorder="1" applyAlignment="1">
      <alignment/>
    </xf>
    <xf numFmtId="0" fontId="1" fillId="4" borderId="19" xfId="0" applyFont="1" applyFill="1" applyBorder="1" applyAlignment="1">
      <alignment/>
    </xf>
    <xf numFmtId="0" fontId="1" fillId="4" borderId="37" xfId="0" applyFont="1" applyFill="1" applyBorder="1" applyAlignment="1">
      <alignment horizontal="justify" vertical="center" wrapText="1"/>
    </xf>
    <xf numFmtId="0" fontId="1" fillId="0" borderId="37" xfId="0" applyFont="1" applyFill="1" applyBorder="1" applyAlignment="1">
      <alignment horizontal="justify" vertical="center" wrapText="1"/>
    </xf>
    <xf numFmtId="1" fontId="1" fillId="4" borderId="17" xfId="0" applyNumberFormat="1" applyFont="1" applyFill="1" applyBorder="1" applyAlignment="1">
      <alignment horizontal="center" vertical="center" wrapText="1"/>
    </xf>
    <xf numFmtId="42" fontId="2" fillId="4" borderId="47"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165" fontId="6" fillId="0" borderId="10" xfId="48" applyNumberFormat="1" applyFont="1" applyFill="1" applyBorder="1" applyAlignment="1">
      <alignment horizontal="center" vertical="center"/>
    </xf>
    <xf numFmtId="0" fontId="6" fillId="4" borderId="10" xfId="0" applyNumberFormat="1" applyFont="1" applyFill="1" applyBorder="1" applyAlignment="1">
      <alignment horizontal="center" vertical="center" wrapText="1"/>
    </xf>
    <xf numFmtId="3" fontId="8" fillId="4" borderId="10" xfId="0" applyNumberFormat="1" applyFont="1" applyFill="1" applyBorder="1" applyAlignment="1">
      <alignment horizontal="center" vertical="center"/>
    </xf>
    <xf numFmtId="42" fontId="6" fillId="4" borderId="37" xfId="56" applyFont="1" applyFill="1" applyBorder="1" applyAlignment="1">
      <alignment horizontal="center" vertical="center"/>
    </xf>
    <xf numFmtId="3" fontId="8" fillId="4" borderId="12" xfId="0" applyNumberFormat="1" applyFont="1" applyFill="1" applyBorder="1" applyAlignment="1">
      <alignment horizontal="center" vertical="center"/>
    </xf>
    <xf numFmtId="44" fontId="8" fillId="4" borderId="10" xfId="54" applyFont="1" applyFill="1" applyBorder="1" applyAlignment="1">
      <alignment horizontal="center" vertical="center"/>
    </xf>
    <xf numFmtId="42" fontId="6" fillId="0" borderId="37" xfId="56" applyFont="1" applyFill="1" applyBorder="1" applyAlignment="1">
      <alignment horizontal="center" vertical="center"/>
    </xf>
    <xf numFmtId="164" fontId="2" fillId="9" borderId="26" xfId="55" applyFont="1" applyFill="1" applyBorder="1" applyAlignment="1">
      <alignment horizontal="center" vertical="center" textRotation="180" wrapText="1"/>
    </xf>
    <xf numFmtId="164" fontId="2" fillId="9" borderId="26" xfId="55" applyFont="1" applyFill="1" applyBorder="1" applyAlignment="1">
      <alignment vertical="center" textRotation="180" wrapText="1"/>
    </xf>
    <xf numFmtId="164" fontId="2" fillId="10" borderId="17" xfId="55" applyFont="1" applyFill="1" applyBorder="1" applyAlignment="1">
      <alignment horizontal="center" vertical="center"/>
    </xf>
    <xf numFmtId="164" fontId="2" fillId="10" borderId="17" xfId="55" applyFont="1" applyFill="1" applyBorder="1" applyAlignment="1">
      <alignment vertical="center"/>
    </xf>
    <xf numFmtId="164" fontId="2" fillId="9" borderId="17" xfId="55" applyFont="1" applyFill="1" applyBorder="1" applyAlignment="1">
      <alignment horizontal="center" vertical="center"/>
    </xf>
    <xf numFmtId="164" fontId="2" fillId="9" borderId="17" xfId="55" applyFont="1" applyFill="1" applyBorder="1" applyAlignment="1">
      <alignment vertical="center"/>
    </xf>
    <xf numFmtId="164" fontId="2" fillId="10" borderId="14" xfId="55" applyFont="1" applyFill="1" applyBorder="1" applyAlignment="1">
      <alignment horizontal="center" vertical="center"/>
    </xf>
    <xf numFmtId="164" fontId="2" fillId="10" borderId="14" xfId="55" applyFont="1" applyFill="1" applyBorder="1" applyAlignment="1">
      <alignment vertical="center"/>
    </xf>
    <xf numFmtId="164" fontId="0" fillId="0" borderId="10" xfId="55" applyFont="1" applyFill="1" applyBorder="1" applyAlignment="1">
      <alignment horizontal="center" vertical="center"/>
    </xf>
    <xf numFmtId="164" fontId="0" fillId="0" borderId="10" xfId="55" applyFont="1" applyFill="1" applyBorder="1" applyAlignment="1">
      <alignment vertical="center"/>
    </xf>
    <xf numFmtId="164" fontId="2" fillId="10" borderId="34" xfId="55" applyFont="1" applyFill="1" applyBorder="1" applyAlignment="1">
      <alignment horizontal="center" vertical="center"/>
    </xf>
    <xf numFmtId="164" fontId="2" fillId="10" borderId="34" xfId="55" applyFont="1" applyFill="1" applyBorder="1" applyAlignment="1">
      <alignment vertical="center"/>
    </xf>
    <xf numFmtId="164" fontId="2" fillId="10" borderId="17" xfId="55" applyFont="1" applyFill="1" applyBorder="1" applyAlignment="1">
      <alignment horizontal="center" vertical="center"/>
    </xf>
    <xf numFmtId="164" fontId="2" fillId="10" borderId="17" xfId="55" applyFont="1" applyFill="1" applyBorder="1" applyAlignment="1">
      <alignment vertical="center"/>
    </xf>
    <xf numFmtId="164" fontId="0" fillId="0" borderId="10" xfId="55" applyFont="1" applyBorder="1" applyAlignment="1">
      <alignment horizontal="center" vertical="center"/>
    </xf>
    <xf numFmtId="164" fontId="0" fillId="0" borderId="10" xfId="55" applyFont="1" applyBorder="1" applyAlignment="1">
      <alignment vertical="center"/>
    </xf>
    <xf numFmtId="164" fontId="0" fillId="0" borderId="12" xfId="55" applyFont="1" applyFill="1" applyBorder="1" applyAlignment="1">
      <alignment horizontal="center" vertical="center"/>
    </xf>
    <xf numFmtId="164" fontId="0" fillId="0" borderId="12" xfId="55" applyFont="1" applyFill="1" applyBorder="1" applyAlignment="1">
      <alignment vertical="center"/>
    </xf>
    <xf numFmtId="164" fontId="1" fillId="0" borderId="10" xfId="55" applyFont="1" applyBorder="1" applyAlignment="1">
      <alignment horizontal="center" vertical="center"/>
    </xf>
    <xf numFmtId="164" fontId="1" fillId="0" borderId="10" xfId="55" applyFont="1" applyBorder="1" applyAlignment="1">
      <alignment vertical="center"/>
    </xf>
    <xf numFmtId="164" fontId="1" fillId="4" borderId="10" xfId="55" applyFont="1" applyFill="1" applyBorder="1" applyAlignment="1">
      <alignment horizontal="center" vertical="center"/>
    </xf>
    <xf numFmtId="164" fontId="1" fillId="4" borderId="10" xfId="55" applyFont="1" applyFill="1" applyBorder="1" applyAlignment="1">
      <alignment vertical="center"/>
    </xf>
    <xf numFmtId="164" fontId="1" fillId="0" borderId="46" xfId="55" applyFont="1" applyBorder="1" applyAlignment="1">
      <alignment horizontal="center" vertical="center"/>
    </xf>
    <xf numFmtId="164" fontId="1" fillId="0" borderId="46" xfId="55" applyFont="1" applyBorder="1" applyAlignment="1">
      <alignment vertical="center"/>
    </xf>
    <xf numFmtId="164" fontId="0" fillId="4" borderId="0" xfId="55" applyFont="1" applyFill="1" applyAlignment="1">
      <alignment horizontal="center" vertical="center"/>
    </xf>
    <xf numFmtId="164" fontId="0" fillId="4" borderId="0" xfId="55" applyFont="1" applyFill="1" applyAlignment="1">
      <alignment vertical="center"/>
    </xf>
    <xf numFmtId="164" fontId="1" fillId="4" borderId="0" xfId="55" applyFont="1" applyFill="1" applyAlignment="1">
      <alignment horizontal="center" vertical="center"/>
    </xf>
    <xf numFmtId="164" fontId="1" fillId="4" borderId="0" xfId="55" applyFont="1" applyFill="1" applyAlignment="1">
      <alignment vertical="center"/>
    </xf>
    <xf numFmtId="0" fontId="4" fillId="4" borderId="37" xfId="0" applyFont="1" applyFill="1" applyBorder="1" applyAlignment="1">
      <alignment vertical="center" textRotation="180" wrapText="1"/>
    </xf>
    <xf numFmtId="0" fontId="4" fillId="4" borderId="12" xfId="0" applyFont="1" applyFill="1" applyBorder="1" applyAlignment="1">
      <alignment vertical="center" textRotation="180" wrapText="1"/>
    </xf>
    <xf numFmtId="167" fontId="2" fillId="4" borderId="14" xfId="62" applyFont="1" applyFill="1" applyBorder="1">
      <alignment/>
      <protection/>
    </xf>
    <xf numFmtId="168" fontId="1" fillId="4" borderId="0" xfId="60" applyNumberFormat="1" applyFont="1" applyFill="1">
      <alignment/>
      <protection/>
    </xf>
    <xf numFmtId="167" fontId="1" fillId="4" borderId="0" xfId="60" applyFont="1" applyFill="1" applyAlignment="1">
      <alignment horizontal="right" vertical="center"/>
      <protection/>
    </xf>
    <xf numFmtId="167" fontId="6" fillId="4" borderId="0" xfId="60" applyFont="1" applyFill="1" applyAlignment="1">
      <alignment horizontal="right" vertical="center"/>
      <protection/>
    </xf>
    <xf numFmtId="169" fontId="1" fillId="4" borderId="0" xfId="60" applyNumberFormat="1" applyFont="1" applyFill="1" applyAlignment="1">
      <alignment horizontal="center"/>
      <protection/>
    </xf>
    <xf numFmtId="169" fontId="6" fillId="4" borderId="0" xfId="60" applyNumberFormat="1" applyFont="1" applyFill="1" applyAlignment="1">
      <alignment horizontal="center"/>
      <protection/>
    </xf>
    <xf numFmtId="167" fontId="1" fillId="4" borderId="0" xfId="60" applyFont="1" applyFill="1" applyAlignment="1">
      <alignment horizontal="left"/>
      <protection/>
    </xf>
    <xf numFmtId="167" fontId="1" fillId="4" borderId="0" xfId="60" applyFont="1" applyFill="1" applyBorder="1" applyAlignment="1">
      <alignment horizontal="justify" vertical="center"/>
      <protection/>
    </xf>
    <xf numFmtId="167" fontId="1" fillId="4" borderId="0" xfId="60" applyFont="1" applyFill="1" applyBorder="1">
      <alignment/>
      <protection/>
    </xf>
    <xf numFmtId="4" fontId="0" fillId="4" borderId="0" xfId="0" applyNumberFormat="1" applyFont="1" applyFill="1" applyBorder="1" applyAlignment="1">
      <alignment horizontal="right" vertical="center"/>
    </xf>
    <xf numFmtId="4" fontId="8" fillId="4" borderId="0" xfId="0" applyNumberFormat="1" applyFont="1" applyFill="1" applyBorder="1" applyAlignment="1">
      <alignment horizontal="right" vertical="center"/>
    </xf>
    <xf numFmtId="0" fontId="8" fillId="4" borderId="0" xfId="0" applyFont="1" applyFill="1" applyBorder="1" applyAlignment="1">
      <alignment/>
    </xf>
    <xf numFmtId="167" fontId="6" fillId="4" borderId="0" xfId="60" applyFont="1" applyFill="1" applyBorder="1">
      <alignment/>
      <protection/>
    </xf>
    <xf numFmtId="167" fontId="1" fillId="4" borderId="0" xfId="60" applyFont="1" applyFill="1" applyBorder="1" applyAlignment="1">
      <alignment/>
      <protection/>
    </xf>
    <xf numFmtId="167" fontId="6" fillId="4" borderId="0" xfId="60" applyFont="1" applyFill="1" applyBorder="1" applyAlignment="1">
      <alignment horizontal="justify" vertical="center"/>
      <protection/>
    </xf>
    <xf numFmtId="167" fontId="2" fillId="4" borderId="14" xfId="60" applyFont="1" applyFill="1" applyBorder="1">
      <alignment/>
      <protection/>
    </xf>
    <xf numFmtId="185" fontId="1" fillId="4" borderId="0" xfId="0" applyNumberFormat="1" applyFont="1" applyFill="1" applyAlignment="1">
      <alignment/>
    </xf>
    <xf numFmtId="49" fontId="1" fillId="4" borderId="0" xfId="0" applyNumberFormat="1" applyFont="1" applyFill="1" applyAlignment="1">
      <alignment/>
    </xf>
    <xf numFmtId="0" fontId="1" fillId="4" borderId="0" xfId="0" applyFont="1" applyFill="1" applyAlignment="1">
      <alignment horizontal="right" vertical="center"/>
    </xf>
    <xf numFmtId="0" fontId="6" fillId="4" borderId="0" xfId="0" applyFont="1" applyFill="1" applyAlignment="1">
      <alignment horizontal="right" vertical="center"/>
    </xf>
    <xf numFmtId="1" fontId="6" fillId="0" borderId="10" xfId="0" applyNumberFormat="1" applyFont="1" applyBorder="1" applyAlignment="1">
      <alignment horizontal="center" vertical="center" textRotation="180"/>
    </xf>
    <xf numFmtId="1" fontId="6" fillId="0" borderId="24" xfId="0" applyNumberFormat="1" applyFont="1" applyBorder="1" applyAlignment="1">
      <alignment horizontal="center" vertical="center" textRotation="180"/>
    </xf>
    <xf numFmtId="168" fontId="6" fillId="0" borderId="10" xfId="0" applyNumberFormat="1" applyFont="1" applyBorder="1" applyAlignment="1">
      <alignment horizontal="center" vertical="center"/>
    </xf>
    <xf numFmtId="168" fontId="6" fillId="0" borderId="10" xfId="0" applyNumberFormat="1" applyFont="1" applyBorder="1" applyAlignment="1">
      <alignment vertical="center"/>
    </xf>
    <xf numFmtId="3" fontId="6" fillId="0" borderId="10" xfId="0" applyNumberFormat="1" applyFont="1" applyBorder="1" applyAlignment="1">
      <alignment vertical="center"/>
    </xf>
    <xf numFmtId="3" fontId="2" fillId="9" borderId="54" xfId="0" applyNumberFormat="1" applyFont="1" applyFill="1" applyBorder="1" applyAlignment="1">
      <alignment horizontal="center" vertical="center" wrapText="1"/>
    </xf>
    <xf numFmtId="3" fontId="2" fillId="9" borderId="39" xfId="0" applyNumberFormat="1" applyFont="1" applyFill="1" applyBorder="1" applyAlignment="1">
      <alignment horizontal="center" vertical="center" wrapText="1"/>
    </xf>
    <xf numFmtId="192" fontId="1" fillId="0" borderId="10" xfId="0" applyNumberFormat="1" applyFont="1" applyFill="1" applyBorder="1" applyAlignment="1">
      <alignment vertical="center" wrapText="1"/>
    </xf>
    <xf numFmtId="192" fontId="1" fillId="0" borderId="10"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justify" vertical="center"/>
    </xf>
    <xf numFmtId="169" fontId="1" fillId="0" borderId="0" xfId="0" applyNumberFormat="1" applyFont="1" applyFill="1" applyAlignment="1">
      <alignment horizontal="center"/>
    </xf>
    <xf numFmtId="193" fontId="1" fillId="0" borderId="0" xfId="0" applyNumberFormat="1" applyFont="1" applyFill="1" applyAlignment="1">
      <alignment horizontal="justify" vertical="center"/>
    </xf>
    <xf numFmtId="0" fontId="2" fillId="0" borderId="14" xfId="0" applyFont="1" applyFill="1" applyBorder="1" applyAlignment="1">
      <alignment/>
    </xf>
    <xf numFmtId="169" fontId="1" fillId="0" borderId="10" xfId="0" applyNumberFormat="1" applyFont="1" applyFill="1" applyBorder="1" applyAlignment="1">
      <alignment horizontal="center" vertical="center" wrapText="1"/>
    </xf>
    <xf numFmtId="169" fontId="1" fillId="0" borderId="37"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1" fillId="4" borderId="37" xfId="0" applyFont="1" applyFill="1" applyBorder="1" applyAlignment="1">
      <alignment horizontal="justify" vertical="center" wrapText="1"/>
    </xf>
    <xf numFmtId="0" fontId="1" fillId="4" borderId="12" xfId="0" applyFont="1" applyFill="1" applyBorder="1" applyAlignment="1">
      <alignment horizontal="justify" vertical="center" wrapText="1"/>
    </xf>
    <xf numFmtId="0" fontId="2" fillId="10" borderId="17" xfId="0" applyFont="1" applyFill="1" applyBorder="1" applyAlignment="1">
      <alignment horizontal="left" vertical="center" wrapText="1"/>
    </xf>
    <xf numFmtId="0" fontId="2" fillId="9" borderId="25" xfId="0" applyFont="1" applyFill="1" applyBorder="1" applyAlignment="1">
      <alignment horizontal="center" vertical="center" wrapText="1"/>
    </xf>
    <xf numFmtId="0" fontId="2" fillId="9" borderId="24"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10" xfId="0" applyFont="1" applyFill="1" applyBorder="1" applyAlignment="1">
      <alignment horizontal="center" vertical="center" wrapText="1"/>
    </xf>
    <xf numFmtId="169" fontId="6" fillId="0" borderId="37" xfId="0" applyNumberFormat="1" applyFont="1" applyFill="1" applyBorder="1" applyAlignment="1">
      <alignment horizontal="center" vertical="center" wrapText="1"/>
    </xf>
    <xf numFmtId="169" fontId="6" fillId="0" borderId="24" xfId="0" applyNumberFormat="1" applyFont="1" applyFill="1" applyBorder="1" applyAlignment="1">
      <alignment horizontal="center" vertical="center" wrapText="1"/>
    </xf>
    <xf numFmtId="169" fontId="4" fillId="0" borderId="24"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9" fontId="4" fillId="4" borderId="37" xfId="66"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2" xfId="0" applyFont="1" applyFill="1" applyBorder="1" applyAlignment="1">
      <alignment horizontal="center" vertical="center" wrapText="1"/>
    </xf>
    <xf numFmtId="9" fontId="4" fillId="4" borderId="10" xfId="66" applyFont="1" applyFill="1" applyBorder="1" applyAlignment="1">
      <alignment horizontal="center" vertical="center" wrapText="1"/>
    </xf>
    <xf numFmtId="0" fontId="4" fillId="4" borderId="10" xfId="0" applyFont="1" applyFill="1" applyBorder="1" applyAlignment="1">
      <alignment horizontal="justify" vertical="center" wrapText="1"/>
    </xf>
    <xf numFmtId="0" fontId="4" fillId="0" borderId="24" xfId="0" applyFont="1" applyFill="1" applyBorder="1" applyAlignment="1">
      <alignment horizontal="justify" vertical="center" wrapText="1"/>
    </xf>
    <xf numFmtId="9" fontId="1" fillId="0" borderId="37" xfId="66"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4" fillId="4" borderId="24" xfId="0" applyFont="1" applyFill="1" applyBorder="1" applyAlignment="1">
      <alignment horizontal="justify" vertical="center" wrapText="1"/>
    </xf>
    <xf numFmtId="1" fontId="4" fillId="4" borderId="37" xfId="0" applyNumberFormat="1" applyFont="1" applyFill="1" applyBorder="1" applyAlignment="1">
      <alignment horizontal="center" vertical="center" wrapText="1"/>
    </xf>
    <xf numFmtId="1" fontId="4" fillId="4" borderId="10" xfId="0" applyNumberFormat="1" applyFont="1" applyFill="1" applyBorder="1" applyAlignment="1">
      <alignment horizontal="center" vertical="center" wrapText="1"/>
    </xf>
    <xf numFmtId="1" fontId="6" fillId="4" borderId="37"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2" fillId="10" borderId="17" xfId="0" applyFont="1" applyFill="1" applyBorder="1" applyAlignment="1">
      <alignment horizontal="left" vertical="center"/>
    </xf>
    <xf numFmtId="0" fontId="1" fillId="0" borderId="12" xfId="0" applyFont="1" applyFill="1" applyBorder="1" applyAlignment="1">
      <alignment horizontal="justify" vertical="center" wrapText="1"/>
    </xf>
    <xf numFmtId="0" fontId="1" fillId="4" borderId="34" xfId="0" applyFont="1" applyFill="1" applyBorder="1" applyAlignment="1">
      <alignment horizontal="center" vertical="center" wrapText="1"/>
    </xf>
    <xf numFmtId="1" fontId="1" fillId="4" borderId="37" xfId="0" applyNumberFormat="1" applyFont="1" applyFill="1" applyBorder="1" applyAlignment="1">
      <alignment horizontal="center" vertical="center" wrapText="1"/>
    </xf>
    <xf numFmtId="9" fontId="1" fillId="4" borderId="37" xfId="66" applyFont="1" applyFill="1" applyBorder="1" applyAlignment="1">
      <alignment horizontal="center" vertical="center" wrapText="1"/>
    </xf>
    <xf numFmtId="9" fontId="1" fillId="4" borderId="12" xfId="66"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2" fillId="9" borderId="14" xfId="0" applyFont="1" applyFill="1" applyBorder="1" applyAlignment="1">
      <alignment horizontal="left" vertical="center"/>
    </xf>
    <xf numFmtId="0" fontId="1" fillId="4" borderId="42"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26" xfId="0" applyFont="1" applyFill="1" applyBorder="1" applyAlignment="1">
      <alignment horizontal="justify" vertical="center" wrapText="1"/>
    </xf>
    <xf numFmtId="9" fontId="1" fillId="4" borderId="24" xfId="66" applyFont="1" applyFill="1" applyBorder="1" applyAlignment="1">
      <alignment horizontal="center" vertical="center" wrapText="1"/>
    </xf>
    <xf numFmtId="9" fontId="1" fillId="4" borderId="10" xfId="66" applyFont="1" applyFill="1" applyBorder="1" applyAlignment="1">
      <alignment horizontal="center" vertical="center" wrapText="1"/>
    </xf>
    <xf numFmtId="169" fontId="6" fillId="0" borderId="10" xfId="0" applyNumberFormat="1" applyFont="1" applyFill="1" applyBorder="1" applyAlignment="1">
      <alignment horizontal="center" vertical="center" wrapText="1"/>
    </xf>
    <xf numFmtId="169" fontId="4" fillId="0" borderId="10"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4" xfId="0" applyFont="1" applyFill="1" applyBorder="1" applyAlignment="1">
      <alignment horizontal="center" vertical="center" wrapText="1"/>
    </xf>
    <xf numFmtId="1" fontId="1" fillId="4" borderId="24" xfId="0" applyNumberFormat="1" applyFont="1" applyFill="1" applyBorder="1" applyAlignment="1">
      <alignment horizontal="center" vertical="center" wrapText="1"/>
    </xf>
    <xf numFmtId="0" fontId="1" fillId="4" borderId="10" xfId="0" applyFont="1" applyFill="1" applyBorder="1" applyAlignment="1">
      <alignment horizontal="center" vertical="center"/>
    </xf>
    <xf numFmtId="1" fontId="1" fillId="4" borderId="10" xfId="0" applyNumberFormat="1" applyFont="1" applyFill="1" applyBorder="1" applyAlignment="1">
      <alignment horizontal="center" vertical="center"/>
    </xf>
    <xf numFmtId="0" fontId="1" fillId="4" borderId="10" xfId="0" applyFont="1" applyFill="1" applyBorder="1" applyAlignment="1">
      <alignment horizontal="justify" vertical="center" wrapText="1"/>
    </xf>
    <xf numFmtId="0" fontId="1" fillId="0" borderId="10" xfId="0" applyFont="1" applyFill="1" applyBorder="1" applyAlignment="1">
      <alignment horizontal="center" vertical="center"/>
    </xf>
    <xf numFmtId="3" fontId="6" fillId="0" borderId="37" xfId="0" applyNumberFormat="1" applyFont="1" applyFill="1" applyBorder="1" applyAlignment="1">
      <alignment horizontal="center" vertical="center" wrapText="1"/>
    </xf>
    <xf numFmtId="165" fontId="6" fillId="0" borderId="10" xfId="48"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1" fillId="4" borderId="10" xfId="0" applyNumberFormat="1" applyFont="1" applyFill="1" applyBorder="1" applyAlignment="1">
      <alignment horizontal="center" vertical="center" wrapText="1"/>
    </xf>
    <xf numFmtId="169" fontId="1" fillId="4" borderId="10" xfId="0" applyNumberFormat="1" applyFont="1" applyFill="1" applyBorder="1" applyAlignment="1">
      <alignment horizontal="center" vertical="center" wrapText="1"/>
    </xf>
    <xf numFmtId="169" fontId="6" fillId="4" borderId="10" xfId="0" applyNumberFormat="1" applyFont="1" applyFill="1" applyBorder="1" applyAlignment="1">
      <alignment horizontal="center" vertical="center" wrapText="1"/>
    </xf>
    <xf numFmtId="169" fontId="6" fillId="4" borderId="15" xfId="0" applyNumberFormat="1" applyFont="1" applyFill="1" applyBorder="1" applyAlignment="1">
      <alignment horizontal="center" vertical="center" wrapText="1"/>
    </xf>
    <xf numFmtId="42" fontId="1" fillId="0" borderId="37" xfId="56" applyFont="1" applyFill="1" applyBorder="1" applyAlignment="1">
      <alignment horizontal="justify" vertical="center" wrapText="1"/>
    </xf>
    <xf numFmtId="42" fontId="1" fillId="0" borderId="12" xfId="56" applyFont="1" applyFill="1" applyBorder="1" applyAlignment="1">
      <alignment horizontal="justify" vertical="center" wrapText="1"/>
    </xf>
    <xf numFmtId="42" fontId="1" fillId="4" borderId="37" xfId="56" applyFont="1" applyFill="1" applyBorder="1" applyAlignment="1">
      <alignment horizontal="justify" vertical="center" wrapText="1"/>
    </xf>
    <xf numFmtId="42" fontId="1" fillId="4" borderId="12" xfId="56" applyFont="1" applyFill="1" applyBorder="1" applyAlignment="1">
      <alignment horizontal="justify" vertical="center" wrapText="1"/>
    </xf>
    <xf numFmtId="0" fontId="1" fillId="0" borderId="0" xfId="0" applyFont="1" applyFill="1" applyBorder="1" applyAlignment="1">
      <alignment horizontal="center"/>
    </xf>
    <xf numFmtId="42" fontId="6" fillId="0" borderId="10" xfId="56" applyFont="1" applyFill="1" applyBorder="1" applyAlignment="1">
      <alignment horizontal="center" vertical="center"/>
    </xf>
    <xf numFmtId="0" fontId="1" fillId="4" borderId="15" xfId="0" applyFont="1" applyFill="1" applyBorder="1" applyAlignment="1">
      <alignment horizontal="center" vertical="center" wrapText="1"/>
    </xf>
    <xf numFmtId="1" fontId="2" fillId="10" borderId="17" xfId="0" applyNumberFormat="1" applyFont="1" applyFill="1" applyBorder="1" applyAlignment="1">
      <alignment horizontal="center" vertical="center"/>
    </xf>
    <xf numFmtId="0" fontId="2" fillId="10" borderId="17" xfId="0" applyFont="1" applyFill="1" applyBorder="1" applyAlignment="1">
      <alignment horizontal="center" vertical="center"/>
    </xf>
    <xf numFmtId="3" fontId="4" fillId="4" borderId="10" xfId="0" applyNumberFormat="1" applyFont="1" applyFill="1" applyBorder="1" applyAlignment="1">
      <alignment horizontal="center" vertical="center" wrapText="1"/>
    </xf>
    <xf numFmtId="42" fontId="4" fillId="4" borderId="24" xfId="56" applyFont="1" applyFill="1" applyBorder="1" applyAlignment="1">
      <alignment horizontal="justify" vertical="center" wrapText="1"/>
    </xf>
    <xf numFmtId="42" fontId="4" fillId="4" borderId="12" xfId="56" applyFont="1" applyFill="1" applyBorder="1" applyAlignment="1">
      <alignment horizontal="justify" vertical="center" wrapText="1"/>
    </xf>
    <xf numFmtId="0" fontId="1" fillId="4" borderId="14" xfId="0" applyFont="1" applyFill="1" applyBorder="1" applyAlignment="1">
      <alignment horizontal="center" vertical="center" wrapText="1"/>
    </xf>
    <xf numFmtId="169" fontId="10" fillId="9" borderId="10" xfId="0" applyNumberFormat="1"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38" xfId="0" applyFont="1" applyFill="1" applyBorder="1" applyAlignment="1">
      <alignment horizontal="center" vertical="center" wrapText="1"/>
    </xf>
    <xf numFmtId="1" fontId="6" fillId="0" borderId="19" xfId="0" applyNumberFormat="1" applyFont="1" applyFill="1" applyBorder="1" applyAlignment="1">
      <alignment vertical="center" textRotation="180" wrapText="1"/>
    </xf>
    <xf numFmtId="1" fontId="6" fillId="0" borderId="38" xfId="0" applyNumberFormat="1" applyFont="1" applyFill="1" applyBorder="1" applyAlignment="1">
      <alignment vertical="center" textRotation="180" wrapText="1"/>
    </xf>
    <xf numFmtId="1" fontId="6" fillId="0" borderId="13" xfId="0" applyNumberFormat="1" applyFont="1" applyFill="1" applyBorder="1" applyAlignment="1">
      <alignment vertical="center" textRotation="180" wrapText="1"/>
    </xf>
    <xf numFmtId="0" fontId="6" fillId="0" borderId="10" xfId="0" applyFont="1" applyFill="1" applyBorder="1" applyAlignment="1">
      <alignment horizontal="center" vertical="center" textRotation="180" wrapText="1"/>
    </xf>
    <xf numFmtId="0" fontId="1" fillId="0" borderId="10" xfId="0" applyFont="1" applyFill="1" applyBorder="1" applyAlignment="1">
      <alignment horizontal="center" vertical="center" textRotation="180" wrapText="1"/>
    </xf>
    <xf numFmtId="1" fontId="4" fillId="0" borderId="10" xfId="0" applyNumberFormat="1" applyFont="1" applyFill="1" applyBorder="1" applyAlignment="1">
      <alignment horizontal="center" vertical="center" textRotation="180" wrapText="1"/>
    </xf>
    <xf numFmtId="0" fontId="6" fillId="0" borderId="10" xfId="0" applyFont="1" applyFill="1" applyBorder="1" applyAlignment="1">
      <alignment/>
    </xf>
    <xf numFmtId="0" fontId="4" fillId="0" borderId="10" xfId="0" applyFont="1" applyFill="1" applyBorder="1" applyAlignment="1">
      <alignment/>
    </xf>
    <xf numFmtId="44" fontId="2" fillId="9" borderId="25" xfId="54" applyFont="1" applyFill="1" applyBorder="1" applyAlignment="1">
      <alignment horizontal="center" vertical="center" wrapText="1"/>
    </xf>
    <xf numFmtId="44" fontId="2" fillId="10" borderId="17" xfId="54" applyFont="1" applyFill="1" applyBorder="1" applyAlignment="1">
      <alignment vertical="center"/>
    </xf>
    <xf numFmtId="44" fontId="2" fillId="9" borderId="17" xfId="54" applyFont="1" applyFill="1" applyBorder="1" applyAlignment="1">
      <alignment vertical="center"/>
    </xf>
    <xf numFmtId="44" fontId="2" fillId="10" borderId="17" xfId="54" applyFont="1" applyFill="1" applyBorder="1" applyAlignment="1">
      <alignment vertical="center"/>
    </xf>
    <xf numFmtId="44" fontId="2" fillId="9" borderId="17" xfId="54" applyFont="1" applyFill="1" applyBorder="1" applyAlignment="1">
      <alignment horizontal="justify" vertical="center"/>
    </xf>
    <xf numFmtId="44" fontId="2" fillId="10" borderId="17" xfId="54" applyFont="1" applyFill="1" applyBorder="1" applyAlignment="1">
      <alignment horizontal="justify" vertical="center"/>
    </xf>
    <xf numFmtId="44" fontId="1" fillId="4" borderId="37" xfId="54" applyFont="1" applyFill="1" applyBorder="1" applyAlignment="1">
      <alignment horizontal="center" vertical="center" wrapText="1"/>
    </xf>
    <xf numFmtId="0" fontId="2" fillId="10" borderId="15" xfId="0" applyFont="1" applyFill="1" applyBorder="1" applyAlignment="1">
      <alignment horizontal="justify" vertical="center" wrapText="1"/>
    </xf>
    <xf numFmtId="0" fontId="2" fillId="4" borderId="42" xfId="0" applyFont="1" applyFill="1" applyBorder="1" applyAlignment="1">
      <alignment horizontal="justify" vertical="center" wrapText="1"/>
    </xf>
    <xf numFmtId="44" fontId="4" fillId="4" borderId="37" xfId="54" applyFont="1" applyFill="1" applyBorder="1" applyAlignment="1">
      <alignment horizontal="center" vertical="center" wrapText="1"/>
    </xf>
    <xf numFmtId="0" fontId="4" fillId="4" borderId="26" xfId="0" applyFont="1" applyFill="1" applyBorder="1" applyAlignment="1">
      <alignment vertical="center" wrapText="1"/>
    </xf>
    <xf numFmtId="44" fontId="1" fillId="4" borderId="24" xfId="54" applyFont="1" applyFill="1" applyBorder="1" applyAlignment="1">
      <alignment horizontal="center" vertical="center" wrapText="1"/>
    </xf>
    <xf numFmtId="44" fontId="1" fillId="0" borderId="37" xfId="54" applyFont="1" applyFill="1" applyBorder="1" applyAlignment="1">
      <alignment horizontal="center" vertical="center" wrapText="1"/>
    </xf>
    <xf numFmtId="44" fontId="1" fillId="10" borderId="24" xfId="54" applyFont="1" applyFill="1" applyBorder="1" applyAlignment="1">
      <alignment horizontal="center" vertical="center" wrapText="1"/>
    </xf>
    <xf numFmtId="44" fontId="2" fillId="9" borderId="34" xfId="54" applyFont="1" applyFill="1" applyBorder="1" applyAlignment="1">
      <alignment horizontal="justify" vertical="center"/>
    </xf>
    <xf numFmtId="44" fontId="2" fillId="10" borderId="14" xfId="54" applyFont="1" applyFill="1" applyBorder="1" applyAlignment="1">
      <alignment horizontal="justify" vertical="center"/>
    </xf>
    <xf numFmtId="44" fontId="2" fillId="10" borderId="34" xfId="54" applyFont="1" applyFill="1" applyBorder="1" applyAlignment="1">
      <alignment horizontal="justify" vertical="center"/>
    </xf>
    <xf numFmtId="44" fontId="1" fillId="0" borderId="0" xfId="54" applyFont="1" applyAlignment="1">
      <alignment/>
    </xf>
    <xf numFmtId="0" fontId="23" fillId="0" borderId="0" xfId="0" applyFont="1" applyFill="1" applyAlignment="1">
      <alignment vertical="center"/>
    </xf>
    <xf numFmtId="182" fontId="23" fillId="0" borderId="0" xfId="0" applyNumberFormat="1" applyFont="1" applyFill="1" applyAlignment="1">
      <alignment horizontal="right" vertical="center"/>
    </xf>
    <xf numFmtId="169" fontId="1" fillId="0" borderId="10" xfId="0" applyNumberFormat="1" applyFont="1" applyFill="1" applyBorder="1" applyAlignment="1">
      <alignment vertical="center" wrapText="1"/>
    </xf>
    <xf numFmtId="0" fontId="2" fillId="9" borderId="10" xfId="0" applyFont="1" applyFill="1" applyBorder="1" applyAlignment="1">
      <alignment horizontal="center" vertical="center" wrapText="1"/>
    </xf>
    <xf numFmtId="169" fontId="2" fillId="9" borderId="10"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37"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4" fillId="0" borderId="24" xfId="0" applyFont="1" applyFill="1" applyBorder="1" applyAlignment="1">
      <alignment horizontal="justify" vertical="center" wrapText="1"/>
    </xf>
    <xf numFmtId="0" fontId="6" fillId="0" borderId="37"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4"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readingOrder="2"/>
    </xf>
    <xf numFmtId="9" fontId="4" fillId="0" borderId="10" xfId="0" applyNumberFormat="1" applyFont="1" applyFill="1" applyBorder="1" applyAlignment="1">
      <alignment horizontal="center" vertical="center" wrapText="1"/>
    </xf>
    <xf numFmtId="3" fontId="5" fillId="9" borderId="55" xfId="0" applyNumberFormat="1"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10" xfId="0" applyFont="1" applyFill="1" applyBorder="1" applyAlignment="1">
      <alignment horizontal="center" vertical="center" wrapText="1"/>
    </xf>
    <xf numFmtId="172" fontId="5" fillId="9" borderId="10" xfId="47" applyNumberFormat="1" applyFont="1" applyFill="1" applyBorder="1" applyAlignment="1">
      <alignment horizontal="center" vertical="center" wrapText="1"/>
    </xf>
    <xf numFmtId="9" fontId="5" fillId="9" borderId="37" xfId="67" applyFont="1" applyFill="1" applyBorder="1" applyAlignment="1">
      <alignment horizontal="center" vertical="center" wrapText="1"/>
    </xf>
    <xf numFmtId="0" fontId="4" fillId="4" borderId="12" xfId="0" applyFont="1" applyFill="1" applyBorder="1" applyAlignment="1">
      <alignment horizontal="justify" vertical="center" wrapText="1"/>
    </xf>
    <xf numFmtId="0" fontId="1" fillId="4" borderId="26" xfId="0" applyFont="1" applyFill="1" applyBorder="1" applyAlignment="1">
      <alignment horizontal="justify" vertical="center" wrapText="1"/>
    </xf>
    <xf numFmtId="0" fontId="1" fillId="4" borderId="37" xfId="0" applyFont="1" applyFill="1" applyBorder="1" applyAlignment="1">
      <alignment horizontal="justify" vertical="center" wrapText="1"/>
    </xf>
    <xf numFmtId="0" fontId="1" fillId="4" borderId="12" xfId="0" applyFont="1" applyFill="1" applyBorder="1" applyAlignment="1">
      <alignment horizontal="justify" vertical="center" wrapText="1"/>
    </xf>
    <xf numFmtId="0" fontId="2" fillId="9" borderId="17" xfId="0" applyFont="1" applyFill="1" applyBorder="1" applyAlignment="1">
      <alignment horizontal="left" vertical="center"/>
    </xf>
    <xf numFmtId="9" fontId="1" fillId="0" borderId="10" xfId="0" applyNumberFormat="1" applyFont="1" applyFill="1" applyBorder="1" applyAlignment="1">
      <alignment horizontal="center" vertical="center" wrapText="1"/>
    </xf>
    <xf numFmtId="0" fontId="1" fillId="0" borderId="37" xfId="0" applyFont="1" applyFill="1" applyBorder="1" applyAlignment="1">
      <alignment horizontal="justify" vertical="center" wrapText="1"/>
    </xf>
    <xf numFmtId="0" fontId="1" fillId="4" borderId="10" xfId="0" applyFont="1" applyFill="1" applyBorder="1" applyAlignment="1">
      <alignment horizontal="justify" vertical="center" wrapText="1"/>
    </xf>
    <xf numFmtId="0" fontId="1" fillId="0" borderId="10" xfId="0" applyFont="1" applyBorder="1" applyAlignment="1">
      <alignment horizontal="justify" vertical="center" wrapText="1"/>
    </xf>
    <xf numFmtId="9" fontId="1" fillId="0" borderId="37" xfId="0" applyNumberFormat="1" applyFont="1" applyFill="1" applyBorder="1" applyAlignment="1">
      <alignment horizontal="center" vertical="center" wrapText="1"/>
    </xf>
    <xf numFmtId="0" fontId="1" fillId="0" borderId="37" xfId="0" applyFont="1" applyFill="1" applyBorder="1" applyAlignment="1">
      <alignment vertical="center" wrapText="1"/>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165" fontId="1" fillId="4" borderId="37" xfId="48" applyFont="1" applyFill="1" applyBorder="1" applyAlignment="1">
      <alignment horizontal="justify" vertical="center"/>
    </xf>
    <xf numFmtId="0" fontId="2" fillId="9" borderId="0" xfId="0" applyFont="1" applyFill="1" applyBorder="1" applyAlignment="1">
      <alignment horizontal="justify" vertical="center"/>
    </xf>
    <xf numFmtId="0" fontId="2" fillId="10" borderId="0" xfId="0" applyFont="1" applyFill="1" applyBorder="1" applyAlignment="1">
      <alignment horizontal="justify" vertical="center"/>
    </xf>
    <xf numFmtId="0" fontId="2" fillId="9" borderId="17" xfId="0" applyFont="1" applyFill="1" applyBorder="1" applyAlignment="1">
      <alignment horizontal="justify" vertical="center" wrapText="1"/>
    </xf>
    <xf numFmtId="0" fontId="2" fillId="9" borderId="14" xfId="0" applyFont="1" applyFill="1" applyBorder="1" applyAlignment="1">
      <alignment horizontal="justify" vertical="center"/>
    </xf>
    <xf numFmtId="0" fontId="1" fillId="9" borderId="17" xfId="0" applyFont="1" applyFill="1" applyBorder="1" applyAlignment="1">
      <alignment horizontal="justify" vertical="center"/>
    </xf>
    <xf numFmtId="170" fontId="1" fillId="0" borderId="0" xfId="0" applyNumberFormat="1" applyFont="1" applyFill="1" applyBorder="1" applyAlignment="1">
      <alignment horizontal="justify"/>
    </xf>
    <xf numFmtId="0" fontId="2" fillId="9" borderId="0" xfId="0" applyFont="1" applyFill="1" applyBorder="1" applyAlignment="1">
      <alignment horizontal="center" vertical="center"/>
    </xf>
    <xf numFmtId="0" fontId="2" fillId="10" borderId="0" xfId="0" applyFont="1" applyFill="1" applyBorder="1" applyAlignment="1">
      <alignment horizontal="center" vertical="center"/>
    </xf>
    <xf numFmtId="0" fontId="2" fillId="9" borderId="14" xfId="0" applyFont="1" applyFill="1" applyBorder="1" applyAlignment="1">
      <alignment horizontal="center" vertical="center"/>
    </xf>
    <xf numFmtId="0" fontId="1" fillId="9" borderId="17" xfId="0" applyFont="1" applyFill="1" applyBorder="1" applyAlignment="1">
      <alignment horizontal="center" vertical="center"/>
    </xf>
    <xf numFmtId="0" fontId="1" fillId="0" borderId="21" xfId="0" applyFont="1" applyBorder="1" applyAlignment="1">
      <alignment horizontal="justify"/>
    </xf>
    <xf numFmtId="0" fontId="1" fillId="0" borderId="0" xfId="0" applyFont="1" applyAlignment="1">
      <alignment horizontal="justify"/>
    </xf>
    <xf numFmtId="0" fontId="1" fillId="0" borderId="22" xfId="0" applyFont="1" applyBorder="1" applyAlignment="1">
      <alignment horizontal="justify"/>
    </xf>
    <xf numFmtId="0" fontId="1" fillId="0" borderId="0" xfId="0" applyFont="1" applyFill="1" applyBorder="1" applyAlignment="1">
      <alignment horizontal="justify"/>
    </xf>
    <xf numFmtId="0" fontId="1" fillId="0" borderId="10" xfId="0" applyFont="1" applyFill="1" applyBorder="1" applyAlignment="1">
      <alignment wrapText="1"/>
    </xf>
    <xf numFmtId="0" fontId="2" fillId="9" borderId="25" xfId="0" applyFont="1" applyFill="1" applyBorder="1" applyAlignment="1">
      <alignment horizontal="justify" vertical="center" wrapText="1"/>
    </xf>
    <xf numFmtId="0" fontId="2" fillId="9" borderId="24" xfId="0" applyFont="1" applyFill="1" applyBorder="1" applyAlignment="1">
      <alignment horizontal="justify" vertical="center" wrapText="1"/>
    </xf>
    <xf numFmtId="0" fontId="2" fillId="9" borderId="42" xfId="0" applyFont="1" applyFill="1" applyBorder="1" applyAlignment="1">
      <alignment horizontal="justify" vertical="center" wrapText="1"/>
    </xf>
    <xf numFmtId="0" fontId="1" fillId="4" borderId="23" xfId="0" applyFont="1" applyFill="1" applyBorder="1" applyAlignment="1">
      <alignment horizontal="justify"/>
    </xf>
    <xf numFmtId="0" fontId="1" fillId="4" borderId="21" xfId="0" applyFont="1" applyFill="1" applyBorder="1" applyAlignment="1">
      <alignment horizontal="justify"/>
    </xf>
    <xf numFmtId="0" fontId="1" fillId="4" borderId="0" xfId="0" applyFont="1" applyFill="1" applyAlignment="1">
      <alignment horizontal="justify"/>
    </xf>
    <xf numFmtId="0" fontId="1" fillId="0" borderId="0" xfId="0" applyFont="1" applyFill="1" applyAlignment="1">
      <alignment horizontal="justify"/>
    </xf>
    <xf numFmtId="3" fontId="1" fillId="0" borderId="10" xfId="0" applyNumberFormat="1" applyFont="1" applyFill="1" applyBorder="1" applyAlignment="1">
      <alignment horizontal="justify" vertical="center" wrapText="1"/>
    </xf>
    <xf numFmtId="0" fontId="19" fillId="0" borderId="10" xfId="0" applyFont="1" applyFill="1" applyBorder="1" applyAlignment="1">
      <alignment horizontal="justify" vertical="center"/>
    </xf>
    <xf numFmtId="15" fontId="1" fillId="0" borderId="10" xfId="0" applyNumberFormat="1" applyFont="1" applyFill="1" applyBorder="1" applyAlignment="1">
      <alignment horizontal="center" vertical="center" wrapText="1"/>
    </xf>
    <xf numFmtId="0" fontId="1" fillId="0" borderId="10" xfId="0" applyFont="1" applyFill="1" applyBorder="1" applyAlignment="1">
      <alignment horizontal="right" vertical="center" wrapText="1"/>
    </xf>
    <xf numFmtId="0" fontId="1" fillId="0" borderId="0" xfId="0" applyFont="1" applyFill="1" applyAlignment="1">
      <alignment horizontal="right"/>
    </xf>
    <xf numFmtId="0" fontId="1" fillId="0" borderId="10" xfId="0" applyFont="1" applyFill="1" applyBorder="1" applyAlignment="1">
      <alignment vertical="center"/>
    </xf>
    <xf numFmtId="0" fontId="1" fillId="0" borderId="10" xfId="0" applyFont="1" applyFill="1" applyBorder="1" applyAlignment="1">
      <alignment horizontal="justify" vertical="center" wrapText="1" readingOrder="1"/>
    </xf>
    <xf numFmtId="0" fontId="1" fillId="0" borderId="37" xfId="0" applyFont="1" applyFill="1" applyBorder="1" applyAlignment="1">
      <alignment horizontal="center" wrapText="1"/>
    </xf>
    <xf numFmtId="0" fontId="4" fillId="0" borderId="10" xfId="0" applyFont="1" applyFill="1" applyBorder="1" applyAlignment="1">
      <alignment horizontal="justify" wrapText="1"/>
    </xf>
    <xf numFmtId="0" fontId="29" fillId="0" borderId="10" xfId="0" applyFont="1" applyFill="1" applyBorder="1" applyAlignment="1">
      <alignment horizontal="justify" vertical="center"/>
    </xf>
    <xf numFmtId="0" fontId="4" fillId="0" borderId="10" xfId="0" applyFont="1" applyFill="1" applyBorder="1" applyAlignment="1">
      <alignment wrapText="1"/>
    </xf>
    <xf numFmtId="0" fontId="1" fillId="0" borderId="37" xfId="0" applyFont="1" applyFill="1" applyBorder="1" applyAlignment="1">
      <alignment wrapText="1"/>
    </xf>
    <xf numFmtId="15" fontId="1" fillId="0" borderId="37" xfId="0" applyNumberFormat="1" applyFont="1" applyFill="1" applyBorder="1" applyAlignment="1">
      <alignment horizontal="center" vertical="center" wrapText="1"/>
    </xf>
    <xf numFmtId="0" fontId="2" fillId="0" borderId="21" xfId="0" applyFont="1" applyFill="1" applyBorder="1" applyAlignment="1">
      <alignment vertical="center"/>
    </xf>
    <xf numFmtId="0" fontId="2" fillId="0" borderId="22" xfId="0" applyFont="1" applyFill="1" applyBorder="1" applyAlignment="1">
      <alignment vertical="center"/>
    </xf>
    <xf numFmtId="168" fontId="1" fillId="0" borderId="0" xfId="0" applyNumberFormat="1" applyFont="1" applyFill="1" applyAlignment="1">
      <alignment horizontal="right"/>
    </xf>
    <xf numFmtId="3" fontId="1" fillId="0" borderId="0" xfId="0" applyNumberFormat="1" applyFont="1" applyFill="1" applyAlignment="1">
      <alignment/>
    </xf>
    <xf numFmtId="168" fontId="1" fillId="0" borderId="0" xfId="0" applyNumberFormat="1" applyFont="1" applyFill="1" applyAlignment="1">
      <alignment/>
    </xf>
    <xf numFmtId="3" fontId="1" fillId="0" borderId="0" xfId="0" applyNumberFormat="1" applyFont="1" applyFill="1" applyAlignment="1">
      <alignment horizontal="right"/>
    </xf>
    <xf numFmtId="0" fontId="1" fillId="0" borderId="14" xfId="0" applyFont="1" applyFill="1" applyBorder="1" applyAlignment="1">
      <alignment/>
    </xf>
    <xf numFmtId="0" fontId="19" fillId="0" borderId="0" xfId="0" applyFont="1" applyFill="1" applyAlignment="1">
      <alignment/>
    </xf>
    <xf numFmtId="0" fontId="6" fillId="0" borderId="0" xfId="0" applyFont="1" applyFill="1" applyAlignment="1">
      <alignment/>
    </xf>
    <xf numFmtId="168" fontId="6" fillId="0" borderId="0" xfId="0" applyNumberFormat="1" applyFont="1" applyFill="1" applyAlignment="1">
      <alignment/>
    </xf>
    <xf numFmtId="0" fontId="31" fillId="0" borderId="0" xfId="0" applyFont="1" applyFill="1" applyAlignment="1">
      <alignment/>
    </xf>
    <xf numFmtId="0" fontId="6" fillId="0" borderId="10" xfId="0" applyFont="1" applyFill="1" applyBorder="1" applyAlignment="1">
      <alignment wrapText="1"/>
    </xf>
    <xf numFmtId="0" fontId="7" fillId="0" borderId="21" xfId="0" applyFont="1" applyFill="1" applyBorder="1" applyAlignment="1">
      <alignment vertical="center"/>
    </xf>
    <xf numFmtId="0" fontId="6" fillId="0" borderId="37" xfId="0" applyFont="1" applyFill="1" applyBorder="1" applyAlignment="1">
      <alignment wrapText="1"/>
    </xf>
    <xf numFmtId="181" fontId="6" fillId="0" borderId="10" xfId="0" applyNumberFormat="1" applyFont="1" applyFill="1" applyBorder="1" applyAlignment="1">
      <alignment horizontal="center" vertical="center" wrapText="1"/>
    </xf>
    <xf numFmtId="0" fontId="7" fillId="0" borderId="14" xfId="0" applyFont="1" applyFill="1" applyBorder="1" applyAlignment="1">
      <alignment/>
    </xf>
    <xf numFmtId="0" fontId="1" fillId="0" borderId="37" xfId="0" applyFont="1" applyFill="1" applyBorder="1" applyAlignment="1">
      <alignment horizontal="justify" vertical="center" wrapText="1" readingOrder="2"/>
    </xf>
    <xf numFmtId="0" fontId="2" fillId="0" borderId="23" xfId="0" applyFont="1" applyFill="1" applyBorder="1" applyAlignment="1">
      <alignment horizontal="justify" vertical="center"/>
    </xf>
    <xf numFmtId="0" fontId="2" fillId="0" borderId="21" xfId="0" applyFont="1" applyFill="1" applyBorder="1" applyAlignment="1">
      <alignment horizontal="justify" vertical="center"/>
    </xf>
    <xf numFmtId="0" fontId="2" fillId="0" borderId="22" xfId="0" applyFont="1" applyFill="1" applyBorder="1" applyAlignment="1">
      <alignment horizontal="justify" vertical="center"/>
    </xf>
    <xf numFmtId="3" fontId="1" fillId="0" borderId="0" xfId="0" applyNumberFormat="1" applyFont="1" applyFill="1" applyAlignment="1">
      <alignment horizontal="justify"/>
    </xf>
    <xf numFmtId="0" fontId="19" fillId="0" borderId="0" xfId="0" applyFont="1" applyFill="1" applyAlignment="1">
      <alignment horizontal="justify"/>
    </xf>
    <xf numFmtId="164" fontId="2" fillId="0" borderId="21" xfId="55" applyFont="1" applyFill="1" applyBorder="1" applyAlignment="1">
      <alignment vertical="center"/>
    </xf>
    <xf numFmtId="3" fontId="27" fillId="9" borderId="37" xfId="0" applyNumberFormat="1" applyFont="1" applyFill="1" applyBorder="1" applyAlignment="1">
      <alignment horizontal="center" vertical="center" wrapText="1"/>
    </xf>
    <xf numFmtId="0" fontId="27" fillId="9" borderId="24" xfId="0" applyNumberFormat="1" applyFont="1" applyFill="1" applyBorder="1" applyAlignment="1">
      <alignment horizontal="center" vertical="center" wrapText="1"/>
    </xf>
    <xf numFmtId="0" fontId="28" fillId="9" borderId="24" xfId="0" applyNumberFormat="1" applyFont="1" applyFill="1" applyBorder="1" applyAlignment="1">
      <alignment horizontal="center" vertical="center" wrapText="1"/>
    </xf>
    <xf numFmtId="0" fontId="10" fillId="9" borderId="42" xfId="0" applyFont="1" applyFill="1" applyBorder="1" applyAlignment="1">
      <alignment horizontal="center" vertical="center" textRotation="255"/>
    </xf>
    <xf numFmtId="0" fontId="22" fillId="9" borderId="42" xfId="0" applyFont="1" applyFill="1" applyBorder="1" applyAlignment="1">
      <alignment horizontal="center" vertical="center" textRotation="255"/>
    </xf>
    <xf numFmtId="181" fontId="27" fillId="9" borderId="37" xfId="0" applyNumberFormat="1" applyFont="1" applyFill="1" applyBorder="1" applyAlignment="1">
      <alignment horizontal="center" vertical="center" wrapText="1"/>
    </xf>
    <xf numFmtId="181" fontId="28" fillId="9" borderId="37" xfId="0" applyNumberFormat="1"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37" xfId="0" applyFont="1" applyFill="1" applyBorder="1" applyAlignment="1">
      <alignment horizontal="justify" vertical="center" wrapText="1"/>
    </xf>
    <xf numFmtId="0" fontId="1" fillId="0" borderId="24"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24" xfId="0" applyFont="1" applyBorder="1" applyAlignment="1">
      <alignment horizontal="center" vertical="center"/>
    </xf>
    <xf numFmtId="0" fontId="1" fillId="4" borderId="1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12"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37"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37" xfId="0" applyFont="1" applyBorder="1" applyAlignment="1">
      <alignment horizontal="justify" vertical="center" wrapText="1"/>
    </xf>
    <xf numFmtId="0" fontId="1" fillId="0" borderId="24" xfId="0" applyFont="1" applyBorder="1" applyAlignment="1">
      <alignment horizontal="justify" vertical="center" wrapText="1"/>
    </xf>
    <xf numFmtId="0" fontId="1" fillId="0" borderId="24" xfId="0" applyNumberFormat="1" applyFont="1" applyFill="1" applyBorder="1" applyAlignment="1">
      <alignment horizontal="center" vertical="center" wrapText="1"/>
    </xf>
    <xf numFmtId="0" fontId="2" fillId="10" borderId="17" xfId="0" applyFont="1" applyFill="1" applyBorder="1" applyAlignment="1">
      <alignment horizontal="center" vertical="center"/>
    </xf>
    <xf numFmtId="0" fontId="2" fillId="9" borderId="12" xfId="0" applyFont="1" applyFill="1" applyBorder="1" applyAlignment="1">
      <alignment horizontal="justify" vertical="center" wrapText="1"/>
    </xf>
    <xf numFmtId="0" fontId="2" fillId="9" borderId="37" xfId="0" applyFont="1" applyFill="1" applyBorder="1" applyAlignment="1">
      <alignment vertical="center" wrapText="1"/>
    </xf>
    <xf numFmtId="0" fontId="2" fillId="9" borderId="24" xfId="0" applyFont="1" applyFill="1" applyBorder="1" applyAlignment="1">
      <alignment vertical="center" wrapText="1"/>
    </xf>
    <xf numFmtId="0" fontId="7" fillId="9" borderId="37" xfId="0" applyFont="1" applyFill="1" applyBorder="1" applyAlignment="1">
      <alignment horizontal="center" vertical="center" wrapText="1"/>
    </xf>
    <xf numFmtId="0" fontId="2" fillId="10" borderId="56" xfId="0" applyFont="1" applyFill="1" applyBorder="1" applyAlignment="1">
      <alignment horizontal="center" vertical="center" wrapText="1"/>
    </xf>
    <xf numFmtId="0" fontId="2" fillId="10" borderId="57" xfId="0" applyFont="1" applyFill="1" applyBorder="1" applyAlignment="1">
      <alignment horizontal="left" vertical="center"/>
    </xf>
    <xf numFmtId="0" fontId="2" fillId="10" borderId="58" xfId="0" applyFont="1" applyFill="1" applyBorder="1" applyAlignment="1">
      <alignment horizontal="left" vertical="center" wrapText="1"/>
    </xf>
    <xf numFmtId="0" fontId="7" fillId="10" borderId="58" xfId="0" applyFont="1" applyFill="1" applyBorder="1" applyAlignment="1">
      <alignment horizontal="left" vertical="center" wrapText="1"/>
    </xf>
    <xf numFmtId="0" fontId="2" fillId="10" borderId="59" xfId="0" applyFont="1" applyFill="1" applyBorder="1" applyAlignment="1">
      <alignment horizontal="left" vertical="center" wrapText="1"/>
    </xf>
    <xf numFmtId="0" fontId="2" fillId="9" borderId="12" xfId="0" applyFont="1" applyFill="1" applyBorder="1" applyAlignment="1">
      <alignment horizontal="center" vertical="center" wrapText="1"/>
    </xf>
    <xf numFmtId="0" fontId="2" fillId="9" borderId="44" xfId="0" applyFont="1" applyFill="1" applyBorder="1" applyAlignment="1">
      <alignment vertical="center"/>
    </xf>
    <xf numFmtId="0" fontId="1" fillId="4" borderId="37" xfId="0" applyFont="1" applyFill="1" applyBorder="1" applyAlignment="1">
      <alignment vertical="center" wrapText="1"/>
    </xf>
    <xf numFmtId="170" fontId="1" fillId="0" borderId="12" xfId="58" applyNumberFormat="1" applyFont="1" applyFill="1" applyBorder="1" applyAlignment="1">
      <alignment horizontal="center" vertical="center" wrapText="1"/>
    </xf>
    <xf numFmtId="170" fontId="4" fillId="0" borderId="10" xfId="58" applyNumberFormat="1" applyFont="1" applyFill="1" applyBorder="1" applyAlignment="1">
      <alignment horizontal="center" vertical="center" wrapText="1"/>
    </xf>
    <xf numFmtId="0" fontId="6" fillId="4" borderId="10" xfId="0" applyFont="1" applyFill="1" applyBorder="1" applyAlignment="1">
      <alignment horizontal="center"/>
    </xf>
    <xf numFmtId="170" fontId="1" fillId="0" borderId="10" xfId="58" applyNumberFormat="1" applyFont="1" applyFill="1" applyBorder="1" applyAlignment="1">
      <alignment horizontal="center" vertical="center" wrapText="1"/>
    </xf>
    <xf numFmtId="0" fontId="6" fillId="4" borderId="12" xfId="0" applyFont="1" applyFill="1" applyBorder="1" applyAlignment="1">
      <alignment/>
    </xf>
    <xf numFmtId="170" fontId="4" fillId="0" borderId="10" xfId="45" applyNumberFormat="1" applyFont="1" applyFill="1" applyBorder="1" applyAlignment="1">
      <alignment horizontal="center" vertical="center" wrapText="1"/>
      <protection/>
    </xf>
    <xf numFmtId="195" fontId="1" fillId="0" borderId="37" xfId="0" applyNumberFormat="1" applyFont="1" applyFill="1" applyBorder="1" applyAlignment="1">
      <alignment horizontal="center" vertical="center" wrapText="1"/>
    </xf>
    <xf numFmtId="170" fontId="1" fillId="0" borderId="10" xfId="0" applyNumberFormat="1" applyFont="1" applyFill="1" applyBorder="1" applyAlignment="1">
      <alignment horizontal="center" vertical="center"/>
    </xf>
    <xf numFmtId="0" fontId="1" fillId="0" borderId="37" xfId="0" applyFont="1" applyFill="1" applyBorder="1" applyAlignment="1">
      <alignment/>
    </xf>
    <xf numFmtId="0" fontId="6" fillId="0" borderId="37" xfId="0" applyFont="1" applyFill="1" applyBorder="1" applyAlignment="1">
      <alignment/>
    </xf>
    <xf numFmtId="0" fontId="1" fillId="0" borderId="24" xfId="0" applyFont="1" applyFill="1" applyBorder="1" applyAlignment="1">
      <alignment/>
    </xf>
    <xf numFmtId="0" fontId="6" fillId="0" borderId="24" xfId="0" applyFont="1" applyFill="1" applyBorder="1" applyAlignment="1">
      <alignment/>
    </xf>
    <xf numFmtId="195" fontId="1" fillId="0" borderId="10" xfId="0" applyNumberFormat="1" applyFont="1" applyFill="1" applyBorder="1" applyAlignment="1">
      <alignment horizontal="center" vertical="center" wrapText="1"/>
    </xf>
    <xf numFmtId="0" fontId="1" fillId="0" borderId="12" xfId="0" applyFont="1" applyFill="1" applyBorder="1" applyAlignment="1">
      <alignment/>
    </xf>
    <xf numFmtId="0" fontId="6" fillId="0" borderId="12" xfId="0" applyFont="1" applyFill="1" applyBorder="1" applyAlignment="1">
      <alignment/>
    </xf>
    <xf numFmtId="0" fontId="1" fillId="0" borderId="37" xfId="0" applyFont="1" applyFill="1" applyBorder="1" applyAlignment="1">
      <alignment horizontal="center" vertical="center" wrapText="1"/>
    </xf>
    <xf numFmtId="170" fontId="1" fillId="0" borderId="37" xfId="58" applyNumberFormat="1" applyFont="1" applyFill="1" applyBorder="1" applyAlignment="1">
      <alignment horizontal="center" vertical="center" wrapText="1"/>
    </xf>
    <xf numFmtId="194" fontId="26" fillId="0" borderId="10" xfId="0" applyNumberFormat="1" applyFont="1" applyFill="1" applyBorder="1" applyAlignment="1">
      <alignment horizontal="center" vertical="center" wrapText="1"/>
    </xf>
    <xf numFmtId="194" fontId="0" fillId="0" borderId="10" xfId="0" applyNumberFormat="1" applyFont="1" applyFill="1" applyBorder="1" applyAlignment="1">
      <alignment horizontal="center" vertical="center" wrapText="1"/>
    </xf>
    <xf numFmtId="195" fontId="1" fillId="4" borderId="10" xfId="0" applyNumberFormat="1" applyFont="1" applyFill="1" applyBorder="1" applyAlignment="1">
      <alignment horizontal="center" vertical="center" wrapText="1"/>
    </xf>
    <xf numFmtId="0" fontId="1" fillId="4" borderId="10" xfId="0" applyFont="1" applyFill="1" applyBorder="1" applyAlignment="1">
      <alignment vertical="center" wrapText="1"/>
    </xf>
    <xf numFmtId="183" fontId="1" fillId="4" borderId="10" xfId="0" applyNumberFormat="1" applyFont="1" applyFill="1" applyBorder="1" applyAlignment="1">
      <alignment vertical="center" wrapText="1"/>
    </xf>
    <xf numFmtId="10" fontId="1" fillId="4" borderId="10" xfId="66" applyNumberFormat="1" applyFont="1" applyFill="1" applyBorder="1" applyAlignment="1">
      <alignment vertical="center" wrapText="1"/>
    </xf>
    <xf numFmtId="14" fontId="1" fillId="4" borderId="10" xfId="0" applyNumberFormat="1" applyFont="1" applyFill="1" applyBorder="1" applyAlignment="1">
      <alignment vertical="center" wrapText="1"/>
    </xf>
    <xf numFmtId="14" fontId="6" fillId="4" borderId="10" xfId="0" applyNumberFormat="1" applyFont="1" applyFill="1" applyBorder="1" applyAlignment="1">
      <alignment vertical="center" wrapText="1"/>
    </xf>
    <xf numFmtId="0" fontId="1" fillId="0" borderId="37" xfId="0" applyFont="1" applyFill="1" applyBorder="1" applyAlignment="1">
      <alignment horizontal="justify" vertical="center" wrapText="1"/>
    </xf>
    <xf numFmtId="183" fontId="1" fillId="0" borderId="12" xfId="0" applyNumberFormat="1" applyFont="1" applyFill="1" applyBorder="1" applyAlignment="1">
      <alignment vertical="center" wrapText="1"/>
    </xf>
    <xf numFmtId="10" fontId="1" fillId="0" borderId="12" xfId="66" applyNumberFormat="1" applyFont="1" applyFill="1" applyBorder="1" applyAlignment="1">
      <alignment vertical="center" wrapText="1"/>
    </xf>
    <xf numFmtId="14" fontId="1" fillId="0" borderId="10" xfId="0" applyNumberFormat="1" applyFont="1" applyFill="1" applyBorder="1" applyAlignment="1">
      <alignment vertical="center" wrapText="1"/>
    </xf>
    <xf numFmtId="14" fontId="6" fillId="0" borderId="10" xfId="0" applyNumberFormat="1" applyFont="1" applyFill="1" applyBorder="1" applyAlignment="1">
      <alignment vertical="center" wrapText="1"/>
    </xf>
    <xf numFmtId="170" fontId="1" fillId="0" borderId="26" xfId="58" applyNumberFormat="1" applyFont="1" applyFill="1" applyBorder="1" applyAlignment="1">
      <alignment horizontal="center" vertical="center" wrapText="1"/>
    </xf>
    <xf numFmtId="170" fontId="1" fillId="0" borderId="15" xfId="58" applyNumberFormat="1" applyFont="1" applyFill="1" applyBorder="1" applyAlignment="1">
      <alignment horizontal="center" vertical="center" wrapText="1"/>
    </xf>
    <xf numFmtId="195" fontId="1" fillId="4" borderId="37" xfId="58" applyNumberFormat="1" applyFont="1" applyFill="1" applyBorder="1" applyAlignment="1">
      <alignment vertical="center"/>
    </xf>
    <xf numFmtId="195" fontId="6" fillId="4" borderId="37" xfId="58" applyNumberFormat="1" applyFont="1" applyFill="1" applyBorder="1" applyAlignment="1">
      <alignment vertical="center"/>
    </xf>
    <xf numFmtId="0" fontId="1" fillId="4" borderId="37" xfId="0" applyFont="1" applyFill="1" applyBorder="1" applyAlignment="1">
      <alignment/>
    </xf>
    <xf numFmtId="0" fontId="6" fillId="4" borderId="37" xfId="0" applyFont="1" applyFill="1" applyBorder="1" applyAlignment="1">
      <alignment/>
    </xf>
    <xf numFmtId="183" fontId="1" fillId="4" borderId="10" xfId="0" applyNumberFormat="1" applyFont="1" applyFill="1" applyBorder="1" applyAlignment="1">
      <alignment horizontal="center" vertical="center"/>
    </xf>
    <xf numFmtId="195" fontId="6" fillId="4" borderId="12" xfId="58" applyNumberFormat="1" applyFont="1" applyFill="1" applyBorder="1" applyAlignment="1">
      <alignment vertical="center"/>
    </xf>
    <xf numFmtId="0" fontId="1" fillId="4" borderId="12" xfId="0" applyFont="1" applyFill="1" applyBorder="1" applyAlignment="1">
      <alignment/>
    </xf>
    <xf numFmtId="0" fontId="2" fillId="9" borderId="24" xfId="0" applyFont="1" applyFill="1" applyBorder="1" applyAlignment="1">
      <alignment horizontal="center" vertical="center" wrapText="1"/>
    </xf>
    <xf numFmtId="195" fontId="4" fillId="4" borderId="10" xfId="0" applyNumberFormat="1" applyFont="1" applyFill="1" applyBorder="1" applyAlignment="1">
      <alignment horizontal="center" vertical="center" wrapText="1"/>
    </xf>
    <xf numFmtId="195" fontId="4" fillId="4" borderId="37" xfId="0" applyNumberFormat="1" applyFont="1" applyFill="1" applyBorder="1" applyAlignment="1">
      <alignment horizontal="center" vertical="center" wrapText="1"/>
    </xf>
    <xf numFmtId="171" fontId="4" fillId="4" borderId="37" xfId="45" applyFont="1" applyFill="1" applyBorder="1" applyAlignment="1">
      <alignment horizontal="justify" vertical="center" wrapText="1"/>
      <protection/>
    </xf>
    <xf numFmtId="170" fontId="4" fillId="0" borderId="26" xfId="58" applyNumberFormat="1" applyFont="1" applyFill="1" applyBorder="1" applyAlignment="1">
      <alignment horizontal="center" vertical="center" wrapText="1"/>
    </xf>
    <xf numFmtId="170" fontId="4" fillId="0" borderId="15" xfId="58" applyNumberFormat="1" applyFont="1" applyFill="1" applyBorder="1" applyAlignment="1">
      <alignment horizontal="center" vertical="center" wrapText="1"/>
    </xf>
    <xf numFmtId="0" fontId="0" fillId="4" borderId="10" xfId="0" applyFont="1" applyFill="1" applyBorder="1" applyAlignment="1">
      <alignment horizontal="justify" vertical="center" wrapText="1"/>
    </xf>
    <xf numFmtId="170" fontId="1" fillId="0" borderId="10" xfId="58" applyNumberFormat="1" applyFont="1" applyFill="1" applyBorder="1" applyAlignment="1">
      <alignment horizontal="center" vertical="center" wrapText="1" readingOrder="1"/>
    </xf>
    <xf numFmtId="195" fontId="1" fillId="4" borderId="10" xfId="0" applyNumberFormat="1" applyFont="1" applyFill="1" applyBorder="1" applyAlignment="1">
      <alignment horizontal="center" vertical="center" wrapText="1"/>
    </xf>
    <xf numFmtId="0" fontId="1" fillId="4" borderId="37" xfId="0" applyFont="1" applyFill="1" applyBorder="1" applyAlignment="1">
      <alignment wrapText="1"/>
    </xf>
    <xf numFmtId="0" fontId="6" fillId="4" borderId="37" xfId="0" applyFont="1" applyFill="1" applyBorder="1" applyAlignment="1">
      <alignment wrapText="1"/>
    </xf>
    <xf numFmtId="3" fontId="1" fillId="4" borderId="37" xfId="0" applyNumberFormat="1" applyFont="1" applyFill="1" applyBorder="1" applyAlignment="1">
      <alignment vertical="center"/>
    </xf>
    <xf numFmtId="3" fontId="6" fillId="4" borderId="37" xfId="0" applyNumberFormat="1" applyFont="1" applyFill="1" applyBorder="1" applyAlignment="1">
      <alignment vertical="center"/>
    </xf>
    <xf numFmtId="170" fontId="1" fillId="4" borderId="10" xfId="58" applyNumberFormat="1" applyFont="1" applyFill="1" applyBorder="1" applyAlignment="1">
      <alignment horizontal="center" vertical="center" wrapText="1"/>
    </xf>
    <xf numFmtId="194" fontId="1" fillId="4" borderId="10" xfId="0" applyNumberFormat="1" applyFont="1" applyFill="1" applyBorder="1" applyAlignment="1">
      <alignment horizontal="center" vertical="center" wrapText="1"/>
    </xf>
    <xf numFmtId="170" fontId="21" fillId="0" borderId="10" xfId="58" applyNumberFormat="1" applyFont="1" applyFill="1" applyBorder="1" applyAlignment="1">
      <alignment horizontal="center" vertical="center" wrapText="1"/>
    </xf>
    <xf numFmtId="0" fontId="1" fillId="4" borderId="60" xfId="0" applyFont="1" applyFill="1" applyBorder="1" applyAlignment="1">
      <alignment horizontal="center" vertical="center" wrapText="1"/>
    </xf>
    <xf numFmtId="0" fontId="4" fillId="4" borderId="11" xfId="0" applyFont="1" applyFill="1" applyBorder="1" applyAlignment="1">
      <alignment horizontal="justify" vertical="center" wrapText="1"/>
    </xf>
    <xf numFmtId="0" fontId="1" fillId="4" borderId="11" xfId="0" applyNumberFormat="1" applyFont="1" applyFill="1" applyBorder="1" applyAlignment="1">
      <alignment horizontal="center" vertical="center" wrapText="1"/>
    </xf>
    <xf numFmtId="0" fontId="6" fillId="4" borderId="11" xfId="0" applyNumberFormat="1" applyFont="1" applyFill="1" applyBorder="1" applyAlignment="1">
      <alignment horizontal="center" vertical="center" wrapText="1"/>
    </xf>
    <xf numFmtId="174" fontId="1" fillId="4" borderId="35" xfId="0" applyNumberFormat="1" applyFont="1" applyFill="1" applyBorder="1" applyAlignment="1">
      <alignment horizontal="center" vertical="center" wrapText="1"/>
    </xf>
    <xf numFmtId="0" fontId="1" fillId="4" borderId="11" xfId="0" applyFont="1" applyFill="1" applyBorder="1" applyAlignment="1">
      <alignment horizontal="center" vertical="center" wrapText="1"/>
    </xf>
    <xf numFmtId="170" fontId="2" fillId="0" borderId="53" xfId="0" applyNumberFormat="1" applyFont="1" applyFill="1" applyBorder="1" applyAlignment="1">
      <alignment vertical="center" wrapText="1"/>
    </xf>
    <xf numFmtId="170" fontId="1" fillId="4" borderId="52" xfId="0" applyNumberFormat="1" applyFont="1" applyFill="1" applyBorder="1" applyAlignment="1">
      <alignment vertical="center" wrapText="1"/>
    </xf>
    <xf numFmtId="0" fontId="1" fillId="4" borderId="46" xfId="0" applyFont="1" applyFill="1" applyBorder="1" applyAlignment="1">
      <alignment vertical="center" wrapText="1"/>
    </xf>
    <xf numFmtId="0" fontId="1" fillId="4" borderId="47" xfId="0" applyFont="1" applyFill="1" applyBorder="1" applyAlignment="1">
      <alignment vertical="center" wrapText="1"/>
    </xf>
    <xf numFmtId="170" fontId="2" fillId="0" borderId="32" xfId="0" applyNumberFormat="1" applyFont="1" applyFill="1" applyBorder="1" applyAlignment="1">
      <alignment vertical="center" wrapText="1"/>
    </xf>
    <xf numFmtId="0" fontId="1" fillId="4" borderId="52" xfId="0" applyFont="1" applyFill="1" applyBorder="1" applyAlignment="1">
      <alignment vertical="center" wrapText="1"/>
    </xf>
    <xf numFmtId="0" fontId="6" fillId="4" borderId="46" xfId="0" applyFont="1" applyFill="1" applyBorder="1" applyAlignment="1">
      <alignment vertical="center" wrapText="1"/>
    </xf>
    <xf numFmtId="9" fontId="2" fillId="4" borderId="32" xfId="66" applyFont="1" applyFill="1" applyBorder="1" applyAlignment="1">
      <alignment horizontal="center" vertical="center" wrapText="1"/>
    </xf>
    <xf numFmtId="0" fontId="1" fillId="0" borderId="0" xfId="0" applyNumberFormat="1" applyFont="1" applyAlignment="1">
      <alignment wrapText="1"/>
    </xf>
    <xf numFmtId="0" fontId="1" fillId="0" borderId="0" xfId="0" applyNumberFormat="1" applyFont="1" applyBorder="1" applyAlignment="1">
      <alignment horizontal="center" wrapText="1"/>
    </xf>
    <xf numFmtId="0" fontId="1" fillId="0" borderId="0" xfId="0" applyFont="1" applyFill="1" applyBorder="1" applyAlignment="1">
      <alignment vertical="center" wrapText="1"/>
    </xf>
    <xf numFmtId="0" fontId="1" fillId="0" borderId="0" xfId="0" applyNumberFormat="1" applyFont="1" applyBorder="1" applyAlignment="1">
      <alignment wrapText="1"/>
    </xf>
    <xf numFmtId="0" fontId="6" fillId="0" borderId="0" xfId="0" applyNumberFormat="1" applyFont="1" applyBorder="1" applyAlignment="1">
      <alignment wrapText="1"/>
    </xf>
    <xf numFmtId="0" fontId="1" fillId="0" borderId="0" xfId="0" applyFont="1" applyBorder="1" applyAlignment="1">
      <alignment wrapText="1"/>
    </xf>
    <xf numFmtId="170" fontId="2" fillId="0" borderId="0" xfId="0" applyNumberFormat="1" applyFont="1" applyBorder="1" applyAlignment="1">
      <alignment wrapText="1"/>
    </xf>
    <xf numFmtId="170" fontId="1" fillId="0" borderId="0" xfId="0" applyNumberFormat="1" applyFont="1" applyAlignment="1">
      <alignment horizontal="center" vertical="center" wrapText="1"/>
    </xf>
    <xf numFmtId="170" fontId="6" fillId="0" borderId="0" xfId="0" applyNumberFormat="1" applyFont="1" applyAlignment="1">
      <alignment horizontal="center" vertical="center" wrapText="1"/>
    </xf>
    <xf numFmtId="0" fontId="6" fillId="0" borderId="0" xfId="0" applyFont="1" applyAlignment="1">
      <alignment wrapText="1"/>
    </xf>
    <xf numFmtId="0" fontId="1" fillId="0" borderId="0" xfId="0" applyFont="1" applyAlignment="1">
      <alignment horizontal="center" vertical="center" wrapText="1"/>
    </xf>
    <xf numFmtId="170" fontId="1" fillId="0" borderId="0" xfId="0" applyNumberFormat="1" applyFont="1" applyFill="1" applyAlignment="1">
      <alignment vertical="top" wrapText="1"/>
    </xf>
    <xf numFmtId="170" fontId="6" fillId="0" borderId="0" xfId="0" applyNumberFormat="1" applyFont="1" applyFill="1" applyAlignment="1">
      <alignment wrapText="1"/>
    </xf>
    <xf numFmtId="43" fontId="0" fillId="0" borderId="0" xfId="51" applyFont="1" applyFill="1" applyBorder="1" applyAlignment="1">
      <alignment vertical="center"/>
    </xf>
    <xf numFmtId="0" fontId="1" fillId="0" borderId="0" xfId="0" applyNumberFormat="1" applyFont="1" applyAlignment="1">
      <alignment horizontal="center" wrapText="1"/>
    </xf>
    <xf numFmtId="0" fontId="6" fillId="0" borderId="0" xfId="0" applyNumberFormat="1" applyFont="1" applyAlignment="1">
      <alignment wrapText="1"/>
    </xf>
    <xf numFmtId="170" fontId="1" fillId="4" borderId="0" xfId="0" applyNumberFormat="1" applyFont="1" applyFill="1" applyBorder="1" applyAlignment="1">
      <alignment wrapText="1"/>
    </xf>
    <xf numFmtId="170" fontId="1" fillId="0" borderId="0" xfId="0" applyNumberFormat="1" applyFont="1" applyFill="1" applyAlignment="1">
      <alignment wrapText="1"/>
    </xf>
    <xf numFmtId="170" fontId="1" fillId="0" borderId="0" xfId="0" applyNumberFormat="1" applyFont="1" applyBorder="1" applyAlignment="1">
      <alignment wrapText="1"/>
    </xf>
    <xf numFmtId="170" fontId="1" fillId="0" borderId="0" xfId="0" applyNumberFormat="1" applyFont="1" applyAlignment="1">
      <alignment wrapText="1"/>
    </xf>
    <xf numFmtId="170" fontId="6" fillId="0" borderId="0" xfId="0" applyNumberFormat="1" applyFont="1" applyAlignment="1">
      <alignment wrapText="1"/>
    </xf>
    <xf numFmtId="0" fontId="1" fillId="0" borderId="0" xfId="0" applyFont="1" applyAlignment="1">
      <alignment horizontal="center" wrapText="1"/>
    </xf>
    <xf numFmtId="164" fontId="4" fillId="0" borderId="10" xfId="55" applyFont="1" applyFill="1" applyBorder="1" applyAlignment="1">
      <alignment vertical="center" wrapText="1"/>
    </xf>
    <xf numFmtId="164" fontId="6" fillId="0" borderId="10" xfId="55" applyFont="1" applyFill="1" applyBorder="1" applyAlignment="1">
      <alignment horizontal="center" vertical="center" wrapText="1"/>
    </xf>
    <xf numFmtId="170" fontId="1" fillId="0" borderId="23" xfId="0" applyNumberFormat="1" applyFont="1" applyBorder="1" applyAlignment="1">
      <alignment horizontal="center" vertical="center"/>
    </xf>
    <xf numFmtId="170" fontId="1" fillId="0" borderId="0" xfId="0" applyNumberFormat="1" applyFont="1" applyAlignment="1">
      <alignment horizontal="center" vertical="center"/>
    </xf>
    <xf numFmtId="170" fontId="1" fillId="0" borderId="0" xfId="0" applyNumberFormat="1" applyFont="1" applyFill="1" applyBorder="1" applyAlignment="1">
      <alignment horizontal="center" vertical="center"/>
    </xf>
    <xf numFmtId="0" fontId="1" fillId="0" borderId="21" xfId="0" applyFont="1" applyBorder="1" applyAlignment="1">
      <alignment horizontal="justify" vertical="center"/>
    </xf>
    <xf numFmtId="0" fontId="1" fillId="0" borderId="0" xfId="0" applyFont="1" applyAlignment="1">
      <alignment horizontal="justify" vertical="center"/>
    </xf>
    <xf numFmtId="164" fontId="4" fillId="0" borderId="10" xfId="55" applyFont="1" applyFill="1" applyBorder="1" applyAlignment="1">
      <alignment horizontal="center" vertical="center" wrapText="1"/>
    </xf>
    <xf numFmtId="164" fontId="6" fillId="0" borderId="10" xfId="55" applyFont="1" applyFill="1" applyBorder="1" applyAlignment="1">
      <alignment horizontal="justify" vertical="center"/>
    </xf>
    <xf numFmtId="164" fontId="2" fillId="9" borderId="10" xfId="55" applyFont="1" applyFill="1" applyBorder="1" applyAlignment="1">
      <alignment horizontal="center" vertical="center" wrapText="1"/>
    </xf>
    <xf numFmtId="164" fontId="7" fillId="9" borderId="10" xfId="55" applyFont="1" applyFill="1" applyBorder="1" applyAlignment="1">
      <alignment horizontal="center" vertical="center" wrapText="1"/>
    </xf>
    <xf numFmtId="164" fontId="2" fillId="9" borderId="12" xfId="55" applyFont="1" applyFill="1" applyBorder="1" applyAlignment="1">
      <alignment horizontal="center" vertical="center" wrapText="1"/>
    </xf>
    <xf numFmtId="164" fontId="7" fillId="9" borderId="12" xfId="55" applyFont="1" applyFill="1" applyBorder="1" applyAlignment="1">
      <alignment horizontal="center" vertical="center" wrapText="1"/>
    </xf>
    <xf numFmtId="164" fontId="7" fillId="10" borderId="17" xfId="55" applyFont="1" applyFill="1" applyBorder="1" applyAlignment="1">
      <alignment vertical="center"/>
    </xf>
    <xf numFmtId="164" fontId="7" fillId="9" borderId="17" xfId="55" applyFont="1" applyFill="1" applyBorder="1" applyAlignment="1">
      <alignment vertical="center"/>
    </xf>
    <xf numFmtId="164" fontId="7" fillId="10" borderId="17" xfId="55" applyFont="1" applyFill="1" applyBorder="1" applyAlignment="1">
      <alignment vertical="center"/>
    </xf>
    <xf numFmtId="164" fontId="2" fillId="10" borderId="17" xfId="55" applyFont="1" applyFill="1" applyBorder="1" applyAlignment="1">
      <alignment horizontal="left" vertical="center"/>
    </xf>
    <xf numFmtId="164" fontId="7" fillId="10" borderId="17" xfId="55" applyFont="1" applyFill="1" applyBorder="1" applyAlignment="1">
      <alignment horizontal="left" vertical="center"/>
    </xf>
    <xf numFmtId="164" fontId="2" fillId="9" borderId="0" xfId="55" applyFont="1" applyFill="1" applyBorder="1" applyAlignment="1">
      <alignment vertical="center"/>
    </xf>
    <xf numFmtId="164" fontId="7" fillId="9" borderId="0" xfId="55" applyFont="1" applyFill="1" applyBorder="1" applyAlignment="1">
      <alignment vertical="center"/>
    </xf>
    <xf numFmtId="164" fontId="2" fillId="10" borderId="0" xfId="55" applyFont="1" applyFill="1" applyBorder="1" applyAlignment="1">
      <alignment vertical="center"/>
    </xf>
    <xf numFmtId="164" fontId="7" fillId="10" borderId="0" xfId="55" applyFont="1" applyFill="1" applyBorder="1" applyAlignment="1">
      <alignment vertical="center"/>
    </xf>
    <xf numFmtId="164" fontId="4" fillId="0" borderId="37" xfId="55" applyFont="1" applyFill="1" applyBorder="1" applyAlignment="1">
      <alignment horizontal="center" vertical="center" wrapText="1"/>
    </xf>
    <xf numFmtId="164" fontId="2" fillId="9" borderId="17" xfId="55" applyFont="1" applyFill="1" applyBorder="1" applyAlignment="1">
      <alignment horizontal="left" vertical="center" wrapText="1"/>
    </xf>
    <xf numFmtId="164" fontId="7" fillId="9" borderId="17" xfId="55" applyFont="1" applyFill="1" applyBorder="1" applyAlignment="1">
      <alignment horizontal="left" vertical="center" wrapText="1"/>
    </xf>
    <xf numFmtId="164" fontId="2" fillId="10" borderId="17" xfId="55" applyFont="1" applyFill="1" applyBorder="1" applyAlignment="1">
      <alignment horizontal="left" vertical="center" wrapText="1"/>
    </xf>
    <xf numFmtId="164" fontId="7" fillId="10" borderId="17" xfId="55" applyFont="1" applyFill="1" applyBorder="1" applyAlignment="1">
      <alignment horizontal="left" vertical="center" wrapText="1"/>
    </xf>
    <xf numFmtId="164" fontId="2" fillId="9" borderId="14" xfId="55" applyFont="1" applyFill="1" applyBorder="1" applyAlignment="1">
      <alignment horizontal="left" vertical="center"/>
    </xf>
    <xf numFmtId="164" fontId="7" fillId="9" borderId="14" xfId="55" applyFont="1" applyFill="1" applyBorder="1" applyAlignment="1">
      <alignment horizontal="left" vertical="center"/>
    </xf>
    <xf numFmtId="164" fontId="2" fillId="10" borderId="34" xfId="55" applyFont="1" applyFill="1" applyBorder="1" applyAlignment="1">
      <alignment horizontal="left" vertical="center"/>
    </xf>
    <xf numFmtId="164" fontId="7" fillId="10" borderId="34" xfId="55" applyFont="1" applyFill="1" applyBorder="1" applyAlignment="1">
      <alignment horizontal="left" vertical="center"/>
    </xf>
    <xf numFmtId="164" fontId="33" fillId="0" borderId="10" xfId="55" applyFont="1" applyFill="1" applyBorder="1" applyAlignment="1">
      <alignment horizontal="right" vertical="center"/>
    </xf>
    <xf numFmtId="164" fontId="1" fillId="9" borderId="17" xfId="55" applyFont="1" applyFill="1" applyBorder="1" applyAlignment="1">
      <alignment vertical="center"/>
    </xf>
    <xf numFmtId="164" fontId="6" fillId="9" borderId="17" xfId="55" applyFont="1" applyFill="1" applyBorder="1" applyAlignment="1">
      <alignment vertical="center"/>
    </xf>
    <xf numFmtId="164" fontId="2" fillId="0" borderId="32" xfId="55" applyFont="1" applyBorder="1" applyAlignment="1">
      <alignment vertical="center"/>
    </xf>
    <xf numFmtId="164" fontId="7" fillId="0" borderId="32" xfId="55" applyFont="1" applyBorder="1" applyAlignment="1">
      <alignment vertical="center"/>
    </xf>
    <xf numFmtId="164" fontId="1" fillId="0" borderId="0" xfId="55" applyFont="1" applyAlignment="1">
      <alignment/>
    </xf>
    <xf numFmtId="164" fontId="6" fillId="0" borderId="0" xfId="55" applyFont="1" applyAlignment="1">
      <alignment/>
    </xf>
    <xf numFmtId="164" fontId="4" fillId="0" borderId="0" xfId="55" applyFont="1" applyFill="1" applyBorder="1" applyAlignment="1">
      <alignment horizontal="justify" vertical="center"/>
    </xf>
    <xf numFmtId="164" fontId="6" fillId="0" borderId="0" xfId="55" applyFont="1" applyFill="1" applyBorder="1" applyAlignment="1">
      <alignment horizontal="justify" vertical="center"/>
    </xf>
    <xf numFmtId="164" fontId="1" fillId="0" borderId="0" xfId="55" applyFont="1" applyFill="1" applyBorder="1" applyAlignment="1">
      <alignment/>
    </xf>
    <xf numFmtId="164" fontId="6" fillId="0" borderId="0" xfId="55" applyFont="1" applyFill="1" applyBorder="1" applyAlignment="1">
      <alignment/>
    </xf>
    <xf numFmtId="196" fontId="0" fillId="0" borderId="10" xfId="0" applyNumberFormat="1" applyBorder="1" applyAlignment="1">
      <alignment horizontal="center" vertical="center" wrapText="1"/>
    </xf>
    <xf numFmtId="196" fontId="0" fillId="0" borderId="10" xfId="63" applyNumberFormat="1" applyFont="1" applyFill="1" applyBorder="1" applyAlignment="1" applyProtection="1">
      <alignment horizontal="center" vertical="center"/>
      <protection/>
    </xf>
    <xf numFmtId="170" fontId="6" fillId="0" borderId="12" xfId="60" applyNumberFormat="1" applyFont="1" applyFill="1" applyBorder="1" applyAlignment="1" applyProtection="1">
      <alignment horizontal="center" vertical="center"/>
      <protection locked="0"/>
    </xf>
    <xf numFmtId="0" fontId="1" fillId="4" borderId="37"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37"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37" xfId="0" applyFont="1" applyFill="1" applyBorder="1" applyAlignment="1">
      <alignment horizontal="justify" vertical="center" wrapText="1"/>
    </xf>
    <xf numFmtId="0" fontId="6" fillId="0" borderId="37" xfId="0" applyFont="1" applyFill="1" applyBorder="1" applyAlignment="1">
      <alignment horizontal="center" vertical="center"/>
    </xf>
    <xf numFmtId="0" fontId="1" fillId="0" borderId="37" xfId="0" applyFont="1" applyFill="1" applyBorder="1" applyAlignment="1">
      <alignment horizontal="center" vertical="center"/>
    </xf>
    <xf numFmtId="0" fontId="2" fillId="9" borderId="37"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10" xfId="0" applyFont="1" applyFill="1" applyBorder="1" applyAlignment="1">
      <alignment horizontal="center" vertical="center" wrapText="1"/>
    </xf>
    <xf numFmtId="170" fontId="4" fillId="0" borderId="10"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0" borderId="37" xfId="0" applyFont="1" applyFill="1" applyBorder="1" applyAlignment="1">
      <alignment horizontal="justify" vertical="center" wrapText="1"/>
    </xf>
    <xf numFmtId="170" fontId="1" fillId="0" borderId="10" xfId="0" applyNumberFormat="1" applyFont="1" applyFill="1" applyBorder="1" applyAlignment="1">
      <alignment horizontal="center" vertical="center" wrapText="1"/>
    </xf>
    <xf numFmtId="170" fontId="1" fillId="0" borderId="37" xfId="0" applyNumberFormat="1" applyFont="1" applyFill="1" applyBorder="1" applyAlignment="1">
      <alignment horizontal="center" vertical="center" wrapText="1"/>
    </xf>
    <xf numFmtId="170" fontId="1" fillId="0" borderId="24" xfId="0" applyNumberFormat="1" applyFont="1" applyFill="1" applyBorder="1" applyAlignment="1">
      <alignment horizontal="center" vertical="center" wrapText="1"/>
    </xf>
    <xf numFmtId="0" fontId="1" fillId="0" borderId="0" xfId="0" applyFont="1" applyAlignment="1">
      <alignment horizontal="center"/>
    </xf>
    <xf numFmtId="1" fontId="6" fillId="0" borderId="12" xfId="0" applyNumberFormat="1" applyFont="1" applyFill="1" applyBorder="1" applyAlignment="1">
      <alignment horizontal="center" vertical="center"/>
    </xf>
    <xf numFmtId="14" fontId="6" fillId="4" borderId="37" xfId="0" applyNumberFormat="1" applyFont="1" applyFill="1" applyBorder="1" applyAlignment="1">
      <alignment horizontal="center" vertical="center"/>
    </xf>
    <xf numFmtId="14" fontId="6" fillId="4" borderId="12" xfId="0" applyNumberFormat="1" applyFont="1" applyFill="1" applyBorder="1" applyAlignment="1">
      <alignment horizontal="center" vertical="center"/>
    </xf>
    <xf numFmtId="0" fontId="6" fillId="4" borderId="12" xfId="0" applyFont="1" applyFill="1" applyBorder="1" applyAlignment="1">
      <alignment horizontal="center"/>
    </xf>
    <xf numFmtId="170" fontId="4" fillId="0" borderId="37" xfId="0" applyNumberFormat="1" applyFont="1" applyFill="1" applyBorder="1" applyAlignment="1">
      <alignment horizontal="center" vertical="center"/>
    </xf>
    <xf numFmtId="1" fontId="6" fillId="0" borderId="24" xfId="0" applyNumberFormat="1" applyFont="1" applyFill="1" applyBorder="1" applyAlignment="1">
      <alignment horizontal="center" vertical="center" wrapText="1"/>
    </xf>
    <xf numFmtId="0" fontId="6" fillId="4" borderId="37" xfId="0" applyFont="1" applyFill="1" applyBorder="1" applyAlignment="1">
      <alignment horizontal="center" vertical="center"/>
    </xf>
    <xf numFmtId="0" fontId="4" fillId="4" borderId="13" xfId="0" applyFont="1" applyFill="1" applyBorder="1" applyAlignment="1">
      <alignment horizontal="center" vertical="center" wrapText="1"/>
    </xf>
    <xf numFmtId="0" fontId="1" fillId="4" borderId="37" xfId="0" applyFont="1" applyFill="1" applyBorder="1" applyAlignment="1">
      <alignment horizontal="justify" vertical="center" wrapText="1"/>
    </xf>
    <xf numFmtId="0" fontId="1" fillId="4" borderId="12" xfId="0" applyFont="1" applyFill="1" applyBorder="1" applyAlignment="1">
      <alignment horizontal="justify" vertical="center" wrapText="1"/>
    </xf>
    <xf numFmtId="9" fontId="1" fillId="4" borderId="24" xfId="66" applyFont="1" applyFill="1" applyBorder="1" applyAlignment="1">
      <alignment horizontal="center" vertical="center"/>
    </xf>
    <xf numFmtId="9" fontId="1" fillId="4" borderId="12" xfId="66" applyFont="1" applyFill="1" applyBorder="1" applyAlignment="1">
      <alignment horizontal="center" vertical="center"/>
    </xf>
    <xf numFmtId="9" fontId="1" fillId="4" borderId="10" xfId="66" applyFont="1" applyFill="1" applyBorder="1" applyAlignment="1">
      <alignment horizontal="center" vertical="center"/>
    </xf>
    <xf numFmtId="170" fontId="1" fillId="0" borderId="12" xfId="0" applyNumberFormat="1" applyFont="1" applyFill="1" applyBorder="1" applyAlignment="1">
      <alignment horizontal="center" vertical="center" wrapText="1"/>
    </xf>
    <xf numFmtId="170" fontId="1" fillId="4" borderId="10" xfId="0" applyNumberFormat="1" applyFont="1" applyFill="1" applyBorder="1" applyAlignment="1">
      <alignment horizontal="center" vertical="center" wrapText="1"/>
    </xf>
    <xf numFmtId="0" fontId="7" fillId="9" borderId="37" xfId="0" applyFont="1" applyFill="1" applyBorder="1" applyAlignment="1">
      <alignment horizontal="center" vertical="center" wrapText="1"/>
    </xf>
    <xf numFmtId="0" fontId="1" fillId="4"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1" fillId="4" borderId="10" xfId="0" applyFont="1" applyFill="1" applyBorder="1" applyAlignment="1">
      <alignment horizontal="justify" vertical="center" wrapText="1"/>
    </xf>
    <xf numFmtId="0" fontId="1" fillId="4" borderId="24" xfId="0" applyFont="1" applyFill="1" applyBorder="1" applyAlignment="1">
      <alignment horizontal="center" vertical="center"/>
    </xf>
    <xf numFmtId="0" fontId="1" fillId="4" borderId="37" xfId="0" applyFont="1" applyFill="1" applyBorder="1" applyAlignment="1">
      <alignment horizontal="center" vertical="center"/>
    </xf>
    <xf numFmtId="0" fontId="6" fillId="4" borderId="24" xfId="0" applyFont="1" applyFill="1" applyBorder="1" applyAlignment="1">
      <alignment horizontal="center"/>
    </xf>
    <xf numFmtId="0" fontId="1" fillId="4" borderId="24" xfId="0" applyFont="1" applyFill="1" applyBorder="1" applyAlignment="1">
      <alignment horizontal="center"/>
    </xf>
    <xf numFmtId="0" fontId="6" fillId="0" borderId="10" xfId="0" applyFont="1" applyFill="1" applyBorder="1" applyAlignment="1">
      <alignment horizontal="center"/>
    </xf>
    <xf numFmtId="0" fontId="1" fillId="0" borderId="10" xfId="0" applyFont="1" applyFill="1" applyBorder="1" applyAlignment="1">
      <alignment horizontal="center"/>
    </xf>
    <xf numFmtId="0" fontId="1" fillId="4" borderId="10" xfId="0" applyFont="1" applyFill="1" applyBorder="1" applyAlignment="1">
      <alignment horizontal="center" vertical="center" wrapText="1"/>
    </xf>
    <xf numFmtId="0" fontId="1" fillId="4" borderId="12" xfId="0" applyFont="1" applyFill="1" applyBorder="1" applyAlignment="1">
      <alignment horizontal="justify" vertical="center" wrapText="1"/>
    </xf>
    <xf numFmtId="0" fontId="1" fillId="4" borderId="55" xfId="0" applyFont="1" applyFill="1" applyBorder="1" applyAlignment="1">
      <alignment horizontal="center" vertical="center" wrapText="1"/>
    </xf>
    <xf numFmtId="170" fontId="1" fillId="0" borderId="37" xfId="0" applyNumberFormat="1" applyFont="1" applyFill="1" applyBorder="1" applyAlignment="1">
      <alignment horizontal="center" vertical="center"/>
    </xf>
    <xf numFmtId="0" fontId="1" fillId="4" borderId="16" xfId="0" applyFont="1" applyFill="1" applyBorder="1" applyAlignment="1">
      <alignment horizontal="center" vertical="center" wrapText="1"/>
    </xf>
    <xf numFmtId="0" fontId="1" fillId="4" borderId="12" xfId="0" applyFont="1" applyFill="1" applyBorder="1" applyAlignment="1">
      <alignment horizontal="center" vertical="center"/>
    </xf>
    <xf numFmtId="14" fontId="1" fillId="4" borderId="10" xfId="0" applyNumberFormat="1" applyFont="1" applyFill="1" applyBorder="1" applyAlignment="1">
      <alignment horizontal="center" vertical="center"/>
    </xf>
    <xf numFmtId="14" fontId="6" fillId="4" borderId="10" xfId="0" applyNumberFormat="1" applyFont="1" applyFill="1" applyBorder="1" applyAlignment="1">
      <alignment horizontal="center" vertical="center"/>
    </xf>
    <xf numFmtId="0" fontId="6" fillId="4" borderId="10" xfId="0" applyFont="1" applyFill="1" applyBorder="1" applyAlignment="1">
      <alignment horizontal="center" vertical="center"/>
    </xf>
    <xf numFmtId="0" fontId="1" fillId="4" borderId="12" xfId="0" applyFont="1" applyFill="1" applyBorder="1" applyAlignment="1">
      <alignment horizontal="center"/>
    </xf>
    <xf numFmtId="183" fontId="1" fillId="4" borderId="24" xfId="0" applyNumberFormat="1" applyFont="1" applyFill="1" applyBorder="1" applyAlignment="1">
      <alignment horizontal="center" vertical="center"/>
    </xf>
    <xf numFmtId="183" fontId="1" fillId="4" borderId="12" xfId="0" applyNumberFormat="1" applyFont="1" applyFill="1" applyBorder="1" applyAlignment="1">
      <alignment horizontal="center" vertical="center"/>
    </xf>
    <xf numFmtId="14" fontId="1" fillId="4" borderId="37" xfId="0" applyNumberFormat="1" applyFont="1" applyFill="1" applyBorder="1" applyAlignment="1">
      <alignment horizontal="center" vertical="center"/>
    </xf>
    <xf numFmtId="14" fontId="1" fillId="4" borderId="12" xfId="0" applyNumberFormat="1" applyFont="1" applyFill="1" applyBorder="1" applyAlignment="1">
      <alignment horizontal="center" vertical="center"/>
    </xf>
    <xf numFmtId="171" fontId="4" fillId="4" borderId="10" xfId="45" applyFont="1" applyFill="1" applyBorder="1" applyAlignment="1">
      <alignment horizontal="justify" vertical="center" wrapText="1"/>
      <protection/>
    </xf>
    <xf numFmtId="0" fontId="1" fillId="4" borderId="10" xfId="0" applyFont="1" applyFill="1" applyBorder="1" applyAlignment="1">
      <alignment horizontal="center"/>
    </xf>
    <xf numFmtId="0" fontId="1" fillId="4" borderId="10" xfId="0" applyFont="1" applyFill="1" applyBorder="1" applyAlignment="1">
      <alignment horizontal="justify" vertical="center" wrapText="1"/>
    </xf>
    <xf numFmtId="183" fontId="0" fillId="0" borderId="37" xfId="0" applyNumberFormat="1" applyFont="1" applyFill="1" applyBorder="1" applyAlignment="1">
      <alignment horizontal="center" vertical="center"/>
    </xf>
    <xf numFmtId="0" fontId="1" fillId="4" borderId="10" xfId="0"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6" fillId="0" borderId="10" xfId="0" applyFont="1" applyFill="1" applyBorder="1" applyAlignment="1">
      <alignment horizontal="center" vertical="center"/>
    </xf>
    <xf numFmtId="0" fontId="1" fillId="0" borderId="37" xfId="0" applyNumberFormat="1" applyFont="1" applyFill="1" applyBorder="1" applyAlignment="1">
      <alignment horizontal="center" vertical="center" wrapText="1"/>
    </xf>
    <xf numFmtId="170" fontId="1" fillId="4" borderId="37" xfId="0" applyNumberFormat="1" applyFont="1" applyFill="1" applyBorder="1" applyAlignment="1">
      <alignment horizontal="center" vertical="center" wrapText="1"/>
    </xf>
    <xf numFmtId="0" fontId="2" fillId="9" borderId="37"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24"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170" fontId="4" fillId="0" borderId="10" xfId="0" applyNumberFormat="1" applyFont="1" applyFill="1" applyBorder="1" applyAlignment="1">
      <alignment horizontal="center" vertical="center"/>
    </xf>
    <xf numFmtId="165" fontId="6" fillId="0" borderId="10" xfId="48" applyFont="1" applyFill="1" applyBorder="1" applyAlignment="1">
      <alignment horizontal="center" vertical="center" wrapText="1"/>
    </xf>
    <xf numFmtId="167" fontId="1" fillId="0" borderId="10" xfId="62" applyFont="1" applyFill="1" applyBorder="1" applyAlignment="1">
      <alignment horizontal="justify" vertical="center" wrapText="1"/>
      <protection/>
    </xf>
    <xf numFmtId="170" fontId="1" fillId="0" borderId="10" xfId="62" applyNumberFormat="1" applyFont="1" applyFill="1" applyBorder="1" applyAlignment="1">
      <alignment vertical="center"/>
      <protection/>
    </xf>
    <xf numFmtId="167" fontId="1" fillId="0" borderId="37" xfId="62" applyFont="1" applyFill="1" applyBorder="1" applyAlignment="1">
      <alignment horizontal="justify" vertical="center" wrapText="1"/>
      <protection/>
    </xf>
    <xf numFmtId="170" fontId="1" fillId="0" borderId="37" xfId="62" applyNumberFormat="1" applyFont="1" applyFill="1" applyBorder="1" applyAlignment="1">
      <alignment vertical="center"/>
      <protection/>
    </xf>
    <xf numFmtId="0" fontId="6" fillId="4" borderId="24" xfId="0" applyFont="1" applyFill="1" applyBorder="1" applyAlignment="1">
      <alignment/>
    </xf>
    <xf numFmtId="0" fontId="1" fillId="0" borderId="10" xfId="0" applyNumberFormat="1" applyFont="1" applyFill="1" applyBorder="1" applyAlignment="1">
      <alignment vertical="center" wrapText="1"/>
    </xf>
    <xf numFmtId="0" fontId="1" fillId="0" borderId="37" xfId="0" applyNumberFormat="1" applyFont="1" applyFill="1" applyBorder="1" applyAlignment="1">
      <alignment vertical="center" wrapText="1"/>
    </xf>
    <xf numFmtId="0" fontId="1" fillId="4" borderId="10" xfId="0" applyFont="1" applyFill="1" applyBorder="1" applyAlignment="1">
      <alignment vertical="center"/>
    </xf>
    <xf numFmtId="0" fontId="6" fillId="4" borderId="10" xfId="0" applyFont="1" applyFill="1" applyBorder="1" applyAlignment="1">
      <alignment vertical="center"/>
    </xf>
    <xf numFmtId="170" fontId="4" fillId="0" borderId="37" xfId="58" applyNumberFormat="1" applyFont="1" applyFill="1" applyBorder="1" applyAlignment="1">
      <alignment horizontal="center" vertical="center" wrapText="1"/>
    </xf>
    <xf numFmtId="195" fontId="1" fillId="0" borderId="37" xfId="0" applyNumberFormat="1" applyFont="1" applyFill="1" applyBorder="1" applyAlignment="1">
      <alignment horizontal="center" vertical="center" wrapText="1"/>
    </xf>
    <xf numFmtId="170" fontId="4" fillId="9" borderId="0" xfId="0" applyNumberFormat="1" applyFont="1" applyFill="1" applyBorder="1" applyAlignment="1">
      <alignment vertical="center"/>
    </xf>
    <xf numFmtId="0" fontId="4" fillId="9" borderId="0" xfId="0" applyFont="1" applyFill="1" applyBorder="1" applyAlignment="1">
      <alignment vertical="center"/>
    </xf>
    <xf numFmtId="49" fontId="1" fillId="4" borderId="10" xfId="0" applyNumberFormat="1" applyFont="1" applyFill="1" applyBorder="1" applyAlignment="1">
      <alignment vertical="center" wrapText="1"/>
    </xf>
    <xf numFmtId="183" fontId="26" fillId="0" borderId="10" xfId="0" applyNumberFormat="1" applyFont="1" applyFill="1" applyBorder="1" applyAlignment="1">
      <alignment horizontal="center" vertical="center"/>
    </xf>
    <xf numFmtId="170" fontId="4" fillId="0" borderId="12" xfId="58" applyNumberFormat="1" applyFont="1" applyFill="1" applyBorder="1" applyAlignment="1">
      <alignment horizontal="center" vertical="center" wrapText="1"/>
    </xf>
    <xf numFmtId="14" fontId="1" fillId="4" borderId="37" xfId="0" applyNumberFormat="1" applyFont="1" applyFill="1" applyBorder="1" applyAlignment="1">
      <alignment vertical="center"/>
    </xf>
    <xf numFmtId="14" fontId="6" fillId="4" borderId="37" xfId="0" applyNumberFormat="1" applyFont="1" applyFill="1" applyBorder="1" applyAlignment="1">
      <alignment vertical="center"/>
    </xf>
    <xf numFmtId="170" fontId="4" fillId="0" borderId="10" xfId="58" applyNumberFormat="1" applyFont="1" applyFill="1" applyBorder="1" applyAlignment="1">
      <alignment horizontal="center" vertical="center" wrapText="1" readingOrder="1"/>
    </xf>
    <xf numFmtId="0" fontId="4" fillId="9" borderId="17" xfId="0" applyFont="1" applyFill="1" applyBorder="1" applyAlignment="1">
      <alignment vertical="center"/>
    </xf>
    <xf numFmtId="170" fontId="4" fillId="0" borderId="35" xfId="58" applyNumberFormat="1"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top" wrapText="1"/>
    </xf>
    <xf numFmtId="168" fontId="0" fillId="0" borderId="0" xfId="51" applyNumberFormat="1" applyFont="1" applyFill="1" applyBorder="1" applyAlignment="1">
      <alignment vertical="center"/>
    </xf>
    <xf numFmtId="43" fontId="8" fillId="0" borderId="0" xfId="51" applyFont="1" applyFill="1" applyBorder="1" applyAlignment="1">
      <alignment vertical="center"/>
    </xf>
    <xf numFmtId="164" fontId="8" fillId="0" borderId="10" xfId="55" applyFont="1" applyFill="1" applyBorder="1" applyAlignment="1">
      <alignment horizontal="center" vertical="center"/>
    </xf>
    <xf numFmtId="164" fontId="6" fillId="4" borderId="37" xfId="55" applyFont="1" applyFill="1" applyBorder="1" applyAlignment="1">
      <alignment horizontal="center" vertical="center"/>
    </xf>
    <xf numFmtId="164" fontId="8" fillId="0" borderId="10" xfId="55" applyFont="1" applyFill="1" applyBorder="1" applyAlignment="1">
      <alignment vertical="center"/>
    </xf>
    <xf numFmtId="164" fontId="8" fillId="0" borderId="12" xfId="55" applyFont="1" applyFill="1" applyBorder="1" applyAlignment="1">
      <alignment vertical="center"/>
    </xf>
    <xf numFmtId="164" fontId="8" fillId="4" borderId="10" xfId="55" applyFont="1" applyFill="1" applyBorder="1" applyAlignment="1">
      <alignment horizontal="center" vertical="center"/>
    </xf>
    <xf numFmtId="164" fontId="8" fillId="4" borderId="37" xfId="55" applyFont="1" applyFill="1" applyBorder="1" applyAlignment="1">
      <alignment horizontal="center" vertical="center"/>
    </xf>
    <xf numFmtId="164" fontId="8" fillId="0" borderId="37" xfId="55" applyFont="1" applyFill="1" applyBorder="1" applyAlignment="1">
      <alignment horizontal="center" vertical="center"/>
    </xf>
    <xf numFmtId="0" fontId="1" fillId="4" borderId="37" xfId="0" applyFont="1" applyFill="1" applyBorder="1" applyAlignment="1">
      <alignment horizontal="center" vertical="center" wrapText="1"/>
    </xf>
    <xf numFmtId="0" fontId="1" fillId="4" borderId="37" xfId="0" applyFont="1" applyFill="1" applyBorder="1" applyAlignment="1">
      <alignment horizontal="justify" vertical="center" wrapText="1"/>
    </xf>
    <xf numFmtId="0" fontId="1" fillId="4" borderId="37" xfId="0" applyFont="1" applyFill="1" applyBorder="1" applyAlignment="1">
      <alignment horizontal="justify" vertical="center" wrapText="1"/>
    </xf>
    <xf numFmtId="0" fontId="1" fillId="4" borderId="37" xfId="0" applyFont="1" applyFill="1" applyBorder="1" applyAlignment="1">
      <alignment horizontal="center" vertical="center" wrapText="1"/>
    </xf>
    <xf numFmtId="0" fontId="6" fillId="4" borderId="37" xfId="0" applyFont="1" applyFill="1" applyBorder="1" applyAlignment="1">
      <alignment horizontal="center" vertical="center" wrapText="1"/>
    </xf>
    <xf numFmtId="9" fontId="1" fillId="4" borderId="37" xfId="66" applyFont="1" applyFill="1" applyBorder="1" applyAlignment="1">
      <alignment horizontal="center" vertical="center"/>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15"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2" fillId="0" borderId="26" xfId="0"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2" fillId="0" borderId="34" xfId="0" applyFont="1" applyFill="1" applyBorder="1" applyAlignment="1">
      <alignment horizontal="center" vertical="center" wrapText="1"/>
    </xf>
    <xf numFmtId="0" fontId="1" fillId="0" borderId="15" xfId="0" applyFont="1" applyFill="1" applyBorder="1" applyAlignment="1">
      <alignment horizontal="center" vertical="center" wrapText="1"/>
    </xf>
    <xf numFmtId="164" fontId="1" fillId="0" borderId="10" xfId="55" applyFont="1" applyFill="1" applyBorder="1" applyAlignment="1">
      <alignment vertical="center"/>
    </xf>
    <xf numFmtId="164" fontId="6" fillId="0" borderId="10" xfId="55" applyFont="1" applyFill="1" applyBorder="1" applyAlignment="1">
      <alignment horizontal="center" vertical="center" wrapText="1"/>
    </xf>
    <xf numFmtId="164" fontId="6" fillId="0" borderId="37" xfId="55" applyFont="1" applyFill="1" applyBorder="1" applyAlignment="1">
      <alignment horizontal="center" vertical="center" wrapText="1"/>
    </xf>
    <xf numFmtId="164" fontId="4" fillId="0" borderId="10" xfId="55" applyFont="1" applyFill="1" applyBorder="1" applyAlignment="1">
      <alignment horizontal="center" vertical="center" wrapText="1"/>
    </xf>
    <xf numFmtId="0" fontId="1" fillId="0" borderId="17" xfId="0" applyFont="1" applyFill="1" applyBorder="1" applyAlignment="1">
      <alignment horizontal="center" vertical="center" wrapText="1"/>
    </xf>
    <xf numFmtId="164" fontId="1" fillId="0" borderId="10" xfId="55" applyFont="1" applyFill="1" applyBorder="1" applyAlignment="1">
      <alignment vertical="center" wrapText="1"/>
    </xf>
    <xf numFmtId="164" fontId="1" fillId="0" borderId="10" xfId="55" applyFont="1" applyFill="1" applyBorder="1" applyAlignment="1">
      <alignment horizontal="right" vertical="center" wrapText="1"/>
    </xf>
    <xf numFmtId="164" fontId="1" fillId="0" borderId="12" xfId="55" applyFont="1" applyFill="1" applyBorder="1" applyAlignment="1">
      <alignment vertical="center" wrapText="1"/>
    </xf>
    <xf numFmtId="164" fontId="2" fillId="9" borderId="17" xfId="55" applyFont="1" applyFill="1" applyBorder="1" applyAlignment="1">
      <alignment vertical="center" wrapText="1"/>
    </xf>
    <xf numFmtId="164" fontId="1" fillId="0" borderId="37" xfId="55" applyFont="1" applyFill="1" applyBorder="1" applyAlignment="1">
      <alignment horizontal="right" vertical="center" wrapText="1"/>
    </xf>
    <xf numFmtId="164" fontId="6" fillId="0" borderId="10" xfId="55" applyFont="1" applyFill="1" applyBorder="1" applyAlignment="1">
      <alignment horizontal="right" vertical="center" wrapText="1"/>
    </xf>
    <xf numFmtId="164" fontId="1" fillId="0" borderId="10" xfId="55" applyFont="1" applyFill="1" applyBorder="1" applyAlignment="1">
      <alignment horizontal="center" vertical="center" wrapText="1"/>
    </xf>
    <xf numFmtId="164" fontId="4" fillId="0" borderId="10" xfId="55" applyFont="1" applyFill="1" applyBorder="1" applyAlignment="1">
      <alignment vertical="center"/>
    </xf>
    <xf numFmtId="164" fontId="6" fillId="0" borderId="10" xfId="55" applyFont="1" applyFill="1" applyBorder="1" applyAlignment="1">
      <alignment vertical="center"/>
    </xf>
    <xf numFmtId="164" fontId="3" fillId="0" borderId="10" xfId="55" applyFont="1" applyFill="1" applyBorder="1" applyAlignment="1">
      <alignment horizontal="center" vertical="center"/>
    </xf>
    <xf numFmtId="164" fontId="30" fillId="0" borderId="10" xfId="55" applyFont="1" applyFill="1" applyBorder="1" applyAlignment="1">
      <alignment horizontal="center" vertical="center"/>
    </xf>
    <xf numFmtId="164" fontId="0" fillId="0" borderId="10" xfId="55" applyFont="1" applyFill="1" applyBorder="1" applyAlignment="1">
      <alignment horizontal="justify" vertical="center"/>
    </xf>
    <xf numFmtId="164" fontId="8" fillId="0" borderId="10" xfId="55" applyFont="1" applyFill="1" applyBorder="1" applyAlignment="1">
      <alignment horizontal="justify" vertical="center"/>
    </xf>
    <xf numFmtId="164" fontId="6" fillId="0" borderId="10" xfId="55" applyFont="1" applyFill="1" applyBorder="1" applyAlignment="1">
      <alignment vertical="center" wrapText="1"/>
    </xf>
    <xf numFmtId="164" fontId="4" fillId="0" borderId="10" xfId="55" applyFont="1" applyFill="1" applyBorder="1" applyAlignment="1">
      <alignment horizontal="right" vertical="center" wrapText="1"/>
    </xf>
    <xf numFmtId="164" fontId="2" fillId="9" borderId="17" xfId="55" applyFont="1" applyFill="1" applyBorder="1" applyAlignment="1">
      <alignment horizontal="center" vertical="center" wrapText="1"/>
    </xf>
    <xf numFmtId="164" fontId="1" fillId="0" borderId="37" xfId="55" applyFont="1" applyFill="1" applyBorder="1" applyAlignment="1">
      <alignment horizontal="center" vertical="center" wrapText="1"/>
    </xf>
    <xf numFmtId="164" fontId="2" fillId="0" borderId="32" xfId="55" applyFont="1" applyFill="1" applyBorder="1" applyAlignment="1">
      <alignment/>
    </xf>
    <xf numFmtId="164" fontId="7" fillId="0" borderId="32" xfId="55" applyFont="1" applyFill="1" applyBorder="1" applyAlignment="1">
      <alignment/>
    </xf>
    <xf numFmtId="164" fontId="2" fillId="0" borderId="32" xfId="55" applyFont="1" applyFill="1" applyBorder="1" applyAlignment="1">
      <alignment horizontal="right" vertical="center"/>
    </xf>
    <xf numFmtId="164" fontId="2" fillId="0" borderId="22" xfId="55" applyFont="1" applyFill="1" applyBorder="1" applyAlignment="1">
      <alignment horizontal="right" vertical="center"/>
    </xf>
    <xf numFmtId="0" fontId="1" fillId="0" borderId="1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7" xfId="0" applyFont="1" applyFill="1" applyBorder="1" applyAlignment="1">
      <alignment horizontal="justify" vertical="center" wrapText="1"/>
    </xf>
    <xf numFmtId="165" fontId="1" fillId="0" borderId="0" xfId="48" applyNumberFormat="1" applyFont="1" applyFill="1" applyAlignment="1">
      <alignment/>
    </xf>
    <xf numFmtId="0" fontId="6" fillId="0" borderId="2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7" xfId="0" applyFont="1" applyFill="1" applyBorder="1" applyAlignment="1">
      <alignment horizontal="justify" vertical="center" wrapText="1"/>
    </xf>
    <xf numFmtId="0" fontId="1" fillId="0" borderId="19" xfId="0" applyFont="1" applyFill="1" applyBorder="1" applyAlignment="1">
      <alignment horizontal="center" vertical="center" wrapText="1"/>
    </xf>
    <xf numFmtId="0" fontId="1" fillId="0" borderId="37" xfId="0" applyFont="1" applyFill="1" applyBorder="1" applyAlignment="1">
      <alignment vertical="center" wrapText="1"/>
    </xf>
    <xf numFmtId="0" fontId="1" fillId="0" borderId="24" xfId="0" applyFont="1" applyFill="1" applyBorder="1" applyAlignment="1">
      <alignment vertical="center" wrapText="1"/>
    </xf>
    <xf numFmtId="0" fontId="2" fillId="12" borderId="17" xfId="0" applyFont="1" applyFill="1" applyBorder="1" applyAlignment="1">
      <alignment vertical="center" wrapText="1"/>
    </xf>
    <xf numFmtId="0" fontId="2" fillId="12" borderId="16" xfId="0" applyFont="1" applyFill="1" applyBorder="1" applyAlignment="1">
      <alignment vertical="center" wrapText="1"/>
    </xf>
    <xf numFmtId="0" fontId="2" fillId="12" borderId="16" xfId="0" applyFont="1" applyFill="1" applyBorder="1" applyAlignment="1">
      <alignment horizontal="center" vertical="center" wrapText="1"/>
    </xf>
    <xf numFmtId="192" fontId="1" fillId="0" borderId="37" xfId="0" applyNumberFormat="1" applyFont="1" applyFill="1" applyBorder="1" applyAlignment="1">
      <alignment horizontal="center" vertical="center" wrapText="1"/>
    </xf>
    <xf numFmtId="192" fontId="1" fillId="0" borderId="37" xfId="0" applyNumberFormat="1" applyFont="1" applyFill="1" applyBorder="1" applyAlignment="1">
      <alignment vertical="center" wrapText="1"/>
    </xf>
    <xf numFmtId="192" fontId="1" fillId="0" borderId="12" xfId="0" applyNumberFormat="1" applyFont="1" applyFill="1" applyBorder="1" applyAlignment="1">
      <alignment horizontal="center" vertical="center" wrapText="1"/>
    </xf>
    <xf numFmtId="192" fontId="1" fillId="0" borderId="12" xfId="0" applyNumberFormat="1" applyFont="1" applyFill="1" applyBorder="1" applyAlignment="1">
      <alignment vertical="center" wrapText="1"/>
    </xf>
    <xf numFmtId="0" fontId="1" fillId="0" borderId="12" xfId="0"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191" fontId="1" fillId="0" borderId="12" xfId="0" applyNumberFormat="1" applyFont="1" applyFill="1" applyBorder="1" applyAlignment="1">
      <alignment horizontal="justify" vertical="center" wrapText="1"/>
    </xf>
    <xf numFmtId="0" fontId="7" fillId="12" borderId="17" xfId="0" applyFont="1" applyFill="1" applyBorder="1" applyAlignment="1">
      <alignment vertical="center" wrapText="1"/>
    </xf>
    <xf numFmtId="192" fontId="6" fillId="0" borderId="10" xfId="0" applyNumberFormat="1" applyFont="1" applyFill="1" applyBorder="1" applyAlignment="1">
      <alignment vertical="center" wrapText="1"/>
    </xf>
    <xf numFmtId="192" fontId="6" fillId="0" borderId="10" xfId="0" applyNumberFormat="1" applyFont="1" applyFill="1" applyBorder="1" applyAlignment="1">
      <alignment horizontal="center" vertical="center" wrapText="1"/>
    </xf>
    <xf numFmtId="192" fontId="6" fillId="0" borderId="37" xfId="0" applyNumberFormat="1" applyFont="1" applyFill="1" applyBorder="1" applyAlignment="1">
      <alignment horizontal="center" vertical="center" wrapText="1"/>
    </xf>
    <xf numFmtId="192" fontId="6" fillId="0" borderId="12" xfId="0" applyNumberFormat="1" applyFont="1" applyFill="1" applyBorder="1" applyAlignment="1">
      <alignment horizontal="center" vertical="center" wrapText="1"/>
    </xf>
    <xf numFmtId="0" fontId="6" fillId="0" borderId="0" xfId="0" applyFont="1" applyFill="1" applyAlignment="1">
      <alignment horizontal="justify" vertical="center"/>
    </xf>
    <xf numFmtId="0" fontId="2" fillId="4" borderId="37" xfId="0" applyFont="1" applyFill="1" applyBorder="1" applyAlignment="1">
      <alignment horizontal="center" vertical="center" wrapText="1"/>
    </xf>
    <xf numFmtId="49" fontId="1" fillId="0" borderId="16" xfId="0" applyNumberFormat="1" applyFont="1" applyFill="1" applyBorder="1" applyAlignment="1">
      <alignment vertical="center" wrapText="1"/>
    </xf>
    <xf numFmtId="0" fontId="2" fillId="12" borderId="19" xfId="0" applyFont="1" applyFill="1" applyBorder="1" applyAlignment="1">
      <alignment horizontal="center" vertical="center" wrapText="1"/>
    </xf>
    <xf numFmtId="0" fontId="2" fillId="21" borderId="19" xfId="0" applyFont="1" applyFill="1" applyBorder="1" applyAlignment="1">
      <alignment horizontal="center" vertical="center" wrapText="1"/>
    </xf>
    <xf numFmtId="0" fontId="2" fillId="10" borderId="37" xfId="0" applyFont="1" applyFill="1" applyBorder="1" applyAlignment="1">
      <alignment horizontal="center" vertical="center" wrapText="1"/>
    </xf>
    <xf numFmtId="49" fontId="1" fillId="4" borderId="24" xfId="0" applyNumberFormat="1" applyFont="1" applyFill="1" applyBorder="1" applyAlignment="1">
      <alignment vertical="center" wrapText="1"/>
    </xf>
    <xf numFmtId="49" fontId="1" fillId="4" borderId="37" xfId="0" applyNumberFormat="1" applyFont="1" applyFill="1" applyBorder="1" applyAlignment="1">
      <alignment vertical="center" wrapText="1"/>
    </xf>
    <xf numFmtId="170" fontId="1" fillId="0" borderId="53" xfId="0" applyNumberFormat="1" applyFont="1" applyFill="1" applyBorder="1" applyAlignment="1">
      <alignment/>
    </xf>
    <xf numFmtId="0" fontId="1" fillId="0" borderId="52" xfId="0" applyFont="1" applyFill="1" applyBorder="1" applyAlignment="1">
      <alignment horizontal="justify"/>
    </xf>
    <xf numFmtId="0" fontId="1" fillId="0" borderId="46" xfId="0" applyFont="1" applyFill="1" applyBorder="1" applyAlignment="1">
      <alignment horizontal="justify"/>
    </xf>
    <xf numFmtId="0" fontId="1" fillId="0" borderId="47" xfId="0" applyFont="1" applyFill="1" applyBorder="1" applyAlignment="1">
      <alignment horizontal="justify" vertical="center"/>
    </xf>
    <xf numFmtId="192" fontId="1" fillId="0" borderId="53" xfId="0" applyNumberFormat="1" applyFont="1" applyFill="1" applyBorder="1" applyAlignment="1">
      <alignment horizontal="justify" vertical="center"/>
    </xf>
    <xf numFmtId="192" fontId="6" fillId="0" borderId="53" xfId="0" applyNumberFormat="1" applyFont="1" applyFill="1" applyBorder="1" applyAlignment="1">
      <alignment horizontal="justify" vertical="center"/>
    </xf>
    <xf numFmtId="0" fontId="1" fillId="0" borderId="52" xfId="0" applyFont="1" applyFill="1" applyBorder="1" applyAlignment="1">
      <alignment horizontal="justify" vertical="center"/>
    </xf>
    <xf numFmtId="0" fontId="1" fillId="0" borderId="46" xfId="0" applyFont="1" applyFill="1" applyBorder="1" applyAlignment="1">
      <alignment horizontal="justify" vertical="center"/>
    </xf>
    <xf numFmtId="0" fontId="1" fillId="0" borderId="46" xfId="0" applyFont="1" applyFill="1" applyBorder="1" applyAlignment="1">
      <alignment/>
    </xf>
    <xf numFmtId="169" fontId="1" fillId="0" borderId="46" xfId="0" applyNumberFormat="1" applyFont="1" applyFill="1" applyBorder="1" applyAlignment="1">
      <alignment horizontal="center"/>
    </xf>
    <xf numFmtId="0" fontId="1" fillId="0" borderId="47" xfId="0" applyFont="1" applyFill="1" applyBorder="1" applyAlignment="1">
      <alignment horizontal="left"/>
    </xf>
    <xf numFmtId="0" fontId="1" fillId="0" borderId="17" xfId="0" applyFont="1" applyFill="1" applyBorder="1" applyAlignment="1">
      <alignment/>
    </xf>
    <xf numFmtId="0" fontId="1" fillId="0" borderId="17" xfId="0" applyFont="1" applyFill="1" applyBorder="1" applyAlignment="1">
      <alignment horizontal="justify"/>
    </xf>
    <xf numFmtId="0" fontId="1" fillId="0" borderId="17" xfId="0" applyFont="1" applyFill="1" applyBorder="1" applyAlignment="1">
      <alignment horizontal="justify" vertical="center"/>
    </xf>
    <xf numFmtId="0" fontId="6" fillId="0" borderId="17" xfId="0" applyFont="1" applyFill="1" applyBorder="1" applyAlignment="1">
      <alignment horizontal="justify" vertical="center"/>
    </xf>
    <xf numFmtId="192" fontId="1" fillId="0" borderId="17" xfId="0" applyNumberFormat="1" applyFont="1" applyFill="1" applyBorder="1" applyAlignment="1">
      <alignment vertical="center" wrapText="1"/>
    </xf>
    <xf numFmtId="0" fontId="1" fillId="0" borderId="17" xfId="0" applyFont="1" applyFill="1" applyBorder="1" applyAlignment="1">
      <alignment horizontal="right" vertical="center"/>
    </xf>
    <xf numFmtId="169" fontId="1" fillId="0" borderId="17" xfId="0" applyNumberFormat="1" applyFont="1" applyFill="1" applyBorder="1" applyAlignment="1">
      <alignment horizontal="center"/>
    </xf>
    <xf numFmtId="0" fontId="1" fillId="0" borderId="37" xfId="0" applyNumberFormat="1" applyFont="1" applyFill="1" applyBorder="1" applyAlignment="1">
      <alignment vertical="center"/>
    </xf>
    <xf numFmtId="169" fontId="1" fillId="0" borderId="37" xfId="0" applyNumberFormat="1" applyFont="1" applyFill="1" applyBorder="1" applyAlignment="1">
      <alignment vertical="center" wrapText="1"/>
    </xf>
    <xf numFmtId="3" fontId="1" fillId="12" borderId="17" xfId="0" applyNumberFormat="1" applyFont="1" applyFill="1" applyBorder="1" applyAlignment="1">
      <alignment vertical="center"/>
    </xf>
    <xf numFmtId="9" fontId="1" fillId="12" borderId="17" xfId="66" applyFont="1" applyFill="1" applyBorder="1" applyAlignment="1">
      <alignment vertical="center"/>
    </xf>
    <xf numFmtId="0" fontId="1" fillId="12" borderId="17" xfId="0" applyNumberFormat="1" applyFont="1" applyFill="1" applyBorder="1" applyAlignment="1">
      <alignment vertical="center" wrapText="1"/>
    </xf>
    <xf numFmtId="169" fontId="1" fillId="12" borderId="17" xfId="0" applyNumberFormat="1" applyFont="1" applyFill="1" applyBorder="1" applyAlignment="1">
      <alignment vertical="center" wrapText="1"/>
    </xf>
    <xf numFmtId="169" fontId="1" fillId="12" borderId="16" xfId="0" applyNumberFormat="1" applyFont="1" applyFill="1" applyBorder="1" applyAlignment="1">
      <alignment vertical="center" wrapText="1"/>
    </xf>
    <xf numFmtId="0" fontId="2" fillId="12" borderId="15" xfId="0" applyFont="1" applyFill="1" applyBorder="1" applyAlignment="1">
      <alignment vertical="center" wrapText="1"/>
    </xf>
    <xf numFmtId="0" fontId="1" fillId="12" borderId="17" xfId="0" applyNumberFormat="1" applyFont="1" applyFill="1" applyBorder="1" applyAlignment="1">
      <alignment vertical="center"/>
    </xf>
    <xf numFmtId="0" fontId="1" fillId="0" borderId="10" xfId="0" applyNumberFormat="1" applyFont="1" applyFill="1" applyBorder="1" applyAlignment="1">
      <alignment vertical="center"/>
    </xf>
    <xf numFmtId="192" fontId="1" fillId="0" borderId="10" xfId="0" applyNumberFormat="1" applyFont="1" applyFill="1" applyBorder="1" applyAlignment="1">
      <alignment vertical="center"/>
    </xf>
    <xf numFmtId="192" fontId="4" fillId="0" borderId="12" xfId="0" applyNumberFormat="1" applyFont="1" applyFill="1" applyBorder="1" applyAlignment="1">
      <alignment horizontal="center" vertical="center" wrapText="1"/>
    </xf>
    <xf numFmtId="0" fontId="1" fillId="0" borderId="0" xfId="0" applyFont="1" applyAlignment="1">
      <alignment horizontal="center"/>
    </xf>
    <xf numFmtId="0" fontId="1" fillId="0" borderId="0" xfId="0" applyFont="1" applyFill="1" applyAlignment="1">
      <alignment horizontal="center"/>
    </xf>
    <xf numFmtId="0" fontId="2" fillId="12" borderId="17" xfId="0"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180" fontId="6" fillId="4" borderId="24" xfId="0" applyNumberFormat="1" applyFont="1" applyFill="1" applyBorder="1" applyAlignment="1">
      <alignment horizontal="center" vertical="center" wrapText="1"/>
    </xf>
    <xf numFmtId="0" fontId="2" fillId="10" borderId="17" xfId="0" applyFont="1" applyFill="1" applyBorder="1" applyAlignment="1">
      <alignment horizontal="center" vertical="center"/>
    </xf>
    <xf numFmtId="0" fontId="1" fillId="12" borderId="16" xfId="0" applyNumberFormat="1" applyFont="1" applyFill="1" applyBorder="1" applyAlignment="1">
      <alignment horizontal="center" vertical="center"/>
    </xf>
    <xf numFmtId="0" fontId="1" fillId="0" borderId="17" xfId="0" applyFont="1" applyFill="1" applyBorder="1" applyAlignment="1">
      <alignment horizontal="center"/>
    </xf>
    <xf numFmtId="0" fontId="1" fillId="0" borderId="46" xfId="0" applyFont="1" applyFill="1" applyBorder="1" applyAlignment="1">
      <alignment horizontal="center"/>
    </xf>
    <xf numFmtId="0" fontId="6" fillId="0" borderId="1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4"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4" borderId="12" xfId="0" applyFont="1" applyFill="1" applyBorder="1" applyAlignment="1">
      <alignment horizontal="justify" vertical="center" wrapText="1"/>
    </xf>
    <xf numFmtId="9" fontId="1" fillId="0" borderId="37" xfId="66" applyFont="1" applyFill="1" applyBorder="1" applyAlignment="1">
      <alignment horizontal="center" vertical="center"/>
    </xf>
    <xf numFmtId="0" fontId="1" fillId="0" borderId="37"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0" xfId="0" applyFont="1" applyFill="1" applyBorder="1" applyAlignment="1">
      <alignment vertical="center" wrapText="1"/>
    </xf>
    <xf numFmtId="170" fontId="1" fillId="0" borderId="0" xfId="0" applyNumberFormat="1" applyFont="1" applyFill="1" applyAlignment="1">
      <alignment horizontal="justify" vertical="center"/>
    </xf>
    <xf numFmtId="189" fontId="7" fillId="9" borderId="10" xfId="48" applyNumberFormat="1" applyFont="1" applyFill="1" applyBorder="1" applyAlignment="1">
      <alignment horizontal="center" vertical="center" wrapText="1"/>
    </xf>
    <xf numFmtId="189" fontId="7" fillId="10" borderId="14" xfId="48" applyNumberFormat="1" applyFont="1" applyFill="1" applyBorder="1" applyAlignment="1">
      <alignment vertical="center"/>
    </xf>
    <xf numFmtId="189" fontId="7" fillId="9" borderId="0" xfId="48" applyNumberFormat="1" applyFont="1" applyFill="1" applyBorder="1" applyAlignment="1">
      <alignment vertical="center"/>
    </xf>
    <xf numFmtId="189" fontId="7" fillId="12" borderId="34" xfId="48" applyNumberFormat="1" applyFont="1" applyFill="1" applyBorder="1" applyAlignment="1">
      <alignment vertical="center"/>
    </xf>
    <xf numFmtId="189" fontId="6" fillId="0" borderId="12" xfId="48" applyNumberFormat="1" applyFont="1" applyFill="1" applyBorder="1" applyAlignment="1">
      <alignment horizontal="center" vertical="center"/>
    </xf>
    <xf numFmtId="189" fontId="2" fillId="12" borderId="17" xfId="48" applyNumberFormat="1" applyFont="1" applyFill="1" applyBorder="1" applyAlignment="1">
      <alignment vertical="center"/>
    </xf>
    <xf numFmtId="189" fontId="6" fillId="0" borderId="10" xfId="48" applyNumberFormat="1" applyFont="1" applyFill="1" applyBorder="1" applyAlignment="1">
      <alignment horizontal="center" vertical="center"/>
    </xf>
    <xf numFmtId="189" fontId="2" fillId="9" borderId="10" xfId="48" applyNumberFormat="1" applyFont="1" applyFill="1" applyBorder="1" applyAlignment="1">
      <alignment vertical="center"/>
    </xf>
    <xf numFmtId="189" fontId="2" fillId="12" borderId="34" xfId="48" applyNumberFormat="1" applyFont="1" applyFill="1" applyBorder="1" applyAlignment="1">
      <alignment vertical="center"/>
    </xf>
    <xf numFmtId="189" fontId="2" fillId="9" borderId="17" xfId="48" applyNumberFormat="1" applyFont="1" applyFill="1" applyBorder="1" applyAlignment="1">
      <alignment vertical="center"/>
    </xf>
    <xf numFmtId="189" fontId="2" fillId="12" borderId="17" xfId="48" applyNumberFormat="1" applyFont="1" applyFill="1" applyBorder="1" applyAlignment="1">
      <alignment vertical="center" wrapText="1"/>
    </xf>
    <xf numFmtId="189" fontId="6" fillId="0" borderId="24" xfId="48" applyNumberFormat="1" applyFont="1" applyFill="1" applyBorder="1" applyAlignment="1">
      <alignment horizontal="center" vertical="center"/>
    </xf>
    <xf numFmtId="189" fontId="2" fillId="10" borderId="17" xfId="48" applyNumberFormat="1" applyFont="1" applyFill="1" applyBorder="1" applyAlignment="1">
      <alignment vertical="center"/>
    </xf>
    <xf numFmtId="189" fontId="2" fillId="9" borderId="34" xfId="48" applyNumberFormat="1" applyFont="1" applyFill="1" applyBorder="1" applyAlignment="1">
      <alignment vertical="center"/>
    </xf>
    <xf numFmtId="189" fontId="6" fillId="0" borderId="37" xfId="48" applyNumberFormat="1" applyFont="1" applyFill="1" applyBorder="1" applyAlignment="1">
      <alignment horizontal="center" vertical="center"/>
    </xf>
    <xf numFmtId="189" fontId="6" fillId="4" borderId="0" xfId="48" applyNumberFormat="1" applyFont="1" applyFill="1" applyBorder="1" applyAlignment="1">
      <alignment/>
    </xf>
    <xf numFmtId="189" fontId="6" fillId="4" borderId="0" xfId="48" applyNumberFormat="1" applyFont="1" applyFill="1" applyAlignment="1">
      <alignment/>
    </xf>
    <xf numFmtId="2" fontId="6" fillId="4" borderId="1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xf>
    <xf numFmtId="0" fontId="2" fillId="9" borderId="10" xfId="0" applyFont="1" applyFill="1" applyBorder="1" applyAlignment="1">
      <alignment horizontal="center" vertical="center" wrapText="1"/>
    </xf>
    <xf numFmtId="0" fontId="2" fillId="9" borderId="24"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2" fillId="9" borderId="25" xfId="0" applyFont="1" applyFill="1" applyBorder="1" applyAlignment="1">
      <alignment horizontal="center" vertical="center" wrapText="1"/>
    </xf>
    <xf numFmtId="170" fontId="6" fillId="0" borderId="37" xfId="0" applyNumberFormat="1" applyFont="1" applyFill="1" applyBorder="1" applyAlignment="1">
      <alignment horizontal="center" vertical="center" wrapText="1"/>
    </xf>
    <xf numFmtId="0" fontId="1" fillId="0" borderId="37" xfId="0" applyFont="1" applyFill="1" applyBorder="1" applyAlignment="1">
      <alignment horizontal="justify" vertical="center" wrapText="1"/>
    </xf>
    <xf numFmtId="170" fontId="1" fillId="0" borderId="37" xfId="0" applyNumberFormat="1" applyFont="1" applyFill="1" applyBorder="1" applyAlignment="1">
      <alignment horizontal="center" vertical="center" wrapText="1"/>
    </xf>
    <xf numFmtId="14" fontId="6" fillId="4" borderId="37" xfId="0" applyNumberFormat="1" applyFont="1" applyFill="1" applyBorder="1" applyAlignment="1">
      <alignment horizontal="center" vertical="center"/>
    </xf>
    <xf numFmtId="0" fontId="7" fillId="0" borderId="0" xfId="0" applyFont="1" applyBorder="1" applyAlignment="1">
      <alignment horizontal="center" vertical="center"/>
    </xf>
    <xf numFmtId="169" fontId="2" fillId="9" borderId="10" xfId="0" applyNumberFormat="1" applyFont="1" applyFill="1" applyBorder="1" applyAlignment="1">
      <alignment horizontal="center" vertical="center" wrapText="1"/>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0" fontId="1" fillId="4" borderId="37" xfId="0" applyFont="1" applyFill="1" applyBorder="1" applyAlignment="1">
      <alignment horizontal="justify" vertical="center" wrapText="1"/>
    </xf>
    <xf numFmtId="9" fontId="1" fillId="4" borderId="37" xfId="66" applyFont="1" applyFill="1" applyBorder="1" applyAlignment="1">
      <alignment horizontal="center" vertical="center" wrapText="1"/>
    </xf>
    <xf numFmtId="9" fontId="1" fillId="4" borderId="10" xfId="66" applyFont="1" applyFill="1" applyBorder="1" applyAlignment="1">
      <alignment horizontal="center" vertical="center" wrapText="1"/>
    </xf>
    <xf numFmtId="170" fontId="2" fillId="9" borderId="10" xfId="0" applyNumberFormat="1" applyFont="1" applyFill="1" applyBorder="1" applyAlignment="1">
      <alignment horizontal="center" vertical="center" wrapText="1"/>
    </xf>
    <xf numFmtId="0" fontId="2" fillId="9" borderId="10" xfId="0" applyFont="1" applyFill="1" applyBorder="1" applyAlignment="1">
      <alignment horizontal="center" vertical="center"/>
    </xf>
    <xf numFmtId="167" fontId="2" fillId="9" borderId="10" xfId="60" applyFont="1" applyFill="1" applyBorder="1" applyAlignment="1">
      <alignment horizontal="center" vertical="center"/>
      <protection/>
    </xf>
    <xf numFmtId="184" fontId="1" fillId="0" borderId="19" xfId="0" applyNumberFormat="1" applyFont="1" applyFill="1" applyBorder="1" applyAlignment="1">
      <alignment horizontal="center" vertical="center" wrapText="1"/>
    </xf>
    <xf numFmtId="184" fontId="6" fillId="0" borderId="37" xfId="0" applyNumberFormat="1" applyFont="1" applyFill="1" applyBorder="1" applyAlignment="1">
      <alignment horizontal="center" vertical="center" wrapText="1"/>
    </xf>
    <xf numFmtId="14" fontId="1" fillId="4" borderId="37"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wrapText="1"/>
    </xf>
    <xf numFmtId="9" fontId="1" fillId="0" borderId="37" xfId="0" applyNumberFormat="1" applyFont="1" applyFill="1" applyBorder="1" applyAlignment="1">
      <alignment horizontal="center" vertical="center" wrapText="1"/>
    </xf>
    <xf numFmtId="169" fontId="6" fillId="4" borderId="26" xfId="0" applyNumberFormat="1" applyFont="1" applyFill="1" applyBorder="1" applyAlignment="1">
      <alignment horizontal="center" vertical="center" wrapText="1"/>
    </xf>
    <xf numFmtId="3" fontId="1" fillId="4" borderId="10" xfId="0" applyNumberFormat="1" applyFont="1" applyFill="1" applyBorder="1" applyAlignment="1">
      <alignment horizontal="center" vertical="center" wrapText="1"/>
    </xf>
    <xf numFmtId="0" fontId="1" fillId="0" borderId="0" xfId="0" applyFont="1" applyFill="1" applyAlignment="1">
      <alignment horizontal="center"/>
    </xf>
    <xf numFmtId="42" fontId="1" fillId="0" borderId="37" xfId="56" applyFont="1" applyFill="1" applyBorder="1" applyAlignment="1">
      <alignment horizontal="justify" vertical="center" wrapText="1"/>
    </xf>
    <xf numFmtId="169" fontId="6" fillId="4" borderId="10" xfId="0" applyNumberFormat="1" applyFont="1" applyFill="1" applyBorder="1" applyAlignment="1">
      <alignment horizontal="center" vertical="center" wrapText="1"/>
    </xf>
    <xf numFmtId="169" fontId="6" fillId="4" borderId="15" xfId="0" applyNumberFormat="1" applyFont="1" applyFill="1" applyBorder="1" applyAlignment="1">
      <alignment horizontal="center" vertical="center" wrapText="1"/>
    </xf>
    <xf numFmtId="2" fontId="1" fillId="4" borderId="12" xfId="0" applyNumberFormat="1" applyFont="1" applyFill="1" applyBorder="1" applyAlignment="1">
      <alignment horizontal="justify" vertical="center" wrapText="1"/>
    </xf>
    <xf numFmtId="0" fontId="1" fillId="4" borderId="35" xfId="0" applyFont="1" applyFill="1" applyBorder="1" applyAlignment="1">
      <alignment horizontal="center" vertical="center" wrapText="1"/>
    </xf>
    <xf numFmtId="0" fontId="1" fillId="0" borderId="10" xfId="0" applyFont="1" applyFill="1" applyBorder="1" applyAlignment="1">
      <alignment vertical="center" wrapText="1"/>
    </xf>
    <xf numFmtId="1" fontId="6" fillId="0" borderId="12" xfId="0" applyNumberFormat="1" applyFont="1" applyFill="1" applyBorder="1" applyAlignment="1">
      <alignment horizontal="center" vertical="center" wrapText="1"/>
    </xf>
    <xf numFmtId="1" fontId="6" fillId="0" borderId="24" xfId="0" applyNumberFormat="1" applyFont="1" applyFill="1" applyBorder="1" applyAlignment="1">
      <alignment horizontal="center" vertical="center"/>
    </xf>
    <xf numFmtId="189" fontId="6" fillId="0" borderId="10" xfId="48" applyNumberFormat="1" applyFont="1" applyFill="1" applyBorder="1" applyAlignment="1">
      <alignment horizontal="center" vertical="center"/>
    </xf>
    <xf numFmtId="1" fontId="6" fillId="0" borderId="10"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1" fontId="1" fillId="0" borderId="24"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wrapText="1"/>
    </xf>
    <xf numFmtId="43" fontId="16" fillId="0" borderId="0" xfId="0" applyNumberFormat="1" applyFont="1" applyFill="1" applyBorder="1" applyAlignment="1">
      <alignment horizontal="left" vertical="center"/>
    </xf>
    <xf numFmtId="0" fontId="2" fillId="0" borderId="10" xfId="0" applyFont="1" applyBorder="1" applyAlignment="1">
      <alignment/>
    </xf>
    <xf numFmtId="0" fontId="2" fillId="0" borderId="10" xfId="0" applyFont="1" applyBorder="1" applyAlignment="1">
      <alignment horizontal="left"/>
    </xf>
    <xf numFmtId="174" fontId="2" fillId="0" borderId="10" xfId="0" applyNumberFormat="1" applyFont="1" applyBorder="1" applyAlignment="1">
      <alignment horizontal="left"/>
    </xf>
    <xf numFmtId="17" fontId="2" fillId="0" borderId="10" xfId="0" applyNumberFormat="1" applyFont="1" applyBorder="1" applyAlignment="1">
      <alignment horizontal="left"/>
    </xf>
    <xf numFmtId="3" fontId="2" fillId="4" borderId="10" xfId="0" applyNumberFormat="1" applyFont="1" applyFill="1" applyBorder="1" applyAlignment="1">
      <alignment horizontal="left" vertical="center" wrapText="1"/>
    </xf>
    <xf numFmtId="0" fontId="27" fillId="0" borderId="0" xfId="0" applyFont="1" applyFill="1" applyAlignment="1">
      <alignment horizontal="center"/>
    </xf>
    <xf numFmtId="0" fontId="27" fillId="0" borderId="0" xfId="0" applyFont="1" applyFill="1" applyAlignment="1">
      <alignment/>
    </xf>
    <xf numFmtId="165" fontId="0" fillId="0" borderId="0" xfId="48" applyFont="1" applyFill="1" applyAlignment="1">
      <alignment/>
    </xf>
    <xf numFmtId="0" fontId="4" fillId="0" borderId="0" xfId="0" applyFont="1" applyFill="1" applyAlignment="1">
      <alignment horizontal="justify" vertical="center"/>
    </xf>
    <xf numFmtId="166" fontId="0" fillId="0" borderId="0" xfId="47" applyFont="1" applyFill="1" applyAlignment="1">
      <alignment/>
    </xf>
    <xf numFmtId="170" fontId="4" fillId="0" borderId="0" xfId="0" applyNumberFormat="1" applyFont="1" applyFill="1" applyAlignment="1">
      <alignment horizontal="center" vertical="center"/>
    </xf>
    <xf numFmtId="170" fontId="6" fillId="0" borderId="0" xfId="0" applyNumberFormat="1" applyFont="1" applyFill="1" applyAlignment="1">
      <alignment horizontal="center" vertical="center"/>
    </xf>
    <xf numFmtId="182" fontId="14" fillId="0" borderId="0" xfId="0" applyNumberFormat="1" applyFont="1" applyFill="1" applyAlignment="1">
      <alignment horizontal="right" vertical="center"/>
    </xf>
    <xf numFmtId="182" fontId="12" fillId="0" borderId="0" xfId="64" applyNumberFormat="1" applyFont="1" applyFill="1" applyAlignment="1">
      <alignment horizontal="right" vertical="center"/>
      <protection/>
    </xf>
    <xf numFmtId="170" fontId="6" fillId="0" borderId="0" xfId="0" applyNumberFormat="1" applyFont="1" applyFill="1" applyAlignment="1">
      <alignment horizontal="justify" vertical="center"/>
    </xf>
    <xf numFmtId="0" fontId="1" fillId="0" borderId="0" xfId="62" applyNumberFormat="1" applyFont="1" applyFill="1" applyBorder="1">
      <alignment/>
      <protection/>
    </xf>
    <xf numFmtId="167" fontId="1" fillId="0" borderId="0" xfId="62" applyFont="1" applyFill="1" applyBorder="1" applyAlignment="1">
      <alignment/>
      <protection/>
    </xf>
    <xf numFmtId="167" fontId="1" fillId="0" borderId="0" xfId="62" applyFont="1" applyFill="1" applyBorder="1" applyAlignment="1">
      <alignment horizontal="center" vertical="center"/>
      <protection/>
    </xf>
    <xf numFmtId="170" fontId="1" fillId="0" borderId="0" xfId="62" applyNumberFormat="1" applyFont="1" applyFill="1" applyBorder="1" applyAlignment="1">
      <alignment horizontal="center"/>
      <protection/>
    </xf>
    <xf numFmtId="167" fontId="1" fillId="0" borderId="0" xfId="62" applyFont="1" applyFill="1" applyBorder="1">
      <alignment/>
      <protection/>
    </xf>
    <xf numFmtId="167" fontId="1" fillId="0" borderId="0" xfId="62" applyFont="1" applyFill="1" applyBorder="1" applyAlignment="1">
      <alignment horizontal="justify" vertical="center"/>
      <protection/>
    </xf>
    <xf numFmtId="170" fontId="1" fillId="0" borderId="0" xfId="62" applyNumberFormat="1" applyFont="1" applyFill="1" applyBorder="1" applyAlignment="1">
      <alignment vertical="center"/>
      <protection/>
    </xf>
    <xf numFmtId="170" fontId="6" fillId="0" borderId="0" xfId="62" applyNumberFormat="1" applyFont="1" applyFill="1" applyBorder="1" applyAlignment="1">
      <alignment vertical="center"/>
      <protection/>
    </xf>
    <xf numFmtId="170" fontId="1" fillId="0" borderId="0" xfId="62" applyNumberFormat="1" applyFont="1" applyFill="1" applyBorder="1" applyAlignment="1">
      <alignment horizontal="justify" vertical="center"/>
      <protection/>
    </xf>
    <xf numFmtId="167" fontId="6" fillId="0" borderId="0" xfId="62" applyFont="1" applyFill="1" applyBorder="1">
      <alignment/>
      <protection/>
    </xf>
    <xf numFmtId="170" fontId="1" fillId="0" borderId="0" xfId="62" applyNumberFormat="1" applyFont="1" applyFill="1" applyAlignment="1">
      <alignment horizontal="center"/>
      <protection/>
    </xf>
    <xf numFmtId="167" fontId="1" fillId="0" borderId="0" xfId="62" applyFont="1" applyFill="1" applyAlignment="1">
      <alignment horizontal="justify" vertical="center"/>
      <protection/>
    </xf>
    <xf numFmtId="182" fontId="24" fillId="0" borderId="0" xfId="0" applyNumberFormat="1" applyFont="1" applyFill="1" applyAlignment="1">
      <alignment vertical="center"/>
    </xf>
    <xf numFmtId="182" fontId="25" fillId="0" borderId="0" xfId="0" applyNumberFormat="1" applyFont="1" applyFill="1" applyAlignment="1">
      <alignment vertical="center"/>
    </xf>
    <xf numFmtId="170" fontId="1" fillId="0" borderId="0" xfId="62" applyNumberFormat="1" applyFont="1" applyFill="1" applyAlignment="1">
      <alignment horizontal="justify" vertical="center"/>
      <protection/>
    </xf>
    <xf numFmtId="167" fontId="6" fillId="0" borderId="0" xfId="62" applyFont="1" applyFill="1">
      <alignment/>
      <protection/>
    </xf>
    <xf numFmtId="170" fontId="1" fillId="0" borderId="0" xfId="62" applyNumberFormat="1" applyFont="1" applyFill="1" applyAlignment="1">
      <alignment vertical="center"/>
      <protection/>
    </xf>
    <xf numFmtId="170" fontId="6" fillId="0" borderId="0" xfId="62" applyNumberFormat="1" applyFont="1" applyFill="1" applyAlignment="1">
      <alignment vertical="center"/>
      <protection/>
    </xf>
    <xf numFmtId="184" fontId="1" fillId="0" borderId="37" xfId="0" applyNumberFormat="1" applyFont="1" applyFill="1" applyBorder="1" applyAlignment="1">
      <alignment horizontal="center" vertical="center" wrapText="1"/>
    </xf>
    <xf numFmtId="170" fontId="2" fillId="4" borderId="61" xfId="0" applyNumberFormat="1" applyFont="1" applyFill="1" applyBorder="1" applyAlignment="1">
      <alignment vertical="center"/>
    </xf>
    <xf numFmtId="0" fontId="2" fillId="4" borderId="61" xfId="0" applyFont="1" applyFill="1" applyBorder="1" applyAlignment="1">
      <alignment vertical="center"/>
    </xf>
    <xf numFmtId="0" fontId="2" fillId="4" borderId="61" xfId="0" applyFont="1" applyFill="1" applyBorder="1" applyAlignment="1">
      <alignment horizontal="justify" vertical="center"/>
    </xf>
    <xf numFmtId="170" fontId="2" fillId="4" borderId="61" xfId="0" applyNumberFormat="1" applyFont="1" applyFill="1" applyBorder="1" applyAlignment="1">
      <alignment horizontal="center" vertical="center"/>
    </xf>
    <xf numFmtId="170" fontId="7" fillId="4" borderId="61" xfId="0" applyNumberFormat="1" applyFont="1" applyFill="1" applyBorder="1" applyAlignment="1">
      <alignment horizontal="center" vertical="center"/>
    </xf>
    <xf numFmtId="3" fontId="2" fillId="4" borderId="61" xfId="0" applyNumberFormat="1" applyFont="1" applyFill="1" applyBorder="1" applyAlignment="1">
      <alignment horizontal="center" vertical="center"/>
    </xf>
    <xf numFmtId="0" fontId="2" fillId="0" borderId="61" xfId="0" applyFont="1" applyBorder="1" applyAlignment="1">
      <alignment vertical="center"/>
    </xf>
    <xf numFmtId="0" fontId="7" fillId="0" borderId="61" xfId="0" applyFont="1" applyBorder="1" applyAlignment="1">
      <alignment vertical="center"/>
    </xf>
    <xf numFmtId="0" fontId="2" fillId="0" borderId="61" xfId="0" applyFont="1" applyFill="1" applyBorder="1" applyAlignment="1">
      <alignment horizontal="right" vertical="center"/>
    </xf>
    <xf numFmtId="0" fontId="7" fillId="0" borderId="61" xfId="0" applyFont="1" applyFill="1" applyBorder="1" applyAlignment="1">
      <alignment horizontal="right" vertical="center"/>
    </xf>
    <xf numFmtId="169" fontId="2" fillId="0" borderId="61" xfId="0" applyNumberFormat="1" applyFont="1" applyBorder="1" applyAlignment="1">
      <alignment horizontal="center" vertical="center"/>
    </xf>
    <xf numFmtId="169" fontId="7" fillId="0" borderId="61" xfId="0" applyNumberFormat="1" applyFont="1" applyBorder="1" applyAlignment="1">
      <alignment horizontal="center" vertical="center"/>
    </xf>
    <xf numFmtId="0" fontId="2" fillId="0" borderId="62" xfId="0" applyFont="1" applyBorder="1" applyAlignment="1">
      <alignment horizontal="left" vertical="center"/>
    </xf>
    <xf numFmtId="167" fontId="6" fillId="0" borderId="0" xfId="60" applyFont="1" applyFill="1" applyProtection="1">
      <alignment/>
      <protection locked="0"/>
    </xf>
    <xf numFmtId="0" fontId="1" fillId="0" borderId="0" xfId="60" applyNumberFormat="1" applyFont="1" applyFill="1" applyProtection="1">
      <alignment/>
      <protection locked="0"/>
    </xf>
    <xf numFmtId="167" fontId="1" fillId="0" borderId="0" xfId="60" applyFont="1" applyFill="1" applyAlignment="1" applyProtection="1">
      <alignment/>
      <protection locked="0"/>
    </xf>
    <xf numFmtId="170" fontId="1" fillId="0" borderId="0" xfId="60" applyNumberFormat="1" applyFont="1" applyFill="1" applyBorder="1" applyAlignment="1" applyProtection="1">
      <alignment vertical="center"/>
      <protection locked="0"/>
    </xf>
    <xf numFmtId="167" fontId="1" fillId="0" borderId="0" xfId="60" applyFont="1" applyFill="1" applyAlignment="1" applyProtection="1">
      <alignment horizontal="justify" vertical="center"/>
      <protection locked="0"/>
    </xf>
    <xf numFmtId="170" fontId="1" fillId="0" borderId="0" xfId="60" applyNumberFormat="1" applyFont="1" applyFill="1" applyAlignment="1" applyProtection="1">
      <alignment horizontal="justify" vertical="center"/>
      <protection locked="0"/>
    </xf>
    <xf numFmtId="170" fontId="6" fillId="0" borderId="0" xfId="60" applyNumberFormat="1" applyFont="1" applyFill="1" applyAlignment="1" applyProtection="1">
      <alignment horizontal="justify" vertical="center"/>
      <protection locked="0"/>
    </xf>
    <xf numFmtId="0" fontId="1" fillId="0" borderId="0" xfId="60" applyNumberFormat="1" applyFont="1" applyFill="1" applyAlignment="1" applyProtection="1">
      <alignment horizontal="center" vertical="center"/>
      <protection locked="0"/>
    </xf>
    <xf numFmtId="169" fontId="1" fillId="0" borderId="0" xfId="60" applyNumberFormat="1" applyFont="1" applyFill="1" applyAlignment="1" applyProtection="1">
      <alignment horizontal="center"/>
      <protection locked="0"/>
    </xf>
    <xf numFmtId="169" fontId="6" fillId="0" borderId="0" xfId="60" applyNumberFormat="1" applyFont="1" applyFill="1" applyAlignment="1" applyProtection="1">
      <alignment horizontal="center"/>
      <protection locked="0"/>
    </xf>
    <xf numFmtId="167" fontId="1" fillId="0" borderId="0" xfId="60" applyFont="1" applyFill="1" applyAlignment="1" applyProtection="1">
      <alignment horizontal="left"/>
      <protection locked="0"/>
    </xf>
    <xf numFmtId="167" fontId="6" fillId="0" borderId="0" xfId="60" applyFont="1" applyFill="1" applyAlignment="1" applyProtection="1">
      <alignment horizontal="left"/>
      <protection locked="0"/>
    </xf>
    <xf numFmtId="182" fontId="24" fillId="0" borderId="0" xfId="0" applyNumberFormat="1" applyFont="1" applyFill="1" applyAlignment="1">
      <alignment horizontal="right" vertical="center"/>
    </xf>
    <xf numFmtId="167" fontId="2" fillId="0" borderId="0" xfId="60" applyFont="1" applyFill="1" applyAlignment="1" applyProtection="1">
      <alignment/>
      <protection locked="0"/>
    </xf>
    <xf numFmtId="170" fontId="1" fillId="0" borderId="0" xfId="60" applyNumberFormat="1" applyFont="1" applyFill="1" applyProtection="1">
      <alignment/>
      <protection locked="0"/>
    </xf>
    <xf numFmtId="182" fontId="34" fillId="0" borderId="0" xfId="0" applyNumberFormat="1" applyFont="1" applyFill="1" applyAlignment="1">
      <alignment horizontal="right" vertical="center"/>
    </xf>
    <xf numFmtId="0" fontId="2" fillId="10" borderId="29" xfId="0" applyFont="1" applyFill="1" applyBorder="1" applyAlignment="1">
      <alignment horizontal="left" vertical="center"/>
    </xf>
    <xf numFmtId="0" fontId="2" fillId="10" borderId="37" xfId="0" applyFont="1" applyFill="1" applyBorder="1" applyAlignment="1">
      <alignment horizontal="center" vertical="center" wrapText="1"/>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0" fontId="4" fillId="10" borderId="17" xfId="0" applyFont="1" applyFill="1" applyBorder="1" applyAlignment="1">
      <alignment horizontal="left" vertical="center"/>
    </xf>
    <xf numFmtId="0" fontId="2" fillId="10" borderId="29" xfId="0" applyFont="1" applyFill="1" applyBorder="1" applyAlignment="1">
      <alignment horizontal="left" vertical="center"/>
    </xf>
    <xf numFmtId="0" fontId="2" fillId="13" borderId="10" xfId="0" applyFont="1" applyFill="1" applyBorder="1" applyAlignment="1">
      <alignment horizontal="center" vertical="center" wrapText="1"/>
    </xf>
    <xf numFmtId="0" fontId="2" fillId="13" borderId="15" xfId="0" applyFont="1" applyFill="1" applyBorder="1" applyAlignment="1">
      <alignment horizontal="left" vertical="center"/>
    </xf>
    <xf numFmtId="0" fontId="2" fillId="13" borderId="17" xfId="0" applyFont="1" applyFill="1" applyBorder="1" applyAlignment="1">
      <alignment horizontal="left" vertical="center"/>
    </xf>
    <xf numFmtId="0" fontId="7" fillId="13" borderId="17" xfId="0" applyFont="1" applyFill="1" applyBorder="1" applyAlignment="1">
      <alignment horizontal="left" vertical="center"/>
    </xf>
    <xf numFmtId="170" fontId="4" fillId="13" borderId="17" xfId="0" applyNumberFormat="1" applyFont="1" applyFill="1" applyBorder="1" applyAlignment="1">
      <alignment horizontal="left" vertical="center"/>
    </xf>
    <xf numFmtId="0" fontId="4" fillId="13" borderId="17" xfId="0" applyFont="1" applyFill="1" applyBorder="1" applyAlignment="1">
      <alignment horizontal="left" vertical="center"/>
    </xf>
    <xf numFmtId="0" fontId="2" fillId="13" borderId="29" xfId="0" applyFont="1" applyFill="1" applyBorder="1" applyAlignment="1">
      <alignment horizontal="left" vertical="center"/>
    </xf>
    <xf numFmtId="0" fontId="2" fillId="10" borderId="24" xfId="0" applyFont="1" applyFill="1" applyBorder="1" applyAlignment="1">
      <alignment horizontal="center" vertical="center" wrapText="1"/>
    </xf>
    <xf numFmtId="0" fontId="5" fillId="10" borderId="26" xfId="0" applyFont="1" applyFill="1" applyBorder="1" applyAlignment="1">
      <alignment horizontal="left" vertical="center"/>
    </xf>
    <xf numFmtId="0" fontId="5" fillId="10" borderId="34" xfId="0" applyFont="1" applyFill="1" applyBorder="1" applyAlignment="1">
      <alignment horizontal="left" vertical="center"/>
    </xf>
    <xf numFmtId="170" fontId="5" fillId="10" borderId="34" xfId="0" applyNumberFormat="1" applyFont="1" applyFill="1" applyBorder="1" applyAlignment="1">
      <alignment horizontal="left" vertical="center"/>
    </xf>
    <xf numFmtId="0" fontId="4" fillId="10" borderId="34" xfId="0" applyFont="1" applyFill="1" applyBorder="1" applyAlignment="1">
      <alignment horizontal="left" vertical="center"/>
    </xf>
    <xf numFmtId="0" fontId="5" fillId="10" borderId="41" xfId="0" applyFont="1" applyFill="1" applyBorder="1" applyAlignment="1">
      <alignment horizontal="left" vertical="center"/>
    </xf>
    <xf numFmtId="0" fontId="5" fillId="10" borderId="15" xfId="0" applyFont="1" applyFill="1" applyBorder="1" applyAlignment="1">
      <alignment horizontal="left" vertical="center"/>
    </xf>
    <xf numFmtId="0" fontId="5" fillId="10" borderId="17" xfId="0" applyFont="1" applyFill="1" applyBorder="1" applyAlignment="1">
      <alignment horizontal="left" vertical="center"/>
    </xf>
    <xf numFmtId="194" fontId="5" fillId="10" borderId="17" xfId="0" applyNumberFormat="1" applyFont="1" applyFill="1" applyBorder="1" applyAlignment="1">
      <alignment horizontal="left" vertical="center"/>
    </xf>
    <xf numFmtId="0" fontId="5" fillId="10" borderId="29" xfId="0" applyFont="1" applyFill="1" applyBorder="1" applyAlignment="1">
      <alignment horizontal="left" vertical="center"/>
    </xf>
    <xf numFmtId="0" fontId="5" fillId="10" borderId="10" xfId="0" applyFont="1" applyFill="1" applyBorder="1" applyAlignment="1">
      <alignment vertical="center"/>
    </xf>
    <xf numFmtId="0" fontId="7" fillId="10" borderId="15" xfId="0" applyFont="1" applyFill="1" applyBorder="1" applyAlignment="1">
      <alignment vertical="center"/>
    </xf>
    <xf numFmtId="183" fontId="4" fillId="10" borderId="17" xfId="0" applyNumberFormat="1" applyFont="1" applyFill="1" applyBorder="1" applyAlignment="1">
      <alignment vertical="center"/>
    </xf>
    <xf numFmtId="0" fontId="4" fillId="10" borderId="17" xfId="0" applyFont="1" applyFill="1" applyBorder="1" applyAlignment="1">
      <alignment vertical="center"/>
    </xf>
    <xf numFmtId="0" fontId="5" fillId="10" borderId="29" xfId="0" applyFont="1" applyFill="1" applyBorder="1" applyAlignment="1">
      <alignment vertical="center"/>
    </xf>
    <xf numFmtId="0" fontId="2" fillId="10" borderId="16" xfId="0" applyFont="1" applyFill="1" applyBorder="1" applyAlignment="1">
      <alignment horizontal="left" vertical="center"/>
    </xf>
    <xf numFmtId="0" fontId="2" fillId="10" borderId="15" xfId="0" applyFont="1" applyFill="1" applyBorder="1" applyAlignment="1">
      <alignment vertical="center"/>
    </xf>
    <xf numFmtId="0" fontId="2" fillId="10" borderId="17" xfId="0" applyFont="1" applyFill="1" applyBorder="1" applyAlignment="1">
      <alignment vertical="center"/>
    </xf>
    <xf numFmtId="0" fontId="2" fillId="10" borderId="29" xfId="0" applyFont="1" applyFill="1" applyBorder="1" applyAlignment="1">
      <alignment vertical="center"/>
    </xf>
    <xf numFmtId="175" fontId="5" fillId="0" borderId="0" xfId="54" applyNumberFormat="1" applyFont="1" applyFill="1" applyBorder="1" applyAlignment="1">
      <alignment horizontal="center" vertical="center"/>
    </xf>
    <xf numFmtId="175" fontId="7" fillId="0" borderId="0" xfId="54" applyNumberFormat="1" applyFont="1" applyFill="1" applyBorder="1" applyAlignment="1">
      <alignment horizontal="right" vertical="center"/>
    </xf>
    <xf numFmtId="175" fontId="7" fillId="0" borderId="0" xfId="54" applyNumberFormat="1" applyFont="1" applyFill="1" applyBorder="1" applyAlignment="1">
      <alignment horizontal="justify" vertical="center"/>
    </xf>
    <xf numFmtId="44" fontId="1" fillId="0" borderId="0" xfId="0" applyNumberFormat="1" applyFont="1" applyFill="1" applyBorder="1" applyAlignment="1">
      <alignment horizontal="justify" vertical="center"/>
    </xf>
    <xf numFmtId="44" fontId="6" fillId="0" borderId="0" xfId="0" applyNumberFormat="1" applyFont="1" applyFill="1" applyBorder="1" applyAlignment="1">
      <alignment horizontal="justify" vertical="center"/>
    </xf>
    <xf numFmtId="175" fontId="1" fillId="0" borderId="0" xfId="0" applyNumberFormat="1" applyFont="1" applyFill="1" applyBorder="1" applyAlignment="1">
      <alignment horizontal="justify" vertical="center"/>
    </xf>
    <xf numFmtId="175" fontId="6" fillId="0" borderId="0" xfId="0" applyNumberFormat="1" applyFont="1" applyFill="1" applyBorder="1" applyAlignment="1">
      <alignment horizontal="justify" vertical="center"/>
    </xf>
    <xf numFmtId="0" fontId="1" fillId="0" borderId="14" xfId="0" applyFont="1" applyFill="1" applyBorder="1" applyAlignment="1">
      <alignment horizontal="center" vertical="center"/>
    </xf>
    <xf numFmtId="0" fontId="1" fillId="0" borderId="14" xfId="0" applyFont="1" applyFill="1" applyBorder="1" applyAlignment="1">
      <alignment/>
    </xf>
    <xf numFmtId="0" fontId="1" fillId="0" borderId="0" xfId="0" applyFont="1" applyFill="1" applyBorder="1" applyAlignment="1">
      <alignment horizontal="justify" vertical="center"/>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168" fontId="1" fillId="0" borderId="0" xfId="0" applyNumberFormat="1" applyFont="1" applyFill="1" applyBorder="1" applyAlignment="1">
      <alignment horizontal="justify" vertical="center"/>
    </xf>
    <xf numFmtId="168" fontId="6" fillId="0" borderId="0" xfId="0" applyNumberFormat="1" applyFont="1" applyFill="1" applyBorder="1" applyAlignment="1">
      <alignment horizontal="justify" vertical="center"/>
    </xf>
    <xf numFmtId="0" fontId="1" fillId="0" borderId="0" xfId="0" applyFont="1" applyFill="1" applyBorder="1" applyAlignment="1">
      <alignment/>
    </xf>
    <xf numFmtId="0" fontId="6" fillId="0" borderId="0" xfId="0" applyFont="1" applyFill="1" applyBorder="1" applyAlignment="1">
      <alignment/>
    </xf>
    <xf numFmtId="44" fontId="1" fillId="0" borderId="0" xfId="54" applyFont="1" applyFill="1" applyBorder="1" applyAlignment="1">
      <alignment/>
    </xf>
    <xf numFmtId="9" fontId="1" fillId="0" borderId="0" xfId="66" applyFont="1" applyFill="1" applyBorder="1" applyAlignment="1">
      <alignment/>
    </xf>
    <xf numFmtId="169" fontId="1" fillId="0" borderId="0" xfId="0" applyNumberFormat="1" applyFont="1" applyFill="1" applyBorder="1" applyAlignment="1">
      <alignment horizontal="center"/>
    </xf>
    <xf numFmtId="0" fontId="1" fillId="0" borderId="0" xfId="0" applyFont="1" applyFill="1" applyBorder="1" applyAlignment="1">
      <alignment horizontal="left"/>
    </xf>
    <xf numFmtId="0" fontId="6" fillId="0" borderId="0" xfId="0" applyFont="1" applyFill="1" applyBorder="1" applyAlignment="1">
      <alignment horizontal="justify" vertical="center"/>
    </xf>
    <xf numFmtId="0" fontId="6" fillId="0" borderId="0" xfId="0" applyFont="1" applyFill="1" applyBorder="1" applyAlignment="1">
      <alignment horizontal="center"/>
    </xf>
    <xf numFmtId="164" fontId="1" fillId="0" borderId="0" xfId="0" applyNumberFormat="1" applyFont="1" applyFill="1" applyBorder="1" applyAlignment="1">
      <alignment horizontal="justify" vertical="center"/>
    </xf>
    <xf numFmtId="1" fontId="6" fillId="0" borderId="0" xfId="0" applyNumberFormat="1" applyFont="1" applyFill="1" applyBorder="1" applyAlignment="1">
      <alignment/>
    </xf>
    <xf numFmtId="1" fontId="1" fillId="0" borderId="0" xfId="0" applyNumberFormat="1" applyFont="1" applyFill="1" applyBorder="1" applyAlignment="1">
      <alignment/>
    </xf>
    <xf numFmtId="0" fontId="2" fillId="0" borderId="0" xfId="0" applyFont="1" applyFill="1" applyBorder="1" applyAlignment="1">
      <alignment horizontal="justify" vertical="center"/>
    </xf>
    <xf numFmtId="170" fontId="5" fillId="0" borderId="0" xfId="0" applyNumberFormat="1" applyFont="1" applyFill="1" applyBorder="1" applyAlignment="1">
      <alignment horizontal="right" vertical="center"/>
    </xf>
    <xf numFmtId="44" fontId="5" fillId="0" borderId="0" xfId="54" applyFont="1" applyFill="1" applyBorder="1" applyAlignment="1">
      <alignment horizontal="right" vertical="center"/>
    </xf>
    <xf numFmtId="0" fontId="2" fillId="0" borderId="63" xfId="0" applyFont="1" applyFill="1" applyBorder="1" applyAlignment="1">
      <alignment horizontal="justify" vertical="center"/>
    </xf>
    <xf numFmtId="0" fontId="2" fillId="0" borderId="64" xfId="0" applyFont="1" applyFill="1" applyBorder="1" applyAlignment="1">
      <alignment horizontal="justify" vertical="center"/>
    </xf>
    <xf numFmtId="0" fontId="2" fillId="0" borderId="64" xfId="0" applyFont="1" applyFill="1" applyBorder="1" applyAlignment="1">
      <alignment horizontal="center" vertical="center"/>
    </xf>
    <xf numFmtId="42" fontId="2" fillId="0" borderId="64" xfId="0" applyNumberFormat="1" applyFont="1" applyFill="1" applyBorder="1" applyAlignment="1">
      <alignment horizontal="justify" vertical="center"/>
    </xf>
    <xf numFmtId="175" fontId="2" fillId="0" borderId="64" xfId="54" applyNumberFormat="1" applyFont="1" applyFill="1" applyBorder="1" applyAlignment="1">
      <alignment horizontal="justify" vertical="center"/>
    </xf>
    <xf numFmtId="42" fontId="5" fillId="0" borderId="64" xfId="0" applyNumberFormat="1" applyFont="1" applyFill="1" applyBorder="1" applyAlignment="1">
      <alignment horizontal="justify" vertical="center"/>
    </xf>
    <xf numFmtId="0" fontId="1" fillId="0" borderId="64" xfId="0" applyFont="1" applyFill="1" applyBorder="1" applyAlignment="1">
      <alignment horizontal="center" vertical="center"/>
    </xf>
    <xf numFmtId="0" fontId="1" fillId="0" borderId="64" xfId="0" applyFont="1" applyFill="1" applyBorder="1" applyAlignment="1">
      <alignment horizontal="justify" vertical="center"/>
    </xf>
    <xf numFmtId="0" fontId="1" fillId="0" borderId="64" xfId="0" applyFont="1" applyFill="1" applyBorder="1" applyAlignment="1">
      <alignment/>
    </xf>
    <xf numFmtId="0" fontId="6" fillId="0" borderId="64" xfId="0" applyFont="1" applyFill="1" applyBorder="1" applyAlignment="1">
      <alignment/>
    </xf>
    <xf numFmtId="0" fontId="1" fillId="0" borderId="64" xfId="0" applyFont="1" applyFill="1" applyBorder="1" applyAlignment="1">
      <alignment/>
    </xf>
    <xf numFmtId="44" fontId="1" fillId="0" borderId="64" xfId="54" applyFont="1" applyFill="1" applyBorder="1" applyAlignment="1">
      <alignment/>
    </xf>
    <xf numFmtId="9" fontId="1" fillId="0" borderId="64" xfId="66" applyFont="1" applyFill="1" applyBorder="1" applyAlignment="1">
      <alignment/>
    </xf>
    <xf numFmtId="0" fontId="1" fillId="0" borderId="64" xfId="0" applyFont="1" applyFill="1" applyBorder="1" applyAlignment="1">
      <alignment horizontal="right" vertical="center"/>
    </xf>
    <xf numFmtId="0" fontId="6" fillId="0" borderId="64" xfId="0" applyFont="1" applyFill="1" applyBorder="1" applyAlignment="1">
      <alignment horizontal="right" vertical="center"/>
    </xf>
    <xf numFmtId="169" fontId="1" fillId="0" borderId="64" xfId="0" applyNumberFormat="1" applyFont="1" applyFill="1" applyBorder="1" applyAlignment="1">
      <alignment horizontal="center"/>
    </xf>
    <xf numFmtId="169" fontId="6" fillId="0" borderId="64" xfId="0" applyNumberFormat="1" applyFont="1" applyFill="1" applyBorder="1" applyAlignment="1">
      <alignment horizontal="center"/>
    </xf>
    <xf numFmtId="0" fontId="1" fillId="0" borderId="65" xfId="0" applyFont="1" applyFill="1" applyBorder="1" applyAlignment="1">
      <alignment horizontal="left"/>
    </xf>
    <xf numFmtId="0" fontId="2" fillId="0" borderId="52" xfId="0" applyFont="1" applyFill="1" applyBorder="1" applyAlignment="1">
      <alignment vertical="center"/>
    </xf>
    <xf numFmtId="0" fontId="2" fillId="0" borderId="46" xfId="0" applyFont="1" applyFill="1" applyBorder="1" applyAlignment="1">
      <alignment vertical="center"/>
    </xf>
    <xf numFmtId="0" fontId="2" fillId="0" borderId="46" xfId="0" applyFont="1" applyFill="1" applyBorder="1" applyAlignment="1">
      <alignment horizontal="center" vertical="center"/>
    </xf>
    <xf numFmtId="164" fontId="2" fillId="0" borderId="46" xfId="0" applyNumberFormat="1" applyFont="1" applyFill="1" applyBorder="1" applyAlignment="1">
      <alignment horizontal="justify" vertical="center"/>
    </xf>
    <xf numFmtId="175" fontId="2" fillId="0" borderId="46" xfId="54" applyNumberFormat="1" applyFont="1" applyFill="1" applyBorder="1" applyAlignment="1">
      <alignment horizontal="justify" vertical="center"/>
    </xf>
    <xf numFmtId="175" fontId="7" fillId="0" borderId="46" xfId="54" applyNumberFormat="1" applyFont="1" applyFill="1" applyBorder="1" applyAlignment="1">
      <alignment horizontal="justify" vertical="center"/>
    </xf>
    <xf numFmtId="0" fontId="1" fillId="0" borderId="46" xfId="0" applyFont="1" applyFill="1" applyBorder="1" applyAlignment="1">
      <alignment/>
    </xf>
    <xf numFmtId="0" fontId="6" fillId="0" borderId="46" xfId="0" applyFont="1" applyFill="1" applyBorder="1" applyAlignment="1">
      <alignment/>
    </xf>
    <xf numFmtId="44" fontId="2" fillId="0" borderId="46" xfId="54" applyFont="1" applyFill="1" applyBorder="1" applyAlignment="1">
      <alignment horizontal="center" vertical="center"/>
    </xf>
    <xf numFmtId="9" fontId="1" fillId="0" borderId="46" xfId="66" applyFont="1" applyFill="1" applyBorder="1" applyAlignment="1">
      <alignment/>
    </xf>
    <xf numFmtId="169" fontId="6" fillId="0" borderId="46" xfId="0" applyNumberFormat="1" applyFont="1" applyFill="1" applyBorder="1" applyAlignment="1">
      <alignment horizontal="center"/>
    </xf>
    <xf numFmtId="185" fontId="1" fillId="4" borderId="46" xfId="0" applyNumberFormat="1" applyFont="1" applyFill="1" applyBorder="1" applyAlignment="1">
      <alignment horizontal="center" vertical="center" wrapText="1"/>
    </xf>
    <xf numFmtId="0" fontId="1" fillId="0" borderId="11" xfId="0" applyFont="1" applyFill="1" applyBorder="1" applyAlignment="1">
      <alignment horizontal="justify" vertical="center" wrapText="1"/>
    </xf>
    <xf numFmtId="9" fontId="1" fillId="4" borderId="48" xfId="66" applyFont="1" applyFill="1" applyBorder="1" applyAlignment="1">
      <alignment horizontal="center" vertical="center" wrapText="1"/>
    </xf>
    <xf numFmtId="3" fontId="1" fillId="4" borderId="48" xfId="0" applyNumberFormat="1" applyFont="1" applyFill="1" applyBorder="1" applyAlignment="1">
      <alignment horizontal="center" vertical="center" wrapText="1"/>
    </xf>
    <xf numFmtId="2" fontId="1" fillId="4" borderId="35" xfId="0" applyNumberFormat="1" applyFont="1" applyFill="1" applyBorder="1" applyAlignment="1">
      <alignment horizontal="justify" vertical="center" wrapText="1"/>
    </xf>
    <xf numFmtId="0" fontId="1" fillId="0" borderId="66" xfId="0" applyFont="1" applyBorder="1" applyAlignment="1">
      <alignment horizontal="left"/>
    </xf>
    <xf numFmtId="0" fontId="1" fillId="0" borderId="16" xfId="0" applyFont="1" applyFill="1" applyBorder="1" applyAlignment="1">
      <alignment horizontal="left"/>
    </xf>
    <xf numFmtId="0" fontId="1" fillId="0" borderId="37" xfId="0" applyFont="1" applyFill="1" applyBorder="1" applyAlignment="1">
      <alignment/>
    </xf>
    <xf numFmtId="0" fontId="1" fillId="0" borderId="42" xfId="0" applyFont="1" applyFill="1" applyBorder="1" applyAlignment="1">
      <alignment/>
    </xf>
    <xf numFmtId="0" fontId="1" fillId="0" borderId="19" xfId="0" applyFont="1" applyFill="1" applyBorder="1" applyAlignment="1">
      <alignment/>
    </xf>
    <xf numFmtId="0" fontId="6" fillId="0" borderId="14" xfId="0" applyFont="1" applyFill="1" applyBorder="1" applyAlignment="1">
      <alignment/>
    </xf>
    <xf numFmtId="43" fontId="16" fillId="0" borderId="0" xfId="5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14" fontId="6" fillId="4" borderId="37" xfId="60" applyNumberFormat="1" applyFont="1" applyFill="1" applyBorder="1" applyAlignment="1" applyProtection="1">
      <alignment horizontal="center" vertical="center"/>
      <protection locked="0"/>
    </xf>
    <xf numFmtId="14" fontId="1" fillId="4" borderId="37" xfId="60" applyNumberFormat="1" applyFont="1" applyFill="1" applyBorder="1" applyAlignment="1" applyProtection="1">
      <alignment horizontal="center" vertical="center"/>
      <protection locked="0"/>
    </xf>
    <xf numFmtId="14" fontId="1" fillId="4" borderId="24" xfId="60" applyNumberFormat="1" applyFont="1" applyFill="1" applyBorder="1" applyAlignment="1" applyProtection="1">
      <alignment horizontal="center" vertical="center"/>
      <protection locked="0"/>
    </xf>
    <xf numFmtId="14" fontId="6" fillId="4" borderId="24" xfId="60" applyNumberFormat="1" applyFont="1" applyFill="1" applyBorder="1" applyAlignment="1" applyProtection="1">
      <alignment horizontal="center" vertical="center"/>
      <protection locked="0"/>
    </xf>
    <xf numFmtId="14" fontId="1" fillId="4" borderId="24" xfId="60" applyNumberFormat="1" applyFont="1" applyFill="1" applyBorder="1" applyAlignment="1" applyProtection="1">
      <alignment horizontal="center"/>
      <protection locked="0"/>
    </xf>
    <xf numFmtId="14" fontId="6" fillId="4" borderId="24" xfId="60" applyNumberFormat="1" applyFont="1" applyFill="1" applyBorder="1" applyAlignment="1" applyProtection="1">
      <alignment horizontal="center"/>
      <protection locked="0"/>
    </xf>
    <xf numFmtId="14" fontId="1" fillId="4" borderId="12" xfId="60" applyNumberFormat="1" applyFont="1" applyFill="1" applyBorder="1" applyAlignment="1" applyProtection="1">
      <alignment horizontal="center"/>
      <protection locked="0"/>
    </xf>
    <xf numFmtId="14" fontId="6" fillId="4" borderId="12" xfId="60" applyNumberFormat="1" applyFont="1" applyFill="1" applyBorder="1" applyAlignment="1" applyProtection="1">
      <alignment horizontal="center"/>
      <protection locked="0"/>
    </xf>
    <xf numFmtId="168" fontId="6" fillId="0" borderId="10" xfId="0" applyNumberFormat="1" applyFont="1" applyFill="1" applyBorder="1" applyAlignment="1">
      <alignment horizontal="center" vertical="center"/>
    </xf>
    <xf numFmtId="168" fontId="6" fillId="0" borderId="10" xfId="0" applyNumberFormat="1" applyFont="1" applyFill="1" applyBorder="1" applyAlignment="1">
      <alignment vertical="center"/>
    </xf>
    <xf numFmtId="1" fontId="1" fillId="0" borderId="10" xfId="0" applyNumberFormat="1" applyFont="1" applyFill="1" applyBorder="1" applyAlignment="1">
      <alignment horizontal="center" vertical="center" wrapText="1"/>
    </xf>
    <xf numFmtId="1" fontId="1" fillId="0" borderId="37" xfId="0" applyNumberFormat="1" applyFont="1" applyFill="1" applyBorder="1" applyAlignment="1">
      <alignment horizontal="center" vertical="center" wrapText="1"/>
    </xf>
    <xf numFmtId="9" fontId="1" fillId="0" borderId="37" xfId="66" applyFont="1" applyFill="1" applyBorder="1" applyAlignment="1">
      <alignment horizontal="center" vertical="center"/>
    </xf>
    <xf numFmtId="9" fontId="1" fillId="0" borderId="12" xfId="66" applyFont="1" applyFill="1" applyBorder="1" applyAlignment="1">
      <alignment horizontal="center" vertical="center"/>
    </xf>
    <xf numFmtId="1" fontId="1" fillId="4" borderId="10" xfId="0" applyNumberFormat="1" applyFont="1" applyFill="1" applyBorder="1" applyAlignment="1">
      <alignment horizontal="center" vertical="center" wrapText="1"/>
    </xf>
    <xf numFmtId="1" fontId="1" fillId="4" borderId="10" xfId="0" applyNumberFormat="1" applyFont="1" applyFill="1" applyBorder="1" applyAlignment="1">
      <alignment horizontal="center" vertical="center"/>
    </xf>
    <xf numFmtId="1" fontId="1" fillId="0" borderId="37" xfId="0" applyNumberFormat="1" applyFont="1" applyFill="1" applyBorder="1" applyAlignment="1">
      <alignment horizontal="center" vertical="center"/>
    </xf>
    <xf numFmtId="1" fontId="1" fillId="0" borderId="19"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xf>
    <xf numFmtId="9" fontId="1" fillId="0" borderId="10" xfId="66" applyFont="1" applyFill="1" applyBorder="1" applyAlignment="1">
      <alignment horizontal="center" vertical="center"/>
    </xf>
    <xf numFmtId="0" fontId="4" fillId="4" borderId="37"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0" borderId="10" xfId="0" applyFont="1" applyFill="1" applyBorder="1" applyAlignment="1">
      <alignment horizontal="center" vertical="center"/>
    </xf>
    <xf numFmtId="0" fontId="1" fillId="4"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10" borderId="12" xfId="0" applyFont="1" applyFill="1" applyBorder="1" applyAlignment="1">
      <alignment horizontal="center" vertical="center"/>
    </xf>
    <xf numFmtId="0" fontId="2" fillId="10" borderId="26" xfId="0" applyFont="1" applyFill="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4" fillId="0" borderId="1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2"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9" fontId="4" fillId="0" borderId="10" xfId="66"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37" xfId="0" applyFont="1" applyFill="1" applyBorder="1" applyAlignment="1">
      <alignment horizontal="justify" vertical="center" wrapText="1"/>
    </xf>
    <xf numFmtId="9" fontId="1" fillId="0" borderId="37" xfId="66" applyFont="1" applyFill="1" applyBorder="1" applyAlignment="1">
      <alignment horizontal="center" vertical="center" wrapText="1"/>
    </xf>
    <xf numFmtId="0" fontId="1" fillId="0" borderId="10" xfId="0" applyFont="1" applyFill="1" applyBorder="1" applyAlignment="1">
      <alignment horizontal="center" vertical="center" wrapText="1"/>
    </xf>
    <xf numFmtId="3" fontId="1" fillId="0" borderId="37" xfId="0" applyNumberFormat="1" applyFont="1" applyFill="1" applyBorder="1" applyAlignment="1">
      <alignment horizontal="center" vertical="center" wrapText="1"/>
    </xf>
    <xf numFmtId="180" fontId="4" fillId="4" borderId="10" xfId="0" applyNumberFormat="1" applyFont="1" applyFill="1" applyBorder="1" applyAlignment="1">
      <alignment horizontal="center" vertical="center"/>
    </xf>
    <xf numFmtId="9" fontId="1" fillId="4" borderId="37" xfId="66"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2" fillId="10" borderId="17"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37" xfId="0" applyFont="1" applyFill="1" applyBorder="1" applyAlignment="1">
      <alignment horizontal="center" wrapText="1"/>
    </xf>
    <xf numFmtId="181" fontId="1" fillId="0" borderId="10" xfId="0" applyNumberFormat="1" applyFont="1" applyFill="1" applyBorder="1" applyAlignment="1">
      <alignment horizontal="center" vertical="center" wrapText="1"/>
    </xf>
    <xf numFmtId="181" fontId="6" fillId="0" borderId="37" xfId="0" applyNumberFormat="1" applyFont="1" applyFill="1" applyBorder="1" applyAlignment="1">
      <alignment horizontal="center" vertical="center" wrapText="1"/>
    </xf>
    <xf numFmtId="181" fontId="1" fillId="0" borderId="37" xfId="0" applyNumberFormat="1"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1" xfId="0" applyFont="1" applyFill="1" applyBorder="1" applyAlignment="1">
      <alignment horizontal="center" vertical="center"/>
    </xf>
    <xf numFmtId="4" fontId="1" fillId="0" borderId="10" xfId="0" applyNumberFormat="1" applyFont="1" applyFill="1" applyBorder="1" applyAlignment="1">
      <alignment horizontal="center" vertical="center" wrapText="1"/>
    </xf>
    <xf numFmtId="0" fontId="2" fillId="12" borderId="17" xfId="0" applyFont="1" applyFill="1" applyBorder="1" applyAlignment="1">
      <alignment horizontal="center" vertical="center" wrapText="1"/>
    </xf>
    <xf numFmtId="0" fontId="7" fillId="0" borderId="64" xfId="0" applyFont="1" applyFill="1" applyBorder="1" applyAlignment="1">
      <alignment horizontal="justify" vertical="center"/>
    </xf>
    <xf numFmtId="0" fontId="7" fillId="0" borderId="46" xfId="0" applyFont="1" applyFill="1" applyBorder="1" applyAlignment="1">
      <alignment vertical="center"/>
    </xf>
    <xf numFmtId="0" fontId="1" fillId="9" borderId="38" xfId="0" applyFont="1" applyFill="1" applyBorder="1" applyAlignment="1">
      <alignment vertical="center" wrapText="1"/>
    </xf>
    <xf numFmtId="0" fontId="1" fillId="10" borderId="17" xfId="0" applyFont="1" applyFill="1" applyBorder="1" applyAlignment="1">
      <alignment vertical="center"/>
    </xf>
    <xf numFmtId="0" fontId="1" fillId="9" borderId="34" xfId="0" applyFont="1" applyFill="1" applyBorder="1" applyAlignment="1">
      <alignment vertical="center"/>
    </xf>
    <xf numFmtId="0" fontId="1" fillId="10" borderId="14" xfId="0" applyFont="1" applyFill="1" applyBorder="1" applyAlignment="1">
      <alignment vertical="center"/>
    </xf>
    <xf numFmtId="0" fontId="1" fillId="0" borderId="46" xfId="0" applyFont="1" applyFill="1" applyBorder="1" applyAlignment="1">
      <alignment vertical="center"/>
    </xf>
    <xf numFmtId="0" fontId="6" fillId="0" borderId="11" xfId="0" applyFont="1" applyFill="1" applyBorder="1" applyAlignment="1">
      <alignment horizontal="center" vertical="center" wrapText="1"/>
    </xf>
    <xf numFmtId="0" fontId="2" fillId="10" borderId="17" xfId="0" applyFont="1" applyFill="1" applyBorder="1" applyAlignment="1">
      <alignment horizontal="justify" vertical="center" wrapText="1"/>
    </xf>
    <xf numFmtId="164" fontId="1" fillId="0" borderId="37" xfId="55" applyFont="1" applyFill="1" applyBorder="1" applyAlignment="1">
      <alignment vertical="center" wrapText="1"/>
    </xf>
    <xf numFmtId="0" fontId="19" fillId="0" borderId="0" xfId="0" applyFont="1" applyFill="1" applyAlignment="1">
      <alignment horizontal="center"/>
    </xf>
    <xf numFmtId="164" fontId="1" fillId="0" borderId="0" xfId="55" applyFont="1" applyFill="1" applyBorder="1" applyAlignment="1">
      <alignment horizontal="justify" vertical="center"/>
    </xf>
    <xf numFmtId="0" fontId="2" fillId="0" borderId="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164" fontId="6" fillId="0" borderId="10" xfId="55" applyFont="1" applyFill="1" applyBorder="1" applyAlignment="1">
      <alignment horizontal="center" vertical="center" wrapText="1"/>
    </xf>
    <xf numFmtId="164" fontId="6" fillId="0" borderId="37" xfId="55" applyFont="1" applyFill="1" applyBorder="1" applyAlignment="1">
      <alignment horizontal="center" vertical="center" wrapText="1"/>
    </xf>
    <xf numFmtId="0" fontId="1" fillId="0" borderId="0" xfId="0" applyFont="1" applyAlignment="1">
      <alignment horizontal="center"/>
    </xf>
    <xf numFmtId="169" fontId="6" fillId="4" borderId="37" xfId="0" applyNumberFormat="1" applyFont="1" applyFill="1" applyBorder="1" applyAlignment="1">
      <alignment horizontal="center" vertical="center" wrapText="1"/>
    </xf>
    <xf numFmtId="169" fontId="6" fillId="4" borderId="24" xfId="0" applyNumberFormat="1" applyFont="1" applyFill="1" applyBorder="1" applyAlignment="1">
      <alignment horizontal="center" vertical="center" wrapText="1"/>
    </xf>
    <xf numFmtId="169" fontId="6" fillId="4" borderId="12"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170" fontId="4" fillId="4" borderId="37" xfId="0" applyNumberFormat="1" applyFont="1" applyFill="1" applyBorder="1" applyAlignment="1">
      <alignment horizontal="center" vertical="center" wrapText="1"/>
    </xf>
    <xf numFmtId="170" fontId="4" fillId="4" borderId="24" xfId="0" applyNumberFormat="1" applyFont="1" applyFill="1" applyBorder="1" applyAlignment="1">
      <alignment horizontal="center" vertical="center" wrapText="1"/>
    </xf>
    <xf numFmtId="170" fontId="4" fillId="4" borderId="12" xfId="0" applyNumberFormat="1" applyFont="1" applyFill="1" applyBorder="1" applyAlignment="1">
      <alignment horizontal="center" vertical="center" wrapText="1"/>
    </xf>
    <xf numFmtId="9" fontId="4" fillId="4" borderId="37" xfId="66" applyFont="1" applyFill="1" applyBorder="1" applyAlignment="1">
      <alignment horizontal="center" vertical="center" wrapText="1"/>
    </xf>
    <xf numFmtId="9" fontId="4" fillId="4" borderId="24" xfId="66" applyFont="1" applyFill="1" applyBorder="1" applyAlignment="1">
      <alignment horizontal="center" vertical="center" wrapText="1"/>
    </xf>
    <xf numFmtId="9" fontId="4" fillId="4" borderId="12" xfId="66" applyFont="1" applyFill="1" applyBorder="1" applyAlignment="1">
      <alignment horizontal="center" vertical="center" wrapText="1"/>
    </xf>
    <xf numFmtId="170" fontId="1" fillId="0" borderId="37" xfId="0" applyNumberFormat="1" applyFont="1" applyFill="1" applyBorder="1" applyAlignment="1">
      <alignment horizontal="center" vertical="center" wrapText="1"/>
    </xf>
    <xf numFmtId="170" fontId="1" fillId="0" borderId="24" xfId="0" applyNumberFormat="1" applyFont="1" applyFill="1" applyBorder="1" applyAlignment="1">
      <alignment horizontal="center" vertical="center" wrapText="1"/>
    </xf>
    <xf numFmtId="170" fontId="1" fillId="0" borderId="35" xfId="0" applyNumberFormat="1" applyFont="1" applyFill="1" applyBorder="1" applyAlignment="1">
      <alignment horizontal="center" vertical="center" wrapText="1"/>
    </xf>
    <xf numFmtId="169" fontId="1" fillId="0" borderId="37" xfId="0" applyNumberFormat="1" applyFont="1" applyFill="1" applyBorder="1" applyAlignment="1">
      <alignment horizontal="center" vertical="center" wrapText="1"/>
    </xf>
    <xf numFmtId="169" fontId="1" fillId="0" borderId="24" xfId="0" applyNumberFormat="1" applyFont="1" applyFill="1" applyBorder="1" applyAlignment="1">
      <alignment horizontal="center" vertical="center" wrapText="1"/>
    </xf>
    <xf numFmtId="165" fontId="1" fillId="0" borderId="10" xfId="48" applyFont="1" applyFill="1" applyBorder="1" applyAlignment="1">
      <alignment horizontal="center" vertical="center" textRotation="180" wrapText="1"/>
    </xf>
    <xf numFmtId="165" fontId="1" fillId="0" borderId="37" xfId="48" applyFont="1" applyFill="1" applyBorder="1" applyAlignment="1">
      <alignment horizontal="center" vertical="center" textRotation="180" wrapText="1"/>
    </xf>
    <xf numFmtId="165" fontId="6" fillId="0" borderId="10" xfId="48" applyFont="1" applyFill="1" applyBorder="1" applyAlignment="1">
      <alignment horizontal="center" vertical="center" textRotation="180" wrapText="1"/>
    </xf>
    <xf numFmtId="165" fontId="6" fillId="0" borderId="37" xfId="48" applyFont="1" applyFill="1" applyBorder="1" applyAlignment="1">
      <alignment horizontal="center" vertical="center" textRotation="180" wrapText="1"/>
    </xf>
    <xf numFmtId="165" fontId="6" fillId="0" borderId="24" xfId="48" applyFont="1" applyFill="1" applyBorder="1" applyAlignment="1">
      <alignment horizontal="center" vertical="center" textRotation="180" wrapText="1"/>
    </xf>
    <xf numFmtId="0" fontId="1" fillId="0" borderId="37" xfId="0" applyFont="1" applyFill="1" applyBorder="1" applyAlignment="1">
      <alignment horizontal="center" vertical="center" wrapText="1"/>
    </xf>
    <xf numFmtId="0" fontId="1" fillId="0" borderId="24" xfId="0" applyFont="1" applyFill="1" applyBorder="1" applyAlignment="1">
      <alignment horizontal="center" vertical="center" wrapText="1"/>
    </xf>
    <xf numFmtId="3" fontId="1" fillId="0" borderId="37" xfId="0" applyNumberFormat="1" applyFont="1" applyFill="1" applyBorder="1" applyAlignment="1">
      <alignment horizontal="center" vertical="center" wrapText="1"/>
    </xf>
    <xf numFmtId="3" fontId="1" fillId="0" borderId="24"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37" xfId="0" applyFont="1" applyFill="1" applyBorder="1" applyAlignment="1">
      <alignment horizontal="justify" vertical="center" wrapText="1"/>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3" fontId="2" fillId="4" borderId="14" xfId="0" applyNumberFormat="1" applyFont="1" applyFill="1" applyBorder="1" applyAlignment="1">
      <alignment horizontal="center" vertical="center"/>
    </xf>
    <xf numFmtId="10" fontId="1" fillId="0" borderId="37" xfId="0" applyNumberFormat="1" applyFont="1" applyFill="1" applyBorder="1" applyAlignment="1">
      <alignment horizontal="center" vertical="center" wrapText="1"/>
    </xf>
    <xf numFmtId="10" fontId="1" fillId="0" borderId="24" xfId="0" applyNumberFormat="1" applyFont="1" applyFill="1" applyBorder="1" applyAlignment="1">
      <alignment horizontal="center" vertical="center" wrapText="1"/>
    </xf>
    <xf numFmtId="10" fontId="1" fillId="0" borderId="35" xfId="0" applyNumberFormat="1" applyFont="1" applyFill="1" applyBorder="1" applyAlignment="1">
      <alignment horizontal="center" vertical="center" wrapText="1"/>
    </xf>
    <xf numFmtId="169" fontId="6" fillId="0" borderId="37" xfId="0" applyNumberFormat="1" applyFont="1" applyFill="1" applyBorder="1" applyAlignment="1">
      <alignment horizontal="center" vertical="center" wrapText="1"/>
    </xf>
    <xf numFmtId="169" fontId="6" fillId="0" borderId="24" xfId="0" applyNumberFormat="1" applyFont="1" applyFill="1" applyBorder="1" applyAlignment="1">
      <alignment horizontal="center" vertical="center" wrapText="1"/>
    </xf>
    <xf numFmtId="169" fontId="6" fillId="0" borderId="35" xfId="0" applyNumberFormat="1" applyFont="1" applyFill="1" applyBorder="1" applyAlignment="1">
      <alignment horizontal="center" vertical="center" wrapText="1"/>
    </xf>
    <xf numFmtId="165" fontId="1" fillId="0" borderId="24" xfId="48" applyFont="1" applyFill="1" applyBorder="1" applyAlignment="1">
      <alignment horizontal="center" vertical="center" textRotation="180" wrapText="1"/>
    </xf>
    <xf numFmtId="165" fontId="1" fillId="0" borderId="35" xfId="48" applyFont="1" applyFill="1" applyBorder="1" applyAlignment="1">
      <alignment horizontal="center" vertical="center" textRotation="180" wrapText="1"/>
    </xf>
    <xf numFmtId="165" fontId="6" fillId="0" borderId="35" xfId="48" applyFont="1" applyFill="1" applyBorder="1" applyAlignment="1">
      <alignment horizontal="center" vertical="center" textRotation="180" wrapText="1"/>
    </xf>
    <xf numFmtId="9" fontId="1" fillId="0" borderId="10" xfId="66" applyFont="1" applyFill="1" applyBorder="1" applyAlignment="1">
      <alignment horizontal="center" vertical="center" wrapText="1"/>
    </xf>
    <xf numFmtId="9" fontId="1" fillId="0" borderId="37" xfId="66" applyFont="1" applyFill="1" applyBorder="1" applyAlignment="1">
      <alignment horizontal="center" vertical="center" wrapText="1"/>
    </xf>
    <xf numFmtId="170" fontId="1" fillId="0" borderId="10" xfId="0" applyNumberFormat="1" applyFont="1" applyFill="1" applyBorder="1" applyAlignment="1">
      <alignment horizontal="center" vertical="center" wrapText="1"/>
    </xf>
    <xf numFmtId="0" fontId="1" fillId="0" borderId="37" xfId="47" applyNumberFormat="1" applyFont="1" applyFill="1" applyBorder="1" applyAlignment="1">
      <alignment horizontal="center" vertical="center" wrapText="1"/>
    </xf>
    <xf numFmtId="0" fontId="1" fillId="0" borderId="24" xfId="47"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 fillId="0" borderId="37"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2" fontId="6" fillId="0" borderId="37" xfId="0" applyNumberFormat="1" applyFont="1" applyFill="1" applyBorder="1" applyAlignment="1">
      <alignment horizontal="center" vertical="center" wrapText="1"/>
    </xf>
    <xf numFmtId="2" fontId="6" fillId="0" borderId="24" xfId="0" applyNumberFormat="1" applyFont="1" applyFill="1" applyBorder="1" applyAlignment="1">
      <alignment horizontal="center" vertical="center" wrapText="1"/>
    </xf>
    <xf numFmtId="169" fontId="4" fillId="0" borderId="37" xfId="0" applyNumberFormat="1" applyFont="1" applyFill="1" applyBorder="1" applyAlignment="1">
      <alignment horizontal="center" vertical="center" wrapText="1"/>
    </xf>
    <xf numFmtId="169" fontId="4" fillId="0" borderId="24" xfId="0" applyNumberFormat="1" applyFont="1" applyFill="1" applyBorder="1" applyAlignment="1">
      <alignment horizontal="center" vertical="center" wrapText="1"/>
    </xf>
    <xf numFmtId="169" fontId="4" fillId="0" borderId="12" xfId="0" applyNumberFormat="1" applyFont="1" applyFill="1" applyBorder="1" applyAlignment="1">
      <alignment horizontal="center" vertical="center" wrapText="1"/>
    </xf>
    <xf numFmtId="169" fontId="6" fillId="0" borderId="12" xfId="0" applyNumberFormat="1" applyFont="1" applyFill="1" applyBorder="1" applyAlignment="1">
      <alignment horizontal="center" vertical="center" wrapText="1"/>
    </xf>
    <xf numFmtId="3" fontId="4" fillId="0" borderId="37"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170" fontId="4" fillId="0" borderId="10" xfId="0" applyNumberFormat="1" applyFont="1" applyFill="1" applyBorder="1" applyAlignment="1">
      <alignment horizontal="center" vertical="center" wrapText="1"/>
    </xf>
    <xf numFmtId="170" fontId="4" fillId="0" borderId="37" xfId="0" applyNumberFormat="1" applyFont="1" applyFill="1" applyBorder="1" applyAlignment="1">
      <alignment horizontal="center" vertical="center" wrapText="1"/>
    </xf>
    <xf numFmtId="170" fontId="4" fillId="0" borderId="24" xfId="0" applyNumberFormat="1" applyFont="1" applyFill="1" applyBorder="1" applyAlignment="1">
      <alignment horizontal="center" vertical="center" wrapText="1"/>
    </xf>
    <xf numFmtId="170" fontId="4" fillId="0" borderId="12" xfId="0" applyNumberFormat="1" applyFont="1" applyFill="1" applyBorder="1" applyAlignment="1">
      <alignment horizontal="center" vertical="center" wrapText="1"/>
    </xf>
    <xf numFmtId="10" fontId="4" fillId="0" borderId="37" xfId="66" applyNumberFormat="1" applyFont="1" applyFill="1" applyBorder="1" applyAlignment="1">
      <alignment horizontal="center" vertical="center" wrapText="1"/>
    </xf>
    <xf numFmtId="10" fontId="4" fillId="0" borderId="24" xfId="66" applyNumberFormat="1" applyFont="1" applyFill="1" applyBorder="1" applyAlignment="1">
      <alignment horizontal="center" vertical="center" wrapText="1"/>
    </xf>
    <xf numFmtId="10" fontId="4" fillId="0" borderId="12" xfId="66" applyNumberFormat="1"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2" xfId="0" applyFont="1" applyFill="1" applyBorder="1" applyAlignment="1">
      <alignment horizontal="center" vertical="center" wrapText="1"/>
    </xf>
    <xf numFmtId="165" fontId="4" fillId="0" borderId="37" xfId="48" applyFont="1" applyFill="1" applyBorder="1" applyAlignment="1">
      <alignment horizontal="center" vertical="center" textRotation="180" wrapText="1"/>
    </xf>
    <xf numFmtId="165" fontId="4" fillId="0" borderId="24" xfId="48" applyFont="1" applyFill="1" applyBorder="1" applyAlignment="1">
      <alignment horizontal="center" vertical="center" textRotation="180" wrapText="1"/>
    </xf>
    <xf numFmtId="165" fontId="4" fillId="0" borderId="12" xfId="48" applyFont="1" applyFill="1" applyBorder="1" applyAlignment="1">
      <alignment horizontal="center" vertical="center" textRotation="180" wrapText="1"/>
    </xf>
    <xf numFmtId="165" fontId="6" fillId="0" borderId="12" xfId="48" applyFont="1" applyFill="1" applyBorder="1" applyAlignment="1">
      <alignment horizontal="center" vertical="center" textRotation="180" wrapText="1"/>
    </xf>
    <xf numFmtId="1" fontId="4" fillId="0" borderId="37" xfId="48" applyNumberFormat="1" applyFont="1" applyFill="1" applyBorder="1" applyAlignment="1">
      <alignment horizontal="center" vertical="center" textRotation="180" wrapText="1"/>
    </xf>
    <xf numFmtId="1" fontId="4" fillId="0" borderId="24" xfId="48" applyNumberFormat="1" applyFont="1" applyFill="1" applyBorder="1" applyAlignment="1">
      <alignment horizontal="center" vertical="center" textRotation="180" wrapText="1"/>
    </xf>
    <xf numFmtId="1" fontId="4" fillId="0" borderId="12" xfId="48" applyNumberFormat="1" applyFont="1" applyFill="1" applyBorder="1" applyAlignment="1">
      <alignment horizontal="center" vertical="center" textRotation="180" wrapText="1"/>
    </xf>
    <xf numFmtId="1" fontId="6" fillId="0" borderId="37" xfId="48" applyNumberFormat="1" applyFont="1" applyFill="1" applyBorder="1" applyAlignment="1">
      <alignment horizontal="center" vertical="center" textRotation="180" wrapText="1"/>
    </xf>
    <xf numFmtId="1" fontId="6" fillId="0" borderId="24" xfId="48" applyNumberFormat="1" applyFont="1" applyFill="1" applyBorder="1" applyAlignment="1">
      <alignment horizontal="center" vertical="center" textRotation="180" wrapText="1"/>
    </xf>
    <xf numFmtId="1" fontId="6" fillId="0" borderId="12" xfId="48" applyNumberFormat="1" applyFont="1" applyFill="1" applyBorder="1" applyAlignment="1">
      <alignment horizontal="center" vertical="center" textRotation="180" wrapText="1"/>
    </xf>
    <xf numFmtId="170" fontId="6" fillId="4" borderId="37" xfId="0" applyNumberFormat="1" applyFont="1" applyFill="1" applyBorder="1" applyAlignment="1">
      <alignment horizontal="center" vertical="center" wrapText="1"/>
    </xf>
    <xf numFmtId="170" fontId="6" fillId="4" borderId="24" xfId="0" applyNumberFormat="1" applyFont="1" applyFill="1" applyBorder="1" applyAlignment="1">
      <alignment horizontal="center" vertical="center" wrapText="1"/>
    </xf>
    <xf numFmtId="170" fontId="6" fillId="4" borderId="12" xfId="0" applyNumberFormat="1" applyFont="1" applyFill="1" applyBorder="1" applyAlignment="1">
      <alignment horizontal="center" vertical="center" wrapText="1"/>
    </xf>
    <xf numFmtId="170" fontId="6" fillId="0" borderId="37" xfId="0" applyNumberFormat="1" applyFont="1" applyFill="1" applyBorder="1" applyAlignment="1">
      <alignment horizontal="center" vertical="center" wrapText="1"/>
    </xf>
    <xf numFmtId="170" fontId="6" fillId="0" borderId="24" xfId="0" applyNumberFormat="1" applyFont="1" applyFill="1" applyBorder="1" applyAlignment="1">
      <alignment horizontal="center" vertical="center" wrapText="1"/>
    </xf>
    <xf numFmtId="170" fontId="6" fillId="0" borderId="12" xfId="0" applyNumberFormat="1" applyFont="1" applyFill="1" applyBorder="1" applyAlignment="1">
      <alignment horizontal="center" vertical="center" wrapText="1"/>
    </xf>
    <xf numFmtId="0" fontId="4" fillId="0" borderId="37" xfId="47" applyNumberFormat="1" applyFont="1" applyFill="1" applyBorder="1" applyAlignment="1">
      <alignment horizontal="center" vertical="center" wrapText="1"/>
    </xf>
    <xf numFmtId="0" fontId="4" fillId="0" borderId="24" xfId="47" applyNumberFormat="1" applyFont="1" applyFill="1" applyBorder="1" applyAlignment="1">
      <alignment horizontal="center" vertical="center" wrapText="1"/>
    </xf>
    <xf numFmtId="0" fontId="4" fillId="0" borderId="12" xfId="47" applyNumberFormat="1" applyFont="1" applyFill="1" applyBorder="1" applyAlignment="1">
      <alignment horizontal="center" vertical="center" wrapText="1"/>
    </xf>
    <xf numFmtId="0" fontId="4" fillId="0" borderId="37"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4" fillId="0" borderId="12" xfId="0" applyFont="1" applyFill="1" applyBorder="1" applyAlignment="1">
      <alignment horizontal="justify" vertical="center" wrapText="1"/>
    </xf>
    <xf numFmtId="9" fontId="4" fillId="0" borderId="37" xfId="66" applyFont="1" applyFill="1" applyBorder="1" applyAlignment="1">
      <alignment horizontal="center" vertical="center" wrapText="1"/>
    </xf>
    <xf numFmtId="9" fontId="4" fillId="0" borderId="24" xfId="66" applyFont="1" applyFill="1" applyBorder="1" applyAlignment="1">
      <alignment horizontal="center" vertical="center" wrapText="1"/>
    </xf>
    <xf numFmtId="9" fontId="4" fillId="0" borderId="12" xfId="66"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37" xfId="48" applyNumberFormat="1" applyFont="1" applyFill="1" applyBorder="1" applyAlignment="1">
      <alignment horizontal="center" vertical="center" textRotation="180" wrapText="1"/>
    </xf>
    <xf numFmtId="9" fontId="4" fillId="0" borderId="10" xfId="66" applyFont="1" applyFill="1" applyBorder="1" applyAlignment="1">
      <alignment horizontal="center" vertical="center" wrapText="1"/>
    </xf>
    <xf numFmtId="0" fontId="4" fillId="0" borderId="10" xfId="0" applyFont="1" applyFill="1" applyBorder="1" applyAlignment="1">
      <alignment horizontal="justify" vertical="center" wrapText="1"/>
    </xf>
    <xf numFmtId="3" fontId="4" fillId="0" borderId="10" xfId="0" applyNumberFormat="1" applyFont="1" applyFill="1" applyBorder="1" applyAlignment="1">
      <alignment horizontal="center" vertical="center" wrapText="1"/>
    </xf>
    <xf numFmtId="3" fontId="4" fillId="4" borderId="37" xfId="0" applyNumberFormat="1" applyFont="1" applyFill="1" applyBorder="1" applyAlignment="1">
      <alignment horizontal="center" vertical="center" wrapText="1"/>
    </xf>
    <xf numFmtId="3" fontId="4" fillId="4" borderId="24" xfId="0" applyNumberFormat="1" applyFont="1" applyFill="1" applyBorder="1" applyAlignment="1">
      <alignment horizontal="center" vertical="center" wrapText="1"/>
    </xf>
    <xf numFmtId="3" fontId="4" fillId="4" borderId="12" xfId="0" applyNumberFormat="1" applyFont="1" applyFill="1" applyBorder="1" applyAlignment="1">
      <alignment horizontal="center" vertical="center" wrapText="1"/>
    </xf>
    <xf numFmtId="0" fontId="4" fillId="4"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165" fontId="6" fillId="4" borderId="37" xfId="48" applyFont="1" applyFill="1" applyBorder="1" applyAlignment="1">
      <alignment horizontal="center" vertical="center" textRotation="180" wrapText="1"/>
    </xf>
    <xf numFmtId="165" fontId="6" fillId="4" borderId="24" xfId="48" applyFont="1" applyFill="1" applyBorder="1" applyAlignment="1">
      <alignment horizontal="center" vertical="center" textRotation="180" wrapText="1"/>
    </xf>
    <xf numFmtId="165" fontId="6" fillId="4" borderId="12" xfId="48" applyFont="1" applyFill="1" applyBorder="1" applyAlignment="1">
      <alignment horizontal="center" vertical="center" textRotation="180" wrapText="1"/>
    </xf>
    <xf numFmtId="169" fontId="4" fillId="4" borderId="37" xfId="0" applyNumberFormat="1" applyFont="1" applyFill="1" applyBorder="1" applyAlignment="1">
      <alignment horizontal="center" vertical="center" wrapText="1"/>
    </xf>
    <xf numFmtId="169" fontId="4" fillId="4" borderId="24" xfId="0" applyNumberFormat="1" applyFont="1" applyFill="1" applyBorder="1" applyAlignment="1">
      <alignment horizontal="center" vertical="center" wrapText="1"/>
    </xf>
    <xf numFmtId="169" fontId="4" fillId="4" borderId="12" xfId="0" applyNumberFormat="1" applyFont="1" applyFill="1" applyBorder="1" applyAlignment="1">
      <alignment horizontal="center" vertical="center" wrapText="1"/>
    </xf>
    <xf numFmtId="165" fontId="4" fillId="4" borderId="37" xfId="48" applyFont="1" applyFill="1" applyBorder="1" applyAlignment="1">
      <alignment horizontal="center" vertical="center" textRotation="180" wrapText="1"/>
    </xf>
    <xf numFmtId="165" fontId="4" fillId="4" borderId="24" xfId="48" applyFont="1" applyFill="1" applyBorder="1" applyAlignment="1">
      <alignment horizontal="center" vertical="center" textRotation="180" wrapText="1"/>
    </xf>
    <xf numFmtId="165" fontId="4" fillId="4" borderId="12" xfId="48" applyFont="1" applyFill="1" applyBorder="1" applyAlignment="1">
      <alignment horizontal="center" vertical="center" textRotation="180" wrapText="1"/>
    </xf>
    <xf numFmtId="1" fontId="6" fillId="4" borderId="37" xfId="48" applyNumberFormat="1" applyFont="1" applyFill="1" applyBorder="1" applyAlignment="1">
      <alignment horizontal="center" vertical="center" textRotation="180" wrapText="1"/>
    </xf>
    <xf numFmtId="1" fontId="6" fillId="4" borderId="24" xfId="48" applyNumberFormat="1" applyFont="1" applyFill="1" applyBorder="1" applyAlignment="1">
      <alignment horizontal="center" vertical="center" textRotation="180" wrapText="1"/>
    </xf>
    <xf numFmtId="1" fontId="6" fillId="4" borderId="12" xfId="48" applyNumberFormat="1" applyFont="1" applyFill="1" applyBorder="1" applyAlignment="1">
      <alignment horizontal="center" vertical="center" textRotation="180" wrapText="1"/>
    </xf>
    <xf numFmtId="1" fontId="4" fillId="4" borderId="37" xfId="48" applyNumberFormat="1" applyFont="1" applyFill="1" applyBorder="1" applyAlignment="1">
      <alignment horizontal="center" vertical="center" textRotation="180" wrapText="1"/>
    </xf>
    <xf numFmtId="1" fontId="4" fillId="4" borderId="24" xfId="48" applyNumberFormat="1" applyFont="1" applyFill="1" applyBorder="1" applyAlignment="1">
      <alignment horizontal="center" vertical="center" textRotation="180" wrapText="1"/>
    </xf>
    <xf numFmtId="1" fontId="4" fillId="4" borderId="12" xfId="48" applyNumberFormat="1" applyFont="1" applyFill="1" applyBorder="1" applyAlignment="1">
      <alignment horizontal="center" vertical="center" textRotation="180" wrapText="1"/>
    </xf>
    <xf numFmtId="9" fontId="4" fillId="4" borderId="10" xfId="66" applyFont="1" applyFill="1" applyBorder="1" applyAlignment="1">
      <alignment horizontal="center" vertical="center" wrapText="1"/>
    </xf>
    <xf numFmtId="0" fontId="4" fillId="4" borderId="37" xfId="47" applyNumberFormat="1" applyFont="1" applyFill="1" applyBorder="1" applyAlignment="1">
      <alignment horizontal="center" vertical="center" wrapText="1"/>
    </xf>
    <xf numFmtId="0" fontId="4" fillId="4" borderId="24" xfId="47" applyNumberFormat="1" applyFont="1" applyFill="1" applyBorder="1" applyAlignment="1">
      <alignment horizontal="center" vertical="center" wrapText="1"/>
    </xf>
    <xf numFmtId="0" fontId="4" fillId="4" borderId="12" xfId="47"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2" fontId="6" fillId="4" borderId="37" xfId="0" applyNumberFormat="1" applyFont="1" applyFill="1" applyBorder="1" applyAlignment="1">
      <alignment horizontal="center" vertical="center" wrapText="1"/>
    </xf>
    <xf numFmtId="2" fontId="6" fillId="4" borderId="24" xfId="0" applyNumberFormat="1" applyFont="1" applyFill="1" applyBorder="1" applyAlignment="1">
      <alignment horizontal="center" vertical="center" wrapText="1"/>
    </xf>
    <xf numFmtId="2" fontId="6" fillId="4" borderId="12" xfId="0" applyNumberFormat="1"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12" xfId="0" applyFont="1" applyFill="1" applyBorder="1" applyAlignment="1">
      <alignment horizontal="center" vertical="center" wrapText="1"/>
    </xf>
    <xf numFmtId="3" fontId="6" fillId="0" borderId="37" xfId="48" applyNumberFormat="1" applyFont="1" applyFill="1" applyBorder="1" applyAlignment="1">
      <alignment horizontal="center" vertical="center" textRotation="180" wrapText="1"/>
    </xf>
    <xf numFmtId="3" fontId="6" fillId="0" borderId="24" xfId="48" applyNumberFormat="1" applyFont="1" applyFill="1" applyBorder="1" applyAlignment="1">
      <alignment horizontal="center" vertical="center" textRotation="180" wrapText="1"/>
    </xf>
    <xf numFmtId="3" fontId="6" fillId="0" borderId="12" xfId="48" applyNumberFormat="1" applyFont="1" applyFill="1" applyBorder="1" applyAlignment="1">
      <alignment horizontal="center" vertical="center" textRotation="180" wrapText="1"/>
    </xf>
    <xf numFmtId="3" fontId="4" fillId="0" borderId="37" xfId="48" applyNumberFormat="1" applyFont="1" applyFill="1" applyBorder="1" applyAlignment="1">
      <alignment horizontal="center" vertical="center" textRotation="180" wrapText="1"/>
    </xf>
    <xf numFmtId="3" fontId="4" fillId="0" borderId="24" xfId="48" applyNumberFormat="1" applyFont="1" applyFill="1" applyBorder="1" applyAlignment="1">
      <alignment horizontal="center" vertical="center" textRotation="180" wrapText="1"/>
    </xf>
    <xf numFmtId="3" fontId="4" fillId="0" borderId="12" xfId="48" applyNumberFormat="1" applyFont="1" applyFill="1" applyBorder="1" applyAlignment="1">
      <alignment horizontal="center" vertical="center" textRotation="180" wrapText="1"/>
    </xf>
    <xf numFmtId="0" fontId="4" fillId="0" borderId="10" xfId="0" applyFont="1" applyFill="1" applyBorder="1" applyAlignment="1">
      <alignment horizontal="justify" vertical="center" wrapText="1" readingOrder="2"/>
    </xf>
    <xf numFmtId="3" fontId="4" fillId="0" borderId="37" xfId="47" applyNumberFormat="1" applyFont="1" applyFill="1" applyBorder="1" applyAlignment="1">
      <alignment horizontal="center" vertical="center" wrapText="1"/>
    </xf>
    <xf numFmtId="3" fontId="4" fillId="0" borderId="24" xfId="47" applyNumberFormat="1" applyFont="1" applyFill="1" applyBorder="1" applyAlignment="1">
      <alignment horizontal="center" vertical="center" wrapText="1"/>
    </xf>
    <xf numFmtId="3" fontId="4" fillId="0" borderId="12" xfId="47"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2" fillId="9" borderId="37"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1" fillId="4" borderId="10" xfId="0" applyFont="1" applyFill="1" applyBorder="1" applyAlignment="1">
      <alignment horizontal="center" vertical="center" wrapText="1"/>
    </xf>
    <xf numFmtId="169" fontId="2" fillId="9" borderId="15" xfId="0" applyNumberFormat="1" applyFont="1" applyFill="1" applyBorder="1" applyAlignment="1">
      <alignment horizontal="center" vertical="center" wrapText="1"/>
    </xf>
    <xf numFmtId="169" fontId="2" fillId="9" borderId="16" xfId="0" applyNumberFormat="1" applyFont="1" applyFill="1" applyBorder="1" applyAlignment="1">
      <alignment horizontal="center" vertical="center" wrapText="1"/>
    </xf>
    <xf numFmtId="0" fontId="2" fillId="9" borderId="10" xfId="0" applyFont="1" applyFill="1" applyBorder="1" applyAlignment="1">
      <alignment horizontal="center" vertical="center" wrapText="1"/>
    </xf>
    <xf numFmtId="3" fontId="2" fillId="9" borderId="10" xfId="0" applyNumberFormat="1" applyFont="1" applyFill="1" applyBorder="1" applyAlignment="1">
      <alignment horizontal="center" vertical="center" wrapText="1"/>
    </xf>
    <xf numFmtId="9" fontId="2" fillId="9" borderId="10" xfId="67" applyFont="1" applyFill="1" applyBorder="1" applyAlignment="1">
      <alignment horizontal="center" vertical="center" wrapText="1"/>
    </xf>
    <xf numFmtId="0" fontId="2" fillId="9" borderId="4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9" xfId="0" applyFont="1" applyFill="1" applyBorder="1" applyAlignment="1">
      <alignment horizontal="center" vertical="center" wrapText="1"/>
    </xf>
    <xf numFmtId="0" fontId="2" fillId="9" borderId="25"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38" xfId="0" applyFont="1" applyFill="1" applyBorder="1" applyAlignment="1">
      <alignment horizontal="center" vertical="center" wrapText="1"/>
    </xf>
    <xf numFmtId="0" fontId="2" fillId="9" borderId="37" xfId="0" applyFont="1" applyFill="1" applyBorder="1" applyAlignment="1">
      <alignment horizontal="center" vertical="center" wrapText="1"/>
    </xf>
    <xf numFmtId="0" fontId="2" fillId="9" borderId="24" xfId="0" applyFont="1" applyFill="1" applyBorder="1" applyAlignment="1">
      <alignment horizontal="center" vertical="center" wrapText="1"/>
    </xf>
    <xf numFmtId="0" fontId="2" fillId="9" borderId="12" xfId="0" applyFont="1" applyFill="1" applyBorder="1" applyAlignment="1">
      <alignment horizontal="center" vertical="center" wrapText="1"/>
    </xf>
    <xf numFmtId="169" fontId="2" fillId="9" borderId="42" xfId="0" applyNumberFormat="1" applyFont="1" applyFill="1" applyBorder="1" applyAlignment="1">
      <alignment horizontal="center" vertical="center" wrapText="1"/>
    </xf>
    <xf numFmtId="169" fontId="2" fillId="9" borderId="19" xfId="0" applyNumberFormat="1" applyFont="1" applyFill="1" applyBorder="1" applyAlignment="1">
      <alignment horizontal="center" vertical="center" wrapText="1"/>
    </xf>
    <xf numFmtId="169" fontId="2" fillId="9" borderId="26" xfId="0" applyNumberFormat="1" applyFont="1" applyFill="1" applyBorder="1" applyAlignment="1">
      <alignment horizontal="center" vertical="center" wrapText="1"/>
    </xf>
    <xf numFmtId="169" fontId="2" fillId="9" borderId="13"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9" borderId="10" xfId="0" applyFont="1" applyFill="1" applyBorder="1" applyAlignment="1">
      <alignment horizontal="center" vertical="center" wrapText="1"/>
    </xf>
    <xf numFmtId="0" fontId="2" fillId="9" borderId="26" xfId="0" applyFont="1" applyFill="1" applyBorder="1" applyAlignment="1">
      <alignment horizontal="center" vertical="center" wrapText="1"/>
    </xf>
    <xf numFmtId="0" fontId="2" fillId="9" borderId="13" xfId="0" applyFont="1" applyFill="1" applyBorder="1" applyAlignment="1">
      <alignment horizontal="center" vertical="center" wrapText="1"/>
    </xf>
    <xf numFmtId="3" fontId="2" fillId="9" borderId="10" xfId="0" applyNumberFormat="1" applyFont="1" applyFill="1" applyBorder="1" applyAlignment="1">
      <alignment horizontal="center" vertical="center" wrapText="1"/>
    </xf>
    <xf numFmtId="0" fontId="2" fillId="9" borderId="15" xfId="0" applyFont="1" applyFill="1" applyBorder="1" applyAlignment="1">
      <alignment horizontal="center" vertical="center"/>
    </xf>
    <xf numFmtId="0" fontId="2" fillId="9" borderId="17" xfId="0" applyFont="1" applyFill="1" applyBorder="1" applyAlignment="1">
      <alignment horizontal="center" vertical="center"/>
    </xf>
    <xf numFmtId="0" fontId="2" fillId="9" borderId="16" xfId="0" applyFont="1" applyFill="1" applyBorder="1" applyAlignment="1">
      <alignment horizontal="center" vertical="center"/>
    </xf>
    <xf numFmtId="167" fontId="2" fillId="9" borderId="57" xfId="62" applyFont="1" applyFill="1" applyBorder="1" applyAlignment="1">
      <alignment horizontal="center" vertical="center"/>
      <protection/>
    </xf>
    <xf numFmtId="167" fontId="2" fillId="9" borderId="58" xfId="62" applyFont="1" applyFill="1" applyBorder="1" applyAlignment="1">
      <alignment horizontal="center" vertical="center"/>
      <protection/>
    </xf>
    <xf numFmtId="167" fontId="2" fillId="9" borderId="67" xfId="62" applyFont="1" applyFill="1" applyBorder="1" applyAlignment="1">
      <alignment horizontal="center" vertical="center"/>
      <protection/>
    </xf>
    <xf numFmtId="0" fontId="5" fillId="9" borderId="37"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42" xfId="0" applyFont="1" applyFill="1" applyBorder="1" applyAlignment="1">
      <alignment horizontal="center" vertical="center" wrapText="1"/>
    </xf>
    <xf numFmtId="0" fontId="5" fillId="9" borderId="19" xfId="0" applyFont="1" applyFill="1" applyBorder="1" applyAlignment="1">
      <alignment horizontal="center" vertical="center" wrapText="1"/>
    </xf>
    <xf numFmtId="1" fontId="5" fillId="9" borderId="68" xfId="0" applyNumberFormat="1" applyFont="1" applyFill="1" applyBorder="1" applyAlignment="1">
      <alignment horizontal="center" vertical="center" wrapText="1"/>
    </xf>
    <xf numFmtId="1" fontId="5" fillId="9" borderId="49" xfId="0" applyNumberFormat="1" applyFont="1" applyFill="1" applyBorder="1" applyAlignment="1">
      <alignment horizontal="center" vertical="center" wrapText="1"/>
    </xf>
    <xf numFmtId="0" fontId="5" fillId="9" borderId="26" xfId="0" applyFont="1" applyFill="1" applyBorder="1" applyAlignment="1">
      <alignment horizontal="center" vertical="center" wrapText="1"/>
    </xf>
    <xf numFmtId="0" fontId="5" fillId="9" borderId="13" xfId="0" applyFont="1" applyFill="1" applyBorder="1" applyAlignment="1">
      <alignment horizontal="center" vertical="center" wrapText="1"/>
    </xf>
    <xf numFmtId="181" fontId="5" fillId="9" borderId="42" xfId="0" applyNumberFormat="1" applyFont="1" applyFill="1" applyBorder="1" applyAlignment="1">
      <alignment horizontal="center" vertical="center" wrapText="1"/>
    </xf>
    <xf numFmtId="181" fontId="7" fillId="9" borderId="19" xfId="0" applyNumberFormat="1" applyFont="1" applyFill="1" applyBorder="1" applyAlignment="1">
      <alignment horizontal="center" vertical="center" wrapText="1"/>
    </xf>
    <xf numFmtId="180" fontId="5" fillId="9" borderId="37" xfId="0" applyNumberFormat="1" applyFont="1" applyFill="1" applyBorder="1" applyAlignment="1">
      <alignment horizontal="center" vertical="center" wrapText="1"/>
    </xf>
    <xf numFmtId="180" fontId="5" fillId="9" borderId="12" xfId="0" applyNumberFormat="1" applyFont="1" applyFill="1" applyBorder="1" applyAlignment="1">
      <alignment horizontal="center" vertical="center" wrapText="1"/>
    </xf>
    <xf numFmtId="170" fontId="5" fillId="9" borderId="37" xfId="0" applyNumberFormat="1" applyFont="1" applyFill="1" applyBorder="1" applyAlignment="1">
      <alignment horizontal="center" vertical="center" wrapText="1"/>
    </xf>
    <xf numFmtId="170" fontId="5" fillId="9" borderId="12" xfId="0" applyNumberFormat="1" applyFont="1" applyFill="1" applyBorder="1" applyAlignment="1">
      <alignment horizontal="center" vertical="center" wrapText="1"/>
    </xf>
    <xf numFmtId="0" fontId="5" fillId="9" borderId="15" xfId="0" applyFont="1" applyFill="1" applyBorder="1" applyAlignment="1">
      <alignment horizontal="center" vertical="center"/>
    </xf>
    <xf numFmtId="0" fontId="5" fillId="9" borderId="17" xfId="0" applyFont="1" applyFill="1" applyBorder="1" applyAlignment="1">
      <alignment horizontal="center" vertical="center"/>
    </xf>
    <xf numFmtId="0" fontId="5" fillId="9" borderId="16" xfId="0" applyFont="1" applyFill="1" applyBorder="1" applyAlignment="1">
      <alignment horizontal="center" vertical="center"/>
    </xf>
    <xf numFmtId="167" fontId="5" fillId="9" borderId="57" xfId="60" applyFont="1" applyFill="1" applyBorder="1" applyAlignment="1">
      <alignment horizontal="center" vertical="center"/>
      <protection/>
    </xf>
    <xf numFmtId="167" fontId="5" fillId="9" borderId="58" xfId="60" applyFont="1" applyFill="1" applyBorder="1" applyAlignment="1">
      <alignment horizontal="center" vertical="center"/>
      <protection/>
    </xf>
    <xf numFmtId="167" fontId="5" fillId="9" borderId="67" xfId="60" applyFont="1" applyFill="1" applyBorder="1" applyAlignment="1">
      <alignment horizontal="center" vertical="center"/>
      <protection/>
    </xf>
    <xf numFmtId="170" fontId="5" fillId="9" borderId="42" xfId="0" applyNumberFormat="1" applyFont="1" applyFill="1" applyBorder="1" applyAlignment="1">
      <alignment horizontal="center" vertical="center" wrapText="1"/>
    </xf>
    <xf numFmtId="170" fontId="5" fillId="9" borderId="14" xfId="0" applyNumberFormat="1" applyFont="1" applyFill="1" applyBorder="1" applyAlignment="1">
      <alignment horizontal="center" vertical="center" wrapText="1"/>
    </xf>
    <xf numFmtId="170" fontId="5" fillId="9" borderId="19" xfId="0" applyNumberFormat="1" applyFont="1" applyFill="1" applyBorder="1" applyAlignment="1">
      <alignment horizontal="center" vertical="center" wrapText="1"/>
    </xf>
    <xf numFmtId="1" fontId="5" fillId="9" borderId="37" xfId="0" applyNumberFormat="1" applyFont="1" applyFill="1" applyBorder="1" applyAlignment="1">
      <alignment horizontal="center" vertical="center" wrapText="1"/>
    </xf>
    <xf numFmtId="1" fontId="5" fillId="9" borderId="12" xfId="0" applyNumberFormat="1" applyFont="1" applyFill="1" applyBorder="1" applyAlignment="1">
      <alignment horizontal="center" vertical="center" wrapText="1"/>
    </xf>
    <xf numFmtId="1" fontId="7" fillId="4" borderId="37" xfId="0" applyNumberFormat="1" applyFont="1" applyFill="1" applyBorder="1" applyAlignment="1">
      <alignment horizontal="center" vertical="center" wrapText="1"/>
    </xf>
    <xf numFmtId="1" fontId="7" fillId="4" borderId="24" xfId="0" applyNumberFormat="1" applyFont="1" applyFill="1" applyBorder="1" applyAlignment="1">
      <alignment horizontal="center" vertical="center" wrapText="1"/>
    </xf>
    <xf numFmtId="1" fontId="7" fillId="4" borderId="12" xfId="0" applyNumberFormat="1" applyFont="1" applyFill="1" applyBorder="1" applyAlignment="1">
      <alignment horizontal="center" vertical="center" wrapText="1"/>
    </xf>
    <xf numFmtId="0" fontId="4" fillId="4" borderId="37" xfId="0" applyFont="1" applyFill="1" applyBorder="1" applyAlignment="1">
      <alignment horizontal="justify" vertical="center" wrapText="1"/>
    </xf>
    <xf numFmtId="0" fontId="4" fillId="4" borderId="24" xfId="0" applyFont="1" applyFill="1" applyBorder="1" applyAlignment="1">
      <alignment horizontal="justify" vertical="center" wrapText="1"/>
    </xf>
    <xf numFmtId="0" fontId="4" fillId="4" borderId="12" xfId="0" applyFont="1" applyFill="1" applyBorder="1" applyAlignment="1">
      <alignment horizontal="justify" vertical="center" wrapText="1"/>
    </xf>
    <xf numFmtId="1" fontId="5" fillId="4" borderId="37" xfId="0" applyNumberFormat="1" applyFont="1" applyFill="1" applyBorder="1" applyAlignment="1">
      <alignment horizontal="center" vertical="center" wrapText="1"/>
    </xf>
    <xf numFmtId="1" fontId="5" fillId="4" borderId="24" xfId="0" applyNumberFormat="1" applyFont="1" applyFill="1" applyBorder="1" applyAlignment="1">
      <alignment horizontal="center" vertical="center" wrapText="1"/>
    </xf>
    <xf numFmtId="1" fontId="5" fillId="4" borderId="12" xfId="0" applyNumberFormat="1" applyFont="1" applyFill="1" applyBorder="1" applyAlignment="1">
      <alignment horizontal="center" vertical="center" wrapText="1"/>
    </xf>
    <xf numFmtId="3" fontId="4" fillId="4" borderId="37" xfId="0" applyNumberFormat="1" applyFont="1" applyFill="1" applyBorder="1" applyAlignment="1">
      <alignment horizontal="justify" vertical="center" wrapText="1"/>
    </xf>
    <xf numFmtId="3" fontId="4" fillId="4" borderId="24" xfId="0" applyNumberFormat="1" applyFont="1" applyFill="1" applyBorder="1" applyAlignment="1">
      <alignment horizontal="justify" vertical="center" wrapText="1"/>
    </xf>
    <xf numFmtId="3" fontId="4" fillId="4" borderId="12" xfId="0" applyNumberFormat="1" applyFont="1" applyFill="1" applyBorder="1" applyAlignment="1">
      <alignment horizontal="justify" vertical="center" wrapText="1"/>
    </xf>
    <xf numFmtId="1" fontId="4" fillId="4" borderId="37" xfId="0" applyNumberFormat="1" applyFont="1" applyFill="1" applyBorder="1" applyAlignment="1">
      <alignment horizontal="center" vertical="center" wrapText="1"/>
    </xf>
    <xf numFmtId="1" fontId="4" fillId="4" borderId="24" xfId="0" applyNumberFormat="1" applyFont="1" applyFill="1" applyBorder="1" applyAlignment="1">
      <alignment horizontal="center" vertical="center" wrapText="1"/>
    </xf>
    <xf numFmtId="1" fontId="4" fillId="4" borderId="12" xfId="0" applyNumberFormat="1" applyFont="1" applyFill="1" applyBorder="1" applyAlignment="1">
      <alignment horizontal="center" vertical="center" wrapText="1"/>
    </xf>
    <xf numFmtId="181" fontId="6" fillId="4" borderId="37" xfId="0" applyNumberFormat="1" applyFont="1" applyFill="1" applyBorder="1" applyAlignment="1">
      <alignment horizontal="center" vertical="center" wrapText="1"/>
    </xf>
    <xf numFmtId="181" fontId="6" fillId="4" borderId="24" xfId="0" applyNumberFormat="1" applyFont="1" applyFill="1" applyBorder="1" applyAlignment="1">
      <alignment horizontal="center" vertical="center" wrapText="1"/>
    </xf>
    <xf numFmtId="181" fontId="6" fillId="4" borderId="12" xfId="0" applyNumberFormat="1" applyFont="1" applyFill="1" applyBorder="1" applyAlignment="1">
      <alignment horizontal="center" vertical="center" wrapText="1"/>
    </xf>
    <xf numFmtId="181" fontId="4" fillId="4" borderId="37" xfId="0" applyNumberFormat="1" applyFont="1" applyFill="1" applyBorder="1" applyAlignment="1">
      <alignment horizontal="center" vertical="center" wrapText="1"/>
    </xf>
    <xf numFmtId="181" fontId="4" fillId="4" borderId="24" xfId="0" applyNumberFormat="1" applyFont="1" applyFill="1" applyBorder="1" applyAlignment="1">
      <alignment horizontal="center" vertical="center" wrapText="1"/>
    </xf>
    <xf numFmtId="181" fontId="4" fillId="4" borderId="12" xfId="0" applyNumberFormat="1" applyFont="1" applyFill="1" applyBorder="1" applyAlignment="1">
      <alignment horizontal="center" vertical="center" wrapText="1"/>
    </xf>
    <xf numFmtId="3" fontId="4" fillId="4" borderId="55" xfId="0" applyNumberFormat="1" applyFont="1" applyFill="1" applyBorder="1" applyAlignment="1">
      <alignment horizontal="justify" vertical="center" wrapText="1"/>
    </xf>
    <xf numFmtId="3" fontId="4" fillId="4" borderId="39" xfId="0" applyNumberFormat="1" applyFont="1" applyFill="1" applyBorder="1" applyAlignment="1">
      <alignment horizontal="justify" vertical="center" wrapText="1"/>
    </xf>
    <xf numFmtId="3" fontId="4" fillId="4" borderId="36" xfId="0" applyNumberFormat="1" applyFont="1" applyFill="1" applyBorder="1" applyAlignment="1">
      <alignment horizontal="justify" vertical="center" wrapText="1"/>
    </xf>
    <xf numFmtId="0" fontId="4" fillId="4" borderId="0" xfId="0" applyFont="1" applyFill="1" applyBorder="1" applyAlignment="1">
      <alignment horizontal="center" vertical="center" wrapText="1"/>
    </xf>
    <xf numFmtId="0" fontId="4" fillId="4" borderId="38" xfId="0" applyFont="1" applyFill="1" applyBorder="1" applyAlignment="1">
      <alignment horizontal="center" vertical="center" wrapText="1"/>
    </xf>
    <xf numFmtId="172" fontId="4" fillId="4" borderId="37" xfId="47" applyNumberFormat="1" applyFont="1" applyFill="1" applyBorder="1" applyAlignment="1">
      <alignment horizontal="center" vertical="center" wrapText="1"/>
    </xf>
    <xf numFmtId="172" fontId="4" fillId="4" borderId="24" xfId="47" applyNumberFormat="1" applyFont="1" applyFill="1" applyBorder="1" applyAlignment="1">
      <alignment horizontal="center" vertical="center" wrapText="1"/>
    </xf>
    <xf numFmtId="172" fontId="4" fillId="4" borderId="12" xfId="47" applyNumberFormat="1" applyFont="1" applyFill="1" applyBorder="1" applyAlignment="1">
      <alignment horizontal="center" vertical="center" wrapText="1"/>
    </xf>
    <xf numFmtId="9" fontId="5" fillId="4" borderId="37" xfId="66" applyFont="1" applyFill="1" applyBorder="1" applyAlignment="1">
      <alignment horizontal="center" vertical="center" wrapText="1"/>
    </xf>
    <xf numFmtId="9" fontId="5" fillId="4" borderId="24" xfId="66" applyFont="1" applyFill="1" applyBorder="1" applyAlignment="1">
      <alignment horizontal="center" vertical="center" wrapText="1"/>
    </xf>
    <xf numFmtId="9" fontId="5" fillId="4" borderId="12" xfId="66"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37" xfId="0" applyFont="1" applyFill="1" applyBorder="1" applyAlignment="1">
      <alignment horizontal="center" vertical="center"/>
    </xf>
    <xf numFmtId="0" fontId="4" fillId="4" borderId="2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4" xfId="0" applyFont="1" applyFill="1" applyBorder="1" applyAlignment="1">
      <alignment horizontal="center" vertical="center"/>
    </xf>
    <xf numFmtId="0" fontId="6" fillId="4" borderId="37"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4" fillId="4" borderId="37" xfId="0" applyNumberFormat="1" applyFont="1" applyFill="1" applyBorder="1" applyAlignment="1">
      <alignment horizontal="center" vertical="center"/>
    </xf>
    <xf numFmtId="1" fontId="4" fillId="4" borderId="24" xfId="0" applyNumberFormat="1" applyFont="1" applyFill="1" applyBorder="1" applyAlignment="1">
      <alignment horizontal="center" vertical="center"/>
    </xf>
    <xf numFmtId="1" fontId="6" fillId="4" borderId="37" xfId="0" applyNumberFormat="1" applyFont="1" applyFill="1" applyBorder="1" applyAlignment="1">
      <alignment horizontal="center" vertical="center" wrapText="1"/>
    </xf>
    <xf numFmtId="1" fontId="6" fillId="4" borderId="24" xfId="0" applyNumberFormat="1" applyFont="1" applyFill="1" applyBorder="1" applyAlignment="1">
      <alignment horizontal="center" vertical="center" wrapText="1"/>
    </xf>
    <xf numFmtId="9" fontId="4" fillId="4" borderId="37" xfId="66" applyFont="1" applyFill="1" applyBorder="1" applyAlignment="1">
      <alignment horizontal="center" vertical="center"/>
    </xf>
    <xf numFmtId="9" fontId="4" fillId="4" borderId="24" xfId="66" applyFont="1" applyFill="1" applyBorder="1" applyAlignment="1">
      <alignment horizontal="center" vertical="center"/>
    </xf>
    <xf numFmtId="170" fontId="4" fillId="4" borderId="37" xfId="0" applyNumberFormat="1" applyFont="1" applyFill="1" applyBorder="1" applyAlignment="1">
      <alignment horizontal="center" vertical="center"/>
    </xf>
    <xf numFmtId="170" fontId="4" fillId="4" borderId="24" xfId="0" applyNumberFormat="1" applyFont="1" applyFill="1" applyBorder="1" applyAlignment="1">
      <alignment horizontal="center" vertical="center"/>
    </xf>
    <xf numFmtId="1" fontId="4" fillId="4" borderId="37" xfId="0" applyNumberFormat="1" applyFont="1" applyFill="1" applyBorder="1" applyAlignment="1">
      <alignment horizontal="justify" vertical="center" wrapText="1"/>
    </xf>
    <xf numFmtId="1" fontId="4" fillId="4" borderId="24" xfId="0" applyNumberFormat="1" applyFont="1" applyFill="1" applyBorder="1" applyAlignment="1">
      <alignment horizontal="justify" vertical="center" wrapText="1"/>
    </xf>
    <xf numFmtId="0" fontId="4" fillId="4" borderId="12"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12" xfId="0" applyFont="1" applyFill="1" applyBorder="1" applyAlignment="1">
      <alignment horizontal="center" vertical="center"/>
    </xf>
    <xf numFmtId="0" fontId="4" fillId="4" borderId="55" xfId="0" applyFont="1" applyFill="1" applyBorder="1" applyAlignment="1">
      <alignment horizontal="justify" vertical="center" wrapText="1"/>
    </xf>
    <xf numFmtId="0" fontId="4" fillId="4" borderId="39" xfId="0" applyFont="1" applyFill="1" applyBorder="1" applyAlignment="1">
      <alignment horizontal="justify" vertical="center" wrapText="1"/>
    </xf>
    <xf numFmtId="1" fontId="6" fillId="4" borderId="37" xfId="0" applyNumberFormat="1" applyFont="1" applyFill="1" applyBorder="1" applyAlignment="1">
      <alignment horizontal="center" vertical="center"/>
    </xf>
    <xf numFmtId="1" fontId="6" fillId="4" borderId="24" xfId="0" applyNumberFormat="1" applyFont="1" applyFill="1" applyBorder="1" applyAlignment="1">
      <alignment horizontal="center" vertical="center"/>
    </xf>
    <xf numFmtId="1" fontId="6" fillId="4" borderId="12" xfId="0" applyNumberFormat="1" applyFont="1" applyFill="1" applyBorder="1" applyAlignment="1">
      <alignment horizontal="center" vertical="center"/>
    </xf>
    <xf numFmtId="180" fontId="4" fillId="4" borderId="37" xfId="0" applyNumberFormat="1" applyFont="1" applyFill="1" applyBorder="1" applyAlignment="1">
      <alignment horizontal="center" vertical="center"/>
    </xf>
    <xf numFmtId="180" fontId="4" fillId="4" borderId="24" xfId="0" applyNumberFormat="1" applyFont="1" applyFill="1" applyBorder="1" applyAlignment="1">
      <alignment horizontal="center" vertical="center"/>
    </xf>
    <xf numFmtId="180" fontId="4" fillId="4" borderId="12" xfId="0" applyNumberFormat="1" applyFont="1" applyFill="1" applyBorder="1" applyAlignment="1">
      <alignment horizontal="center" vertical="center"/>
    </xf>
    <xf numFmtId="181" fontId="4" fillId="4" borderId="37" xfId="0" applyNumberFormat="1" applyFont="1" applyFill="1" applyBorder="1" applyAlignment="1">
      <alignment horizontal="center" vertical="center"/>
    </xf>
    <xf numFmtId="181" fontId="4" fillId="4" borderId="24" xfId="0" applyNumberFormat="1" applyFont="1" applyFill="1" applyBorder="1" applyAlignment="1">
      <alignment horizontal="center" vertical="center"/>
    </xf>
    <xf numFmtId="181" fontId="6" fillId="4" borderId="37" xfId="0" applyNumberFormat="1" applyFont="1" applyFill="1" applyBorder="1" applyAlignment="1">
      <alignment horizontal="center" vertical="center"/>
    </xf>
    <xf numFmtId="181" fontId="6" fillId="4" borderId="24" xfId="0" applyNumberFormat="1" applyFont="1" applyFill="1" applyBorder="1" applyAlignment="1">
      <alignment horizontal="center" vertical="center"/>
    </xf>
    <xf numFmtId="170" fontId="4" fillId="4" borderId="12" xfId="0" applyNumberFormat="1" applyFont="1" applyFill="1" applyBorder="1" applyAlignment="1">
      <alignment horizontal="center" vertical="center"/>
    </xf>
    <xf numFmtId="0" fontId="4" fillId="4" borderId="16" xfId="0" applyFont="1" applyFill="1" applyBorder="1" applyAlignment="1">
      <alignment horizontal="center" vertical="center" wrapText="1"/>
    </xf>
    <xf numFmtId="167" fontId="4" fillId="4" borderId="37" xfId="0" applyNumberFormat="1" applyFont="1" applyFill="1" applyBorder="1" applyAlignment="1">
      <alignment horizontal="center" vertical="center"/>
    </xf>
    <xf numFmtId="167" fontId="4" fillId="4" borderId="24" xfId="0" applyNumberFormat="1" applyFont="1" applyFill="1" applyBorder="1" applyAlignment="1">
      <alignment horizontal="center" vertical="center"/>
    </xf>
    <xf numFmtId="167" fontId="4" fillId="4" borderId="12" xfId="0" applyNumberFormat="1" applyFont="1" applyFill="1" applyBorder="1" applyAlignment="1">
      <alignment horizontal="center" vertical="center"/>
    </xf>
    <xf numFmtId="1" fontId="6" fillId="4" borderId="37" xfId="66" applyNumberFormat="1" applyFont="1" applyFill="1" applyBorder="1" applyAlignment="1">
      <alignment horizontal="center" vertical="center"/>
    </xf>
    <xf numFmtId="1" fontId="6" fillId="4" borderId="24" xfId="66" applyNumberFormat="1" applyFont="1" applyFill="1" applyBorder="1" applyAlignment="1">
      <alignment horizontal="center" vertical="center"/>
    </xf>
    <xf numFmtId="1" fontId="6" fillId="4" borderId="12" xfId="66" applyNumberFormat="1" applyFont="1" applyFill="1" applyBorder="1" applyAlignment="1">
      <alignment horizontal="center" vertical="center"/>
    </xf>
    <xf numFmtId="172" fontId="4" fillId="4" borderId="37" xfId="47" applyNumberFormat="1" applyFont="1" applyFill="1" applyBorder="1" applyAlignment="1">
      <alignment horizontal="center" vertical="center"/>
    </xf>
    <xf numFmtId="172" fontId="4" fillId="4" borderId="24" xfId="47" applyNumberFormat="1" applyFont="1" applyFill="1" applyBorder="1" applyAlignment="1">
      <alignment horizontal="center" vertical="center"/>
    </xf>
    <xf numFmtId="172" fontId="4" fillId="4" borderId="12" xfId="47" applyNumberFormat="1" applyFont="1" applyFill="1" applyBorder="1" applyAlignment="1">
      <alignment horizontal="center" vertical="center"/>
    </xf>
    <xf numFmtId="9" fontId="4" fillId="4" borderId="12" xfId="66" applyFont="1" applyFill="1" applyBorder="1" applyAlignment="1">
      <alignment horizontal="center" vertical="center"/>
    </xf>
    <xf numFmtId="1" fontId="6" fillId="4" borderId="12" xfId="0" applyNumberFormat="1" applyFont="1" applyFill="1" applyBorder="1" applyAlignment="1">
      <alignment horizontal="center" vertical="center" wrapText="1"/>
    </xf>
    <xf numFmtId="14" fontId="4" fillId="4" borderId="37" xfId="0" applyNumberFormat="1" applyFont="1" applyFill="1" applyBorder="1" applyAlignment="1">
      <alignment horizontal="justify" vertical="center"/>
    </xf>
    <xf numFmtId="0" fontId="4" fillId="4" borderId="24" xfId="0" applyFont="1" applyFill="1" applyBorder="1" applyAlignment="1">
      <alignment horizontal="justify" vertical="center"/>
    </xf>
    <xf numFmtId="0" fontId="4" fillId="4" borderId="12" xfId="0" applyFont="1" applyFill="1" applyBorder="1" applyAlignment="1">
      <alignment horizontal="justify" vertical="center"/>
    </xf>
    <xf numFmtId="181" fontId="4" fillId="4" borderId="12" xfId="0" applyNumberFormat="1" applyFont="1" applyFill="1" applyBorder="1" applyAlignment="1">
      <alignment horizontal="center" vertical="center"/>
    </xf>
    <xf numFmtId="181" fontId="6" fillId="4" borderId="12" xfId="0" applyNumberFormat="1" applyFont="1" applyFill="1" applyBorder="1" applyAlignment="1">
      <alignment horizontal="center" vertical="center"/>
    </xf>
    <xf numFmtId="1" fontId="4" fillId="4" borderId="12" xfId="0" applyNumberFormat="1" applyFont="1" applyFill="1" applyBorder="1" applyAlignment="1">
      <alignment horizontal="center" vertical="center"/>
    </xf>
    <xf numFmtId="0" fontId="4" fillId="4" borderId="37" xfId="0" applyFont="1" applyFill="1" applyBorder="1" applyAlignment="1">
      <alignment horizontal="justify" vertical="center"/>
    </xf>
    <xf numFmtId="0" fontId="4" fillId="0" borderId="10" xfId="0" applyFont="1" applyFill="1" applyBorder="1" applyAlignment="1">
      <alignment horizontal="center" vertical="center"/>
    </xf>
    <xf numFmtId="0" fontId="4" fillId="0" borderId="10" xfId="0" applyFont="1" applyFill="1" applyBorder="1" applyAlignment="1">
      <alignment horizontal="justify" vertical="center"/>
    </xf>
    <xf numFmtId="180" fontId="4" fillId="0" borderId="37" xfId="0" applyNumberFormat="1" applyFont="1" applyFill="1" applyBorder="1" applyAlignment="1">
      <alignment horizontal="center" vertical="center"/>
    </xf>
    <xf numFmtId="180" fontId="4" fillId="0" borderId="24" xfId="0" applyNumberFormat="1" applyFont="1" applyFill="1" applyBorder="1" applyAlignment="1">
      <alignment horizontal="center" vertical="center"/>
    </xf>
    <xf numFmtId="180" fontId="4" fillId="0" borderId="12" xfId="0" applyNumberFormat="1" applyFont="1" applyFill="1" applyBorder="1" applyAlignment="1">
      <alignment horizontal="center" vertical="center"/>
    </xf>
    <xf numFmtId="170" fontId="4" fillId="0" borderId="37" xfId="0" applyNumberFormat="1" applyFont="1" applyFill="1" applyBorder="1" applyAlignment="1">
      <alignment horizontal="center" vertical="center"/>
    </xf>
    <xf numFmtId="170" fontId="4" fillId="0" borderId="24" xfId="0" applyNumberFormat="1" applyFont="1" applyFill="1" applyBorder="1" applyAlignment="1">
      <alignment horizontal="center" vertical="center"/>
    </xf>
    <xf numFmtId="170" fontId="4" fillId="0" borderId="12" xfId="0" applyNumberFormat="1" applyFont="1" applyFill="1" applyBorder="1" applyAlignment="1">
      <alignment horizontal="center" vertical="center"/>
    </xf>
    <xf numFmtId="1" fontId="4" fillId="0" borderId="37" xfId="0" applyNumberFormat="1" applyFont="1" applyFill="1" applyBorder="1" applyAlignment="1">
      <alignment horizontal="center" vertical="center" wrapText="1"/>
    </xf>
    <xf numFmtId="1" fontId="4" fillId="0" borderId="24"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1" fontId="6" fillId="0" borderId="37" xfId="0" applyNumberFormat="1" applyFont="1" applyFill="1" applyBorder="1" applyAlignment="1">
      <alignment horizontal="center" vertical="center" wrapText="1"/>
    </xf>
    <xf numFmtId="1" fontId="6" fillId="0" borderId="24"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xf>
    <xf numFmtId="180" fontId="6" fillId="0" borderId="37" xfId="66" applyNumberFormat="1" applyFont="1" applyFill="1" applyBorder="1" applyAlignment="1">
      <alignment horizontal="center" vertical="center"/>
    </xf>
    <xf numFmtId="180" fontId="6" fillId="0" borderId="24" xfId="66" applyNumberFormat="1" applyFont="1" applyFill="1" applyBorder="1" applyAlignment="1">
      <alignment horizontal="center" vertical="center"/>
    </xf>
    <xf numFmtId="180" fontId="6" fillId="0" borderId="12" xfId="66" applyNumberFormat="1" applyFont="1" applyFill="1" applyBorder="1" applyAlignment="1">
      <alignment horizontal="center" vertical="center"/>
    </xf>
    <xf numFmtId="1" fontId="4" fillId="0" borderId="10" xfId="0" applyNumberFormat="1" applyFont="1" applyFill="1" applyBorder="1" applyAlignment="1">
      <alignment horizontal="center" vertical="center" wrapText="1"/>
    </xf>
    <xf numFmtId="1" fontId="6" fillId="0" borderId="24" xfId="0" applyNumberFormat="1" applyFont="1" applyFill="1" applyBorder="1" applyAlignment="1">
      <alignment horizontal="center" vertical="center"/>
    </xf>
    <xf numFmtId="1" fontId="6" fillId="0" borderId="12" xfId="0" applyNumberFormat="1" applyFont="1" applyFill="1" applyBorder="1" applyAlignment="1">
      <alignment horizontal="center" vertical="center"/>
    </xf>
    <xf numFmtId="1" fontId="4" fillId="0" borderId="37" xfId="0" applyNumberFormat="1" applyFont="1" applyFill="1" applyBorder="1" applyAlignment="1">
      <alignment horizontal="center" vertical="center"/>
    </xf>
    <xf numFmtId="1" fontId="4" fillId="0" borderId="24" xfId="0" applyNumberFormat="1" applyFont="1" applyFill="1" applyBorder="1" applyAlignment="1">
      <alignment horizontal="center" vertical="center"/>
    </xf>
    <xf numFmtId="1" fontId="4" fillId="0" borderId="12" xfId="0" applyNumberFormat="1" applyFont="1" applyFill="1" applyBorder="1" applyAlignment="1">
      <alignment horizontal="center" vertical="center"/>
    </xf>
    <xf numFmtId="0" fontId="4" fillId="0" borderId="37" xfId="0" applyFont="1" applyFill="1" applyBorder="1" applyAlignment="1">
      <alignment horizontal="justify" vertical="center"/>
    </xf>
    <xf numFmtId="0" fontId="4" fillId="0" borderId="24" xfId="0" applyFont="1" applyFill="1" applyBorder="1" applyAlignment="1">
      <alignment horizontal="justify" vertical="center"/>
    </xf>
    <xf numFmtId="0" fontId="4" fillId="0" borderId="12" xfId="0" applyFont="1" applyFill="1" applyBorder="1" applyAlignment="1">
      <alignment horizontal="justify" vertical="center"/>
    </xf>
    <xf numFmtId="1" fontId="6" fillId="0" borderId="37" xfId="0" applyNumberFormat="1" applyFont="1" applyFill="1" applyBorder="1" applyAlignment="1">
      <alignment horizontal="center" vertical="center"/>
    </xf>
    <xf numFmtId="180" fontId="4" fillId="0" borderId="10" xfId="0" applyNumberFormat="1" applyFont="1" applyFill="1" applyBorder="1" applyAlignment="1">
      <alignment horizontal="center" vertical="center"/>
    </xf>
    <xf numFmtId="181" fontId="4" fillId="0" borderId="37" xfId="0" applyNumberFormat="1" applyFont="1" applyFill="1" applyBorder="1" applyAlignment="1">
      <alignment horizontal="center" vertical="center"/>
    </xf>
    <xf numFmtId="181" fontId="4" fillId="0" borderId="24" xfId="0" applyNumberFormat="1" applyFont="1" applyFill="1" applyBorder="1" applyAlignment="1">
      <alignment horizontal="center" vertical="center"/>
    </xf>
    <xf numFmtId="181" fontId="4" fillId="0" borderId="12" xfId="0" applyNumberFormat="1" applyFont="1" applyFill="1" applyBorder="1" applyAlignment="1">
      <alignment horizontal="center" vertical="center"/>
    </xf>
    <xf numFmtId="181" fontId="6" fillId="0" borderId="37" xfId="0" applyNumberFormat="1" applyFont="1" applyFill="1" applyBorder="1" applyAlignment="1">
      <alignment horizontal="center" vertical="center"/>
    </xf>
    <xf numFmtId="181" fontId="6" fillId="0" borderId="24" xfId="0" applyNumberFormat="1" applyFont="1" applyFill="1" applyBorder="1" applyAlignment="1">
      <alignment horizontal="center" vertical="center"/>
    </xf>
    <xf numFmtId="181" fontId="6" fillId="0" borderId="12" xfId="0" applyNumberFormat="1" applyFont="1" applyFill="1" applyBorder="1" applyAlignment="1">
      <alignment horizontal="center" vertical="center"/>
    </xf>
    <xf numFmtId="172" fontId="4" fillId="0" borderId="37" xfId="47" applyNumberFormat="1" applyFont="1" applyFill="1" applyBorder="1" applyAlignment="1">
      <alignment horizontal="center" vertical="center" wrapText="1"/>
    </xf>
    <xf numFmtId="172" fontId="4" fillId="0" borderId="24" xfId="47" applyNumberFormat="1" applyFont="1" applyFill="1" applyBorder="1" applyAlignment="1">
      <alignment horizontal="center" vertical="center" wrapText="1"/>
    </xf>
    <xf numFmtId="172" fontId="4" fillId="0" borderId="12" xfId="47" applyNumberFormat="1"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0" xfId="0" applyFont="1" applyFill="1" applyBorder="1" applyAlignment="1">
      <alignment horizontal="justify" vertical="center"/>
    </xf>
    <xf numFmtId="1" fontId="4" fillId="4" borderId="37" xfId="0" applyNumberFormat="1" applyFont="1" applyFill="1" applyBorder="1" applyAlignment="1">
      <alignment horizontal="center"/>
    </xf>
    <xf numFmtId="1" fontId="4" fillId="4" borderId="24" xfId="0" applyNumberFormat="1" applyFont="1" applyFill="1" applyBorder="1" applyAlignment="1">
      <alignment horizontal="center"/>
    </xf>
    <xf numFmtId="166" fontId="4" fillId="4" borderId="37" xfId="47" applyFont="1" applyFill="1" applyBorder="1" applyAlignment="1">
      <alignment horizontal="center" wrapText="1"/>
    </xf>
    <xf numFmtId="166" fontId="4" fillId="4" borderId="24" xfId="47" applyFont="1" applyFill="1" applyBorder="1" applyAlignment="1">
      <alignment horizontal="center" wrapText="1"/>
    </xf>
    <xf numFmtId="1" fontId="4" fillId="4" borderId="10" xfId="0" applyNumberFormat="1" applyFont="1" applyFill="1" applyBorder="1" applyAlignment="1">
      <alignment horizontal="center" vertical="center" wrapText="1"/>
    </xf>
    <xf numFmtId="1" fontId="4" fillId="4" borderId="10" xfId="0" applyNumberFormat="1" applyFont="1" applyFill="1" applyBorder="1" applyAlignment="1">
      <alignment horizontal="center" vertical="center"/>
    </xf>
    <xf numFmtId="166" fontId="4" fillId="4" borderId="24" xfId="47" applyFont="1" applyFill="1" applyBorder="1" applyAlignment="1">
      <alignment horizontal="center" vertical="top" wrapText="1"/>
    </xf>
    <xf numFmtId="166" fontId="4" fillId="4" borderId="12" xfId="47" applyFont="1" applyFill="1" applyBorder="1" applyAlignment="1">
      <alignment horizontal="center" vertical="top" wrapText="1"/>
    </xf>
    <xf numFmtId="1" fontId="4" fillId="4" borderId="37" xfId="0" applyNumberFormat="1" applyFont="1" applyFill="1" applyBorder="1" applyAlignment="1">
      <alignment horizontal="center" vertical="center" textRotation="91" wrapText="1"/>
    </xf>
    <xf numFmtId="1" fontId="4" fillId="4" borderId="24" xfId="0" applyNumberFormat="1" applyFont="1" applyFill="1" applyBorder="1" applyAlignment="1">
      <alignment horizontal="center" vertical="center" textRotation="91" wrapText="1"/>
    </xf>
    <xf numFmtId="1" fontId="4" fillId="4" borderId="12" xfId="0" applyNumberFormat="1" applyFont="1" applyFill="1" applyBorder="1" applyAlignment="1">
      <alignment horizontal="center" vertical="center" textRotation="91" wrapText="1"/>
    </xf>
    <xf numFmtId="3" fontId="4" fillId="4" borderId="37" xfId="47" applyNumberFormat="1" applyFont="1" applyFill="1" applyBorder="1" applyAlignment="1">
      <alignment horizontal="center" vertical="center" wrapText="1"/>
    </xf>
    <xf numFmtId="3" fontId="4" fillId="4" borderId="24" xfId="47" applyNumberFormat="1" applyFont="1" applyFill="1" applyBorder="1" applyAlignment="1">
      <alignment horizontal="center" vertical="center" wrapText="1"/>
    </xf>
    <xf numFmtId="3" fontId="4" fillId="4" borderId="12" xfId="47" applyNumberFormat="1" applyFont="1" applyFill="1" applyBorder="1" applyAlignment="1">
      <alignment horizontal="center" vertical="center" wrapText="1"/>
    </xf>
    <xf numFmtId="0" fontId="4" fillId="4" borderId="37" xfId="0" applyFont="1" applyFill="1" applyBorder="1" applyAlignment="1">
      <alignment horizontal="center"/>
    </xf>
    <xf numFmtId="0" fontId="4" fillId="4" borderId="12" xfId="0" applyFont="1" applyFill="1" applyBorder="1" applyAlignment="1">
      <alignment horizontal="center"/>
    </xf>
    <xf numFmtId="0" fontId="6" fillId="4" borderId="37" xfId="0" applyFont="1" applyFill="1" applyBorder="1" applyAlignment="1">
      <alignment horizontal="center"/>
    </xf>
    <xf numFmtId="0" fontId="6" fillId="4" borderId="12" xfId="0" applyFont="1" applyFill="1" applyBorder="1" applyAlignment="1">
      <alignment horizontal="center"/>
    </xf>
    <xf numFmtId="1" fontId="4" fillId="4" borderId="37" xfId="0" applyNumberFormat="1" applyFont="1" applyFill="1" applyBorder="1" applyAlignment="1">
      <alignment horizontal="center" vertical="center" textRotation="180" wrapText="1"/>
    </xf>
    <xf numFmtId="1" fontId="4" fillId="4" borderId="12" xfId="0" applyNumberFormat="1" applyFont="1" applyFill="1" applyBorder="1" applyAlignment="1">
      <alignment horizontal="center" vertical="center" textRotation="180" wrapText="1"/>
    </xf>
    <xf numFmtId="1" fontId="6" fillId="4" borderId="37" xfId="0" applyNumberFormat="1" applyFont="1" applyFill="1" applyBorder="1" applyAlignment="1">
      <alignment horizontal="center" vertical="center" textRotation="180" wrapText="1"/>
    </xf>
    <xf numFmtId="1" fontId="6" fillId="4" borderId="12" xfId="0" applyNumberFormat="1" applyFont="1" applyFill="1" applyBorder="1" applyAlignment="1">
      <alignment horizontal="center" vertical="center" textRotation="180" wrapText="1"/>
    </xf>
    <xf numFmtId="180" fontId="4" fillId="4" borderId="10" xfId="0" applyNumberFormat="1" applyFont="1" applyFill="1" applyBorder="1" applyAlignment="1">
      <alignment horizontal="center" vertical="center"/>
    </xf>
    <xf numFmtId="14" fontId="4" fillId="4" borderId="37" xfId="0" applyNumberFormat="1" applyFont="1" applyFill="1" applyBorder="1" applyAlignment="1">
      <alignment horizontal="center" vertical="center"/>
    </xf>
    <xf numFmtId="14" fontId="4" fillId="4" borderId="12" xfId="0" applyNumberFormat="1" applyFont="1" applyFill="1" applyBorder="1" applyAlignment="1">
      <alignment horizontal="center" vertical="center"/>
    </xf>
    <xf numFmtId="14" fontId="6" fillId="4" borderId="37" xfId="0" applyNumberFormat="1" applyFont="1" applyFill="1" applyBorder="1" applyAlignment="1">
      <alignment horizontal="center" vertical="center"/>
    </xf>
    <xf numFmtId="14" fontId="6" fillId="4" borderId="12" xfId="0" applyNumberFormat="1" applyFont="1" applyFill="1" applyBorder="1" applyAlignment="1">
      <alignment horizontal="center" vertical="center"/>
    </xf>
    <xf numFmtId="1" fontId="4" fillId="4" borderId="24" xfId="0" applyNumberFormat="1" applyFont="1" applyFill="1" applyBorder="1" applyAlignment="1">
      <alignment horizontal="center" vertical="center" textRotation="180" wrapText="1"/>
    </xf>
    <xf numFmtId="1" fontId="6" fillId="4" borderId="24" xfId="0" applyNumberFormat="1" applyFont="1" applyFill="1" applyBorder="1" applyAlignment="1">
      <alignment horizontal="center" vertical="center" textRotation="180" wrapTex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1" fontId="4" fillId="0" borderId="19"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 fontId="2" fillId="0" borderId="37" xfId="48" applyNumberFormat="1" applyFont="1" applyFill="1" applyBorder="1" applyAlignment="1">
      <alignment horizontal="center" vertical="center" textRotation="180" wrapText="1"/>
    </xf>
    <xf numFmtId="1" fontId="2" fillId="0" borderId="24" xfId="48" applyNumberFormat="1" applyFont="1" applyFill="1" applyBorder="1" applyAlignment="1">
      <alignment horizontal="center" vertical="center" textRotation="180" wrapText="1"/>
    </xf>
    <xf numFmtId="1" fontId="2" fillId="0" borderId="12" xfId="48" applyNumberFormat="1" applyFont="1" applyFill="1" applyBorder="1" applyAlignment="1">
      <alignment horizontal="center" vertical="center" textRotation="180" wrapText="1"/>
    </xf>
    <xf numFmtId="1" fontId="7" fillId="0" borderId="37" xfId="48" applyNumberFormat="1" applyFont="1" applyFill="1" applyBorder="1" applyAlignment="1">
      <alignment horizontal="center" vertical="center" textRotation="180" wrapText="1"/>
    </xf>
    <xf numFmtId="1" fontId="7" fillId="0" borderId="24" xfId="48" applyNumberFormat="1" applyFont="1" applyFill="1" applyBorder="1" applyAlignment="1">
      <alignment horizontal="center" vertical="center" textRotation="180" wrapText="1"/>
    </xf>
    <xf numFmtId="1" fontId="7" fillId="0" borderId="12" xfId="48" applyNumberFormat="1" applyFont="1" applyFill="1" applyBorder="1" applyAlignment="1">
      <alignment horizontal="center" vertical="center" textRotation="180" wrapText="1"/>
    </xf>
    <xf numFmtId="1" fontId="7" fillId="0" borderId="35" xfId="48" applyNumberFormat="1" applyFont="1" applyFill="1" applyBorder="1" applyAlignment="1">
      <alignment horizontal="center" vertical="center" textRotation="180" wrapText="1"/>
    </xf>
    <xf numFmtId="165" fontId="2" fillId="0" borderId="37" xfId="48" applyFont="1" applyFill="1" applyBorder="1" applyAlignment="1">
      <alignment horizontal="center" vertical="center" textRotation="180" wrapText="1"/>
    </xf>
    <xf numFmtId="165" fontId="2" fillId="0" borderId="24" xfId="48" applyFont="1" applyFill="1" applyBorder="1" applyAlignment="1">
      <alignment horizontal="center" vertical="center" textRotation="180" wrapText="1"/>
    </xf>
    <xf numFmtId="165" fontId="2" fillId="0" borderId="12" xfId="48" applyFont="1" applyFill="1" applyBorder="1" applyAlignment="1">
      <alignment horizontal="center" vertical="center" textRotation="180" wrapText="1"/>
    </xf>
    <xf numFmtId="165" fontId="7" fillId="0" borderId="37" xfId="48" applyFont="1" applyFill="1" applyBorder="1" applyAlignment="1">
      <alignment horizontal="center" vertical="center" textRotation="180" wrapText="1"/>
    </xf>
    <xf numFmtId="165" fontId="7" fillId="0" borderId="24" xfId="48" applyFont="1" applyFill="1" applyBorder="1" applyAlignment="1">
      <alignment horizontal="center" vertical="center" textRotation="180" wrapText="1"/>
    </xf>
    <xf numFmtId="165" fontId="7" fillId="0" borderId="12" xfId="48" applyFont="1" applyFill="1" applyBorder="1" applyAlignment="1">
      <alignment horizontal="center" vertical="center" textRotation="180" wrapText="1"/>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4" borderId="0" xfId="0" applyFont="1" applyFill="1" applyAlignment="1">
      <alignment horizontal="center"/>
    </xf>
    <xf numFmtId="0" fontId="1" fillId="4" borderId="0" xfId="0" applyFont="1" applyFill="1" applyAlignment="1">
      <alignment horizontal="center"/>
    </xf>
    <xf numFmtId="177" fontId="1" fillId="0" borderId="0" xfId="0" applyNumberFormat="1" applyFont="1" applyFill="1" applyAlignment="1">
      <alignment horizontal="center" vertical="center"/>
    </xf>
    <xf numFmtId="9" fontId="1" fillId="0" borderId="24" xfId="66" applyFont="1" applyFill="1" applyBorder="1" applyAlignment="1">
      <alignment horizontal="center" vertical="center" wrapText="1"/>
    </xf>
    <xf numFmtId="9" fontId="1" fillId="0" borderId="12" xfId="66"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178" fontId="1" fillId="0" borderId="37" xfId="0" applyNumberFormat="1" applyFont="1" applyFill="1" applyBorder="1" applyAlignment="1">
      <alignment horizontal="center" vertical="center" wrapText="1"/>
    </xf>
    <xf numFmtId="178" fontId="1" fillId="0" borderId="24" xfId="0" applyNumberFormat="1" applyFont="1" applyFill="1" applyBorder="1" applyAlignment="1">
      <alignment horizontal="center" vertical="center" wrapText="1"/>
    </xf>
    <xf numFmtId="178" fontId="1" fillId="0" borderId="12" xfId="0" applyNumberFormat="1" applyFont="1" applyFill="1" applyBorder="1" applyAlignment="1">
      <alignment horizontal="center" vertical="center" wrapText="1"/>
    </xf>
    <xf numFmtId="170" fontId="1" fillId="0" borderId="10" xfId="0" applyNumberFormat="1" applyFont="1" applyFill="1" applyBorder="1" applyAlignment="1">
      <alignment horizontal="justify" vertical="center" wrapText="1"/>
    </xf>
    <xf numFmtId="1" fontId="2" fillId="0" borderId="35" xfId="48" applyNumberFormat="1" applyFont="1" applyFill="1" applyBorder="1" applyAlignment="1">
      <alignment horizontal="center" vertical="center" textRotation="180" wrapText="1"/>
    </xf>
    <xf numFmtId="0" fontId="10" fillId="9" borderId="37"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1" fillId="0" borderId="14" xfId="0" applyFont="1" applyBorder="1" applyAlignment="1">
      <alignment horizontal="center"/>
    </xf>
    <xf numFmtId="0" fontId="1" fillId="0" borderId="0" xfId="0" applyFont="1" applyBorder="1" applyAlignment="1">
      <alignment horizontal="center"/>
    </xf>
    <xf numFmtId="0" fontId="1" fillId="0" borderId="34" xfId="0" applyFont="1" applyBorder="1" applyAlignment="1">
      <alignment horizontal="center"/>
    </xf>
    <xf numFmtId="0" fontId="2" fillId="0" borderId="1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0" fontId="1" fillId="0" borderId="24"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2" fillId="9" borderId="15"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10" fillId="9" borderId="10" xfId="0" applyFont="1" applyFill="1" applyBorder="1" applyAlignment="1">
      <alignment horizontal="center" vertical="center" wrapText="1"/>
    </xf>
    <xf numFmtId="3" fontId="10" fillId="9" borderId="10" xfId="0" applyNumberFormat="1" applyFont="1" applyFill="1" applyBorder="1" applyAlignment="1">
      <alignment horizontal="center" vertical="center" wrapText="1"/>
    </xf>
    <xf numFmtId="9" fontId="10" fillId="9" borderId="10" xfId="67" applyFont="1" applyFill="1" applyBorder="1" applyAlignment="1">
      <alignment horizontal="center" vertical="center" wrapText="1"/>
    </xf>
    <xf numFmtId="9" fontId="10" fillId="9" borderId="37" xfId="67" applyFont="1" applyFill="1" applyBorder="1" applyAlignment="1">
      <alignment horizontal="center" vertical="center" wrapText="1"/>
    </xf>
    <xf numFmtId="177" fontId="2" fillId="9" borderId="42" xfId="0" applyNumberFormat="1" applyFont="1" applyFill="1" applyBorder="1" applyAlignment="1">
      <alignment horizontal="center" vertical="center" wrapText="1"/>
    </xf>
    <xf numFmtId="177" fontId="2" fillId="9" borderId="14" xfId="0" applyNumberFormat="1" applyFont="1" applyFill="1" applyBorder="1" applyAlignment="1">
      <alignment horizontal="center" vertical="center" wrapText="1"/>
    </xf>
    <xf numFmtId="177" fontId="2" fillId="9" borderId="19" xfId="0" applyNumberFormat="1" applyFont="1" applyFill="1" applyBorder="1" applyAlignment="1">
      <alignment horizontal="center" vertical="center" wrapText="1"/>
    </xf>
    <xf numFmtId="177" fontId="2" fillId="9" borderId="26" xfId="0" applyNumberFormat="1" applyFont="1" applyFill="1" applyBorder="1" applyAlignment="1">
      <alignment horizontal="center" vertical="center" wrapText="1"/>
    </xf>
    <xf numFmtId="177" fontId="2" fillId="9" borderId="34" xfId="0" applyNumberFormat="1" applyFont="1" applyFill="1" applyBorder="1" applyAlignment="1">
      <alignment horizontal="center" vertical="center" wrapText="1"/>
    </xf>
    <xf numFmtId="177" fontId="2" fillId="9" borderId="13" xfId="0" applyNumberFormat="1" applyFont="1" applyFill="1" applyBorder="1" applyAlignment="1">
      <alignment horizontal="center" vertical="center" wrapText="1"/>
    </xf>
    <xf numFmtId="177" fontId="2" fillId="9" borderId="37" xfId="0" applyNumberFormat="1" applyFont="1" applyFill="1" applyBorder="1" applyAlignment="1">
      <alignment vertical="center" wrapText="1"/>
    </xf>
    <xf numFmtId="177" fontId="2" fillId="9" borderId="24" xfId="0" applyNumberFormat="1" applyFont="1" applyFill="1" applyBorder="1" applyAlignment="1">
      <alignment vertical="center" wrapText="1"/>
    </xf>
    <xf numFmtId="177" fontId="2" fillId="9" borderId="12" xfId="0" applyNumberFormat="1" applyFont="1" applyFill="1" applyBorder="1" applyAlignment="1">
      <alignment vertical="center" wrapText="1"/>
    </xf>
    <xf numFmtId="3" fontId="2" fillId="9" borderId="37" xfId="0" applyNumberFormat="1" applyFont="1" applyFill="1" applyBorder="1" applyAlignment="1">
      <alignment horizontal="center" vertical="center" wrapText="1"/>
    </xf>
    <xf numFmtId="3" fontId="2" fillId="9" borderId="24" xfId="0" applyNumberFormat="1" applyFont="1" applyFill="1" applyBorder="1" applyAlignment="1">
      <alignment horizontal="center" vertical="center" wrapText="1"/>
    </xf>
    <xf numFmtId="3" fontId="2" fillId="9" borderId="12" xfId="0" applyNumberFormat="1" applyFont="1" applyFill="1" applyBorder="1" applyAlignment="1">
      <alignment horizontal="center" vertical="center" wrapText="1"/>
    </xf>
    <xf numFmtId="49" fontId="2" fillId="9" borderId="15" xfId="0" applyNumberFormat="1" applyFont="1" applyFill="1" applyBorder="1" applyAlignment="1">
      <alignment horizontal="center" vertical="center" wrapText="1"/>
    </xf>
    <xf numFmtId="49" fontId="2" fillId="9" borderId="16" xfId="0" applyNumberFormat="1" applyFont="1" applyFill="1" applyBorder="1" applyAlignment="1">
      <alignment horizontal="center" vertical="center" wrapText="1"/>
    </xf>
    <xf numFmtId="167" fontId="2" fillId="9" borderId="57" xfId="60" applyFont="1" applyFill="1" applyBorder="1" applyAlignment="1">
      <alignment horizontal="center" vertical="center"/>
      <protection/>
    </xf>
    <xf numFmtId="167" fontId="2" fillId="9" borderId="58" xfId="60" applyFont="1" applyFill="1" applyBorder="1" applyAlignment="1">
      <alignment horizontal="center" vertical="center"/>
      <protection/>
    </xf>
    <xf numFmtId="167" fontId="2" fillId="9" borderId="67" xfId="60" applyFont="1" applyFill="1" applyBorder="1" applyAlignment="1">
      <alignment horizontal="center" vertical="center"/>
      <protection/>
    </xf>
    <xf numFmtId="169" fontId="2" fillId="9" borderId="10" xfId="0" applyNumberFormat="1" applyFont="1" applyFill="1" applyBorder="1" applyAlignment="1">
      <alignment horizontal="center" vertical="center" wrapText="1"/>
    </xf>
    <xf numFmtId="0" fontId="2" fillId="0" borderId="42"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4" borderId="68"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xf>
    <xf numFmtId="169" fontId="2" fillId="4" borderId="42" xfId="0" applyNumberFormat="1" applyFont="1" applyFill="1" applyBorder="1" applyAlignment="1">
      <alignment horizontal="center" vertical="center" wrapText="1"/>
    </xf>
    <xf numFmtId="169" fontId="2" fillId="4" borderId="19" xfId="0" applyNumberFormat="1" applyFont="1" applyFill="1" applyBorder="1" applyAlignment="1">
      <alignment horizontal="center" vertical="center" wrapText="1"/>
    </xf>
    <xf numFmtId="169" fontId="2" fillId="4" borderId="26" xfId="0" applyNumberFormat="1" applyFont="1" applyFill="1" applyBorder="1" applyAlignment="1">
      <alignment horizontal="center" vertical="center" wrapText="1"/>
    </xf>
    <xf numFmtId="169" fontId="2" fillId="4" borderId="13" xfId="0" applyNumberFormat="1" applyFont="1" applyFill="1" applyBorder="1" applyAlignment="1">
      <alignment horizontal="center" vertical="center" wrapText="1"/>
    </xf>
    <xf numFmtId="3" fontId="2" fillId="4" borderId="27" xfId="0" applyNumberFormat="1" applyFont="1" applyFill="1" applyBorder="1" applyAlignment="1">
      <alignment horizontal="center" vertical="center" wrapText="1"/>
    </xf>
    <xf numFmtId="0" fontId="2" fillId="4" borderId="10" xfId="0" applyFont="1" applyFill="1" applyBorder="1" applyAlignment="1">
      <alignment horizontal="center" vertical="center" wrapText="1"/>
    </xf>
    <xf numFmtId="49" fontId="2" fillId="4" borderId="10" xfId="0" applyNumberFormat="1"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42" xfId="0" applyFont="1" applyFill="1" applyBorder="1" applyAlignment="1">
      <alignment horizontal="justify" vertical="center" wrapText="1"/>
    </xf>
    <xf numFmtId="0" fontId="1" fillId="4" borderId="19" xfId="0" applyFont="1" applyFill="1" applyBorder="1" applyAlignment="1">
      <alignment horizontal="justify" vertical="center" wrapText="1"/>
    </xf>
    <xf numFmtId="0" fontId="1" fillId="4" borderId="25" xfId="0" applyFont="1" applyFill="1" applyBorder="1" applyAlignment="1">
      <alignment horizontal="justify" vertical="center" wrapText="1"/>
    </xf>
    <xf numFmtId="0" fontId="1" fillId="4" borderId="38" xfId="0" applyFont="1" applyFill="1" applyBorder="1" applyAlignment="1">
      <alignment horizontal="justify" vertical="center" wrapText="1"/>
    </xf>
    <xf numFmtId="0" fontId="1" fillId="4" borderId="26" xfId="0" applyFont="1" applyFill="1" applyBorder="1" applyAlignment="1">
      <alignment horizontal="justify" vertical="center" wrapText="1"/>
    </xf>
    <xf numFmtId="0" fontId="1" fillId="4" borderId="13" xfId="0" applyFont="1" applyFill="1" applyBorder="1" applyAlignment="1">
      <alignment horizontal="justify" vertical="center" wrapText="1"/>
    </xf>
    <xf numFmtId="0" fontId="1" fillId="4" borderId="37" xfId="0" applyFont="1" applyFill="1" applyBorder="1" applyAlignment="1">
      <alignment horizontal="justify" vertical="center" wrapText="1"/>
    </xf>
    <xf numFmtId="0" fontId="1" fillId="4" borderId="24" xfId="0" applyFont="1" applyFill="1" applyBorder="1" applyAlignment="1">
      <alignment horizontal="justify" vertical="center" wrapText="1"/>
    </xf>
    <xf numFmtId="0" fontId="1" fillId="4" borderId="12" xfId="0" applyFont="1" applyFill="1" applyBorder="1" applyAlignment="1">
      <alignment horizontal="justify" vertical="center" wrapText="1"/>
    </xf>
    <xf numFmtId="0" fontId="2" fillId="4" borderId="15"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6" xfId="0" applyFont="1" applyFill="1" applyBorder="1" applyAlignment="1">
      <alignment horizontal="center" vertical="center"/>
    </xf>
    <xf numFmtId="0" fontId="1" fillId="4" borderId="37" xfId="0" applyFont="1" applyFill="1" applyBorder="1" applyAlignment="1">
      <alignment horizontal="left" vertical="center" textRotation="180" wrapText="1"/>
    </xf>
    <xf numFmtId="0" fontId="1" fillId="4" borderId="24" xfId="0" applyFont="1" applyFill="1" applyBorder="1" applyAlignment="1">
      <alignment horizontal="left" vertical="center" textRotation="180" wrapText="1"/>
    </xf>
    <xf numFmtId="0" fontId="1" fillId="4" borderId="12" xfId="0" applyFont="1" applyFill="1" applyBorder="1" applyAlignment="1">
      <alignment horizontal="left" vertical="center" textRotation="180" wrapText="1"/>
    </xf>
    <xf numFmtId="0" fontId="6" fillId="4" borderId="37" xfId="0" applyFont="1" applyFill="1" applyBorder="1" applyAlignment="1">
      <alignment horizontal="left" vertical="center" textRotation="180" wrapText="1"/>
    </xf>
    <xf numFmtId="0" fontId="6" fillId="4" borderId="24" xfId="0" applyFont="1" applyFill="1" applyBorder="1" applyAlignment="1">
      <alignment horizontal="left" vertical="center" textRotation="180" wrapText="1"/>
    </xf>
    <xf numFmtId="0" fontId="6" fillId="4" borderId="12" xfId="0" applyFont="1" applyFill="1" applyBorder="1" applyAlignment="1">
      <alignment horizontal="left" vertical="center" textRotation="180" wrapText="1"/>
    </xf>
    <xf numFmtId="49" fontId="1" fillId="4" borderId="37" xfId="0" applyNumberFormat="1" applyFont="1" applyFill="1" applyBorder="1" applyAlignment="1">
      <alignment horizontal="left" vertical="center" textRotation="180" wrapText="1"/>
    </xf>
    <xf numFmtId="49" fontId="1" fillId="4" borderId="24" xfId="0" applyNumberFormat="1" applyFont="1" applyFill="1" applyBorder="1" applyAlignment="1">
      <alignment horizontal="left" vertical="center" textRotation="180" wrapText="1"/>
    </xf>
    <xf numFmtId="49" fontId="1" fillId="4" borderId="12" xfId="0" applyNumberFormat="1" applyFont="1" applyFill="1" applyBorder="1" applyAlignment="1">
      <alignment horizontal="left" vertical="center" textRotation="180" wrapText="1"/>
    </xf>
    <xf numFmtId="0" fontId="2" fillId="9" borderId="17" xfId="0" applyFont="1" applyFill="1" applyBorder="1" applyAlignment="1">
      <alignment horizontal="left" vertical="center"/>
    </xf>
    <xf numFmtId="0" fontId="2" fillId="9" borderId="10" xfId="0" applyFont="1" applyFill="1" applyBorder="1" applyAlignment="1">
      <alignment horizontal="center" vertical="center" wrapText="1"/>
    </xf>
    <xf numFmtId="3" fontId="2" fillId="9" borderId="10" xfId="0" applyNumberFormat="1" applyFont="1" applyFill="1" applyBorder="1" applyAlignment="1">
      <alignment horizontal="center" vertical="center" wrapText="1"/>
    </xf>
    <xf numFmtId="0" fontId="2" fillId="9" borderId="10" xfId="0" applyFont="1" applyFill="1" applyBorder="1" applyAlignment="1">
      <alignment horizontal="center" vertical="center" wrapText="1"/>
    </xf>
    <xf numFmtId="9" fontId="2" fillId="9" borderId="10" xfId="67" applyFont="1" applyFill="1" applyBorder="1" applyAlignment="1">
      <alignment horizontal="center" vertical="center" wrapText="1"/>
    </xf>
    <xf numFmtId="9" fontId="2" fillId="9" borderId="37" xfId="67"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34" xfId="0" applyFont="1" applyFill="1" applyBorder="1" applyAlignment="1">
      <alignment horizontal="center" vertical="center" wrapText="1"/>
    </xf>
    <xf numFmtId="1" fontId="2" fillId="4" borderId="37" xfId="0" applyNumberFormat="1" applyFont="1" applyFill="1" applyBorder="1" applyAlignment="1">
      <alignment horizontal="center" vertical="center" wrapText="1"/>
    </xf>
    <xf numFmtId="1" fontId="2" fillId="4" borderId="24" xfId="0" applyNumberFormat="1" applyFont="1" applyFill="1" applyBorder="1" applyAlignment="1">
      <alignment horizontal="center" vertical="center" wrapText="1"/>
    </xf>
    <xf numFmtId="1" fontId="2" fillId="4" borderId="12" xfId="0" applyNumberFormat="1" applyFont="1" applyFill="1" applyBorder="1" applyAlignment="1">
      <alignment horizontal="center" vertical="center" wrapText="1"/>
    </xf>
    <xf numFmtId="169" fontId="1" fillId="4" borderId="37" xfId="0" applyNumberFormat="1" applyFont="1" applyFill="1" applyBorder="1" applyAlignment="1">
      <alignment horizontal="center" vertical="center" wrapText="1"/>
    </xf>
    <xf numFmtId="169" fontId="1" fillId="4" borderId="24" xfId="0" applyNumberFormat="1" applyFont="1" applyFill="1" applyBorder="1" applyAlignment="1">
      <alignment horizontal="center" vertical="center" wrapText="1"/>
    </xf>
    <xf numFmtId="169" fontId="1" fillId="4" borderId="12" xfId="0" applyNumberFormat="1" applyFont="1" applyFill="1" applyBorder="1" applyAlignment="1">
      <alignment horizontal="center" vertical="center" wrapText="1"/>
    </xf>
    <xf numFmtId="3" fontId="1" fillId="4" borderId="55" xfId="0" applyNumberFormat="1" applyFont="1" applyFill="1" applyBorder="1" applyAlignment="1">
      <alignment horizontal="center" vertical="center" wrapText="1"/>
    </xf>
    <xf numFmtId="3" fontId="1" fillId="4" borderId="39" xfId="0" applyNumberFormat="1" applyFont="1" applyFill="1" applyBorder="1" applyAlignment="1">
      <alignment horizontal="center" vertical="center" wrapText="1"/>
    </xf>
    <xf numFmtId="3" fontId="1" fillId="4" borderId="36" xfId="0" applyNumberFormat="1" applyFont="1" applyFill="1" applyBorder="1" applyAlignment="1">
      <alignment horizontal="center" vertical="center" wrapText="1"/>
    </xf>
    <xf numFmtId="0" fontId="2" fillId="9" borderId="37"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0" xfId="0" applyFont="1" applyFill="1" applyBorder="1" applyAlignment="1">
      <alignment horizontal="justify" vertical="center" wrapText="1"/>
    </xf>
    <xf numFmtId="1" fontId="1" fillId="4" borderId="37" xfId="0" applyNumberFormat="1" applyFont="1" applyFill="1" applyBorder="1" applyAlignment="1">
      <alignment horizontal="center" vertical="center" wrapText="1"/>
    </xf>
    <xf numFmtId="1" fontId="1" fillId="4" borderId="12" xfId="0" applyNumberFormat="1" applyFont="1" applyFill="1" applyBorder="1" applyAlignment="1">
      <alignment horizontal="center" vertical="center" wrapText="1"/>
    </xf>
    <xf numFmtId="0" fontId="1" fillId="0" borderId="43" xfId="0" applyFont="1" applyFill="1" applyBorder="1" applyAlignment="1">
      <alignment horizontal="left" vertical="center" wrapText="1"/>
    </xf>
    <xf numFmtId="0" fontId="2" fillId="9" borderId="14" xfId="0" applyFont="1" applyFill="1" applyBorder="1" applyAlignment="1">
      <alignment horizontal="left" vertical="center"/>
    </xf>
    <xf numFmtId="0" fontId="2" fillId="12" borderId="14" xfId="0" applyFont="1" applyFill="1" applyBorder="1" applyAlignment="1">
      <alignment horizontal="left" vertical="center"/>
    </xf>
    <xf numFmtId="0" fontId="2" fillId="12" borderId="17" xfId="0" applyFont="1" applyFill="1" applyBorder="1" applyAlignment="1">
      <alignment horizontal="left" vertical="center"/>
    </xf>
    <xf numFmtId="0" fontId="2" fillId="4" borderId="43" xfId="0" applyFont="1" applyFill="1" applyBorder="1" applyAlignment="1">
      <alignment horizontal="center" vertical="center" wrapText="1"/>
    </xf>
    <xf numFmtId="0" fontId="2" fillId="4" borderId="50" xfId="0" applyFont="1" applyFill="1" applyBorder="1" applyAlignment="1">
      <alignment horizontal="center" vertical="center" wrapText="1"/>
    </xf>
    <xf numFmtId="9" fontId="1" fillId="4" borderId="37" xfId="66" applyFont="1" applyFill="1" applyBorder="1" applyAlignment="1">
      <alignment horizontal="center" vertical="center" wrapText="1"/>
    </xf>
    <xf numFmtId="9" fontId="1" fillId="4" borderId="12" xfId="66" applyFont="1" applyFill="1" applyBorder="1" applyAlignment="1">
      <alignment horizontal="center" vertical="center" wrapText="1"/>
    </xf>
    <xf numFmtId="9" fontId="6" fillId="4" borderId="37" xfId="66" applyFont="1" applyFill="1" applyBorder="1" applyAlignment="1">
      <alignment horizontal="center" vertical="center" wrapText="1"/>
    </xf>
    <xf numFmtId="9" fontId="6" fillId="4" borderId="12" xfId="66" applyFont="1" applyFill="1" applyBorder="1" applyAlignment="1">
      <alignment horizontal="center" vertical="center" wrapText="1"/>
    </xf>
    <xf numFmtId="3" fontId="1" fillId="4" borderId="37" xfId="0" applyNumberFormat="1" applyFont="1" applyFill="1" applyBorder="1" applyAlignment="1">
      <alignment horizontal="justify" vertical="center" wrapText="1"/>
    </xf>
    <xf numFmtId="3" fontId="1" fillId="4" borderId="12" xfId="0" applyNumberFormat="1" applyFont="1" applyFill="1" applyBorder="1" applyAlignment="1">
      <alignment horizontal="justify" vertical="center" wrapText="1"/>
    </xf>
    <xf numFmtId="3" fontId="1" fillId="4" borderId="37" xfId="0" applyNumberFormat="1" applyFont="1" applyFill="1" applyBorder="1" applyAlignment="1">
      <alignment horizontal="center" vertical="center" wrapText="1"/>
    </xf>
    <xf numFmtId="3" fontId="1" fillId="4" borderId="12" xfId="0" applyNumberFormat="1"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4" xfId="0" applyFont="1" applyFill="1" applyBorder="1" applyAlignment="1">
      <alignment horizontal="justify" vertical="center" wrapText="1"/>
    </xf>
    <xf numFmtId="10" fontId="1" fillId="0" borderId="37" xfId="66" applyNumberFormat="1" applyFont="1" applyFill="1" applyBorder="1" applyAlignment="1">
      <alignment horizontal="center" vertical="center" wrapText="1"/>
    </xf>
    <xf numFmtId="10" fontId="1" fillId="0" borderId="12" xfId="66" applyNumberFormat="1" applyFont="1" applyFill="1" applyBorder="1" applyAlignment="1">
      <alignment horizontal="center" vertical="center" wrapText="1"/>
    </xf>
    <xf numFmtId="167" fontId="2" fillId="0" borderId="14" xfId="62" applyFont="1" applyBorder="1" applyAlignment="1">
      <alignment horizontal="center" vertical="center"/>
      <protection/>
    </xf>
    <xf numFmtId="167" fontId="2" fillId="0" borderId="0" xfId="62" applyFont="1" applyBorder="1" applyAlignment="1">
      <alignment horizontal="center" vertical="center"/>
      <protection/>
    </xf>
    <xf numFmtId="167" fontId="2" fillId="0" borderId="34" xfId="62" applyFont="1" applyBorder="1" applyAlignment="1">
      <alignment horizontal="center" vertical="center"/>
      <protection/>
    </xf>
    <xf numFmtId="167" fontId="2" fillId="9" borderId="69" xfId="62" applyFont="1" applyFill="1" applyBorder="1" applyAlignment="1">
      <alignment horizontal="center" vertical="center" wrapText="1"/>
      <protection/>
    </xf>
    <xf numFmtId="167" fontId="2" fillId="9" borderId="24" xfId="62" applyFont="1" applyFill="1" applyBorder="1" applyAlignment="1">
      <alignment horizontal="center" vertical="center" wrapText="1"/>
      <protection/>
    </xf>
    <xf numFmtId="167" fontId="2" fillId="9" borderId="12" xfId="62" applyFont="1" applyFill="1" applyBorder="1" applyAlignment="1">
      <alignment horizontal="center" vertical="center" wrapText="1"/>
      <protection/>
    </xf>
    <xf numFmtId="167" fontId="2" fillId="9" borderId="70" xfId="62" applyFont="1" applyFill="1" applyBorder="1" applyAlignment="1">
      <alignment horizontal="center" vertical="center" wrapText="1"/>
      <protection/>
    </xf>
    <xf numFmtId="167" fontId="2" fillId="9" borderId="71" xfId="62" applyFont="1" applyFill="1" applyBorder="1" applyAlignment="1">
      <alignment horizontal="center" vertical="center" wrapText="1"/>
      <protection/>
    </xf>
    <xf numFmtId="167" fontId="2" fillId="9" borderId="25" xfId="62" applyFont="1" applyFill="1" applyBorder="1" applyAlignment="1">
      <alignment horizontal="center" vertical="center" wrapText="1"/>
      <protection/>
    </xf>
    <xf numFmtId="167" fontId="2" fillId="9" borderId="38" xfId="62" applyFont="1" applyFill="1" applyBorder="1" applyAlignment="1">
      <alignment horizontal="center" vertical="center" wrapText="1"/>
      <protection/>
    </xf>
    <xf numFmtId="0" fontId="2" fillId="9" borderId="69" xfId="62" applyNumberFormat="1" applyFont="1" applyFill="1" applyBorder="1" applyAlignment="1">
      <alignment horizontal="center" vertical="center" wrapText="1"/>
      <protection/>
    </xf>
    <xf numFmtId="0" fontId="2" fillId="9" borderId="24" xfId="62" applyNumberFormat="1" applyFont="1" applyFill="1" applyBorder="1" applyAlignment="1">
      <alignment horizontal="center" vertical="center" wrapText="1"/>
      <protection/>
    </xf>
    <xf numFmtId="0" fontId="2" fillId="9" borderId="12" xfId="62" applyNumberFormat="1" applyFont="1" applyFill="1" applyBorder="1" applyAlignment="1">
      <alignment horizontal="center" vertical="center" wrapText="1"/>
      <protection/>
    </xf>
    <xf numFmtId="167" fontId="2" fillId="9" borderId="72" xfId="62" applyFont="1" applyFill="1" applyBorder="1" applyAlignment="1">
      <alignment horizontal="center" vertical="center" wrapText="1"/>
      <protection/>
    </xf>
    <xf numFmtId="167" fontId="2" fillId="9" borderId="45" xfId="62" applyFont="1" applyFill="1" applyBorder="1" applyAlignment="1">
      <alignment horizontal="center" vertical="center" wrapText="1"/>
      <protection/>
    </xf>
    <xf numFmtId="167" fontId="2" fillId="9" borderId="26" xfId="62" applyFont="1" applyFill="1" applyBorder="1" applyAlignment="1">
      <alignment horizontal="center" vertical="center" wrapText="1"/>
      <protection/>
    </xf>
    <xf numFmtId="167" fontId="2" fillId="9" borderId="13" xfId="62" applyFont="1" applyFill="1" applyBorder="1" applyAlignment="1">
      <alignment horizontal="center" vertical="center" wrapText="1"/>
      <protection/>
    </xf>
    <xf numFmtId="169" fontId="2" fillId="9" borderId="10" xfId="62" applyNumberFormat="1" applyFont="1" applyFill="1" applyBorder="1" applyAlignment="1">
      <alignment horizontal="center" vertical="center" wrapText="1"/>
      <protection/>
    </xf>
    <xf numFmtId="3" fontId="2" fillId="9" borderId="54" xfId="62" applyNumberFormat="1" applyFont="1" applyFill="1" applyBorder="1" applyAlignment="1">
      <alignment horizontal="center" vertical="center" wrapText="1"/>
      <protection/>
    </xf>
    <xf numFmtId="3" fontId="2" fillId="9" borderId="39" xfId="62" applyNumberFormat="1" applyFont="1" applyFill="1" applyBorder="1" applyAlignment="1">
      <alignment horizontal="center" vertical="center" wrapText="1"/>
      <protection/>
    </xf>
    <xf numFmtId="3" fontId="2" fillId="9" borderId="36" xfId="62" applyNumberFormat="1" applyFont="1" applyFill="1" applyBorder="1" applyAlignment="1">
      <alignment horizontal="center" vertical="center" wrapText="1"/>
      <protection/>
    </xf>
    <xf numFmtId="167" fontId="2" fillId="9" borderId="42" xfId="62" applyFont="1" applyFill="1" applyBorder="1" applyAlignment="1">
      <alignment horizontal="center" vertical="center" wrapText="1"/>
      <protection/>
    </xf>
    <xf numFmtId="167" fontId="2" fillId="9" borderId="19" xfId="62" applyFont="1" applyFill="1" applyBorder="1" applyAlignment="1">
      <alignment horizontal="center" vertical="center" wrapText="1"/>
      <protection/>
    </xf>
    <xf numFmtId="49" fontId="2" fillId="9" borderId="42" xfId="62" applyNumberFormat="1" applyFont="1" applyFill="1" applyBorder="1" applyAlignment="1">
      <alignment horizontal="center" vertical="center" wrapText="1"/>
      <protection/>
    </xf>
    <xf numFmtId="49" fontId="2" fillId="9" borderId="19" xfId="62" applyNumberFormat="1" applyFont="1" applyFill="1" applyBorder="1" applyAlignment="1">
      <alignment horizontal="center" vertical="center" wrapText="1"/>
      <protection/>
    </xf>
    <xf numFmtId="0" fontId="2" fillId="9" borderId="42" xfId="0" applyFont="1" applyFill="1" applyBorder="1" applyAlignment="1">
      <alignment horizontal="center" vertical="center" wrapText="1"/>
    </xf>
    <xf numFmtId="0" fontId="2" fillId="9" borderId="19" xfId="0" applyFont="1" applyFill="1" applyBorder="1" applyAlignment="1">
      <alignment horizontal="center" vertical="center" wrapText="1"/>
    </xf>
    <xf numFmtId="167" fontId="2" fillId="9" borderId="10" xfId="62" applyFont="1" applyFill="1" applyBorder="1" applyAlignment="1">
      <alignment horizontal="center" vertical="center" wrapText="1"/>
      <protection/>
    </xf>
    <xf numFmtId="0" fontId="2" fillId="9" borderId="10" xfId="0" applyFont="1" applyFill="1" applyBorder="1" applyAlignment="1">
      <alignment horizontal="center" vertical="center" wrapText="1"/>
    </xf>
    <xf numFmtId="1" fontId="1" fillId="4" borderId="43" xfId="62" applyNumberFormat="1" applyFont="1" applyFill="1" applyBorder="1" applyAlignment="1">
      <alignment horizontal="center" vertical="center" wrapText="1"/>
      <protection/>
    </xf>
    <xf numFmtId="1" fontId="1" fillId="4" borderId="0" xfId="62" applyNumberFormat="1" applyFont="1" applyFill="1" applyBorder="1" applyAlignment="1">
      <alignment horizontal="center" vertical="center" wrapText="1"/>
      <protection/>
    </xf>
    <xf numFmtId="1" fontId="1" fillId="4" borderId="38" xfId="62" applyNumberFormat="1" applyFont="1" applyFill="1" applyBorder="1" applyAlignment="1">
      <alignment horizontal="center" vertical="center" wrapText="1"/>
      <protection/>
    </xf>
    <xf numFmtId="1" fontId="1" fillId="4" borderId="50" xfId="62" applyNumberFormat="1" applyFont="1" applyFill="1" applyBorder="1" applyAlignment="1">
      <alignment horizontal="center" vertical="center" wrapText="1"/>
      <protection/>
    </xf>
    <xf numFmtId="1" fontId="1" fillId="4" borderId="25" xfId="62" applyNumberFormat="1" applyFont="1" applyFill="1" applyBorder="1" applyAlignment="1">
      <alignment horizontal="center" vertical="center" wrapText="1"/>
      <protection/>
    </xf>
    <xf numFmtId="1" fontId="1" fillId="4" borderId="26" xfId="62" applyNumberFormat="1" applyFont="1" applyFill="1" applyBorder="1" applyAlignment="1">
      <alignment horizontal="center" vertical="center" wrapText="1"/>
      <protection/>
    </xf>
    <xf numFmtId="1" fontId="1" fillId="4" borderId="34" xfId="62" applyNumberFormat="1" applyFont="1" applyFill="1" applyBorder="1" applyAlignment="1">
      <alignment horizontal="center" vertical="center" wrapText="1"/>
      <protection/>
    </xf>
    <xf numFmtId="1" fontId="1" fillId="4" borderId="13" xfId="62" applyNumberFormat="1" applyFont="1" applyFill="1" applyBorder="1" applyAlignment="1">
      <alignment horizontal="center" vertical="center" wrapText="1"/>
      <protection/>
    </xf>
    <xf numFmtId="1" fontId="1" fillId="4" borderId="42" xfId="62" applyNumberFormat="1" applyFont="1" applyFill="1" applyBorder="1" applyAlignment="1">
      <alignment horizontal="center" vertical="center" wrapText="1"/>
      <protection/>
    </xf>
    <xf numFmtId="1" fontId="1" fillId="4" borderId="14" xfId="62" applyNumberFormat="1" applyFont="1" applyFill="1" applyBorder="1" applyAlignment="1">
      <alignment horizontal="center" vertical="center" wrapText="1"/>
      <protection/>
    </xf>
    <xf numFmtId="1" fontId="1" fillId="4" borderId="19" xfId="62" applyNumberFormat="1" applyFont="1" applyFill="1" applyBorder="1" applyAlignment="1">
      <alignment horizontal="center" vertical="center" wrapText="1"/>
      <protection/>
    </xf>
    <xf numFmtId="3" fontId="1" fillId="4" borderId="37" xfId="62" applyNumberFormat="1" applyFont="1" applyFill="1" applyBorder="1" applyAlignment="1">
      <alignment horizontal="center" vertical="center" wrapText="1"/>
      <protection/>
    </xf>
    <xf numFmtId="3" fontId="1" fillId="4" borderId="12" xfId="62" applyNumberFormat="1" applyFont="1" applyFill="1" applyBorder="1" applyAlignment="1">
      <alignment horizontal="center" vertical="center" wrapText="1"/>
      <protection/>
    </xf>
    <xf numFmtId="167" fontId="1" fillId="4" borderId="37" xfId="62" applyFont="1" applyFill="1" applyBorder="1" applyAlignment="1">
      <alignment horizontal="left" vertical="center" wrapText="1"/>
      <protection/>
    </xf>
    <xf numFmtId="167" fontId="1" fillId="4" borderId="12" xfId="62" applyFont="1" applyFill="1" applyBorder="1" applyAlignment="1">
      <alignment horizontal="left" vertical="center" wrapText="1"/>
      <protection/>
    </xf>
    <xf numFmtId="167" fontId="1" fillId="0" borderId="10" xfId="62" applyFont="1" applyFill="1" applyBorder="1" applyAlignment="1">
      <alignment horizontal="center" vertical="center" wrapText="1"/>
      <protection/>
    </xf>
    <xf numFmtId="3" fontId="1" fillId="0" borderId="10" xfId="62" applyNumberFormat="1" applyFont="1" applyBorder="1" applyAlignment="1">
      <alignment horizontal="center" vertical="center"/>
      <protection/>
    </xf>
    <xf numFmtId="189" fontId="6" fillId="0" borderId="10" xfId="48" applyNumberFormat="1" applyFont="1" applyFill="1" applyBorder="1" applyAlignment="1">
      <alignment horizontal="center" vertical="center"/>
    </xf>
    <xf numFmtId="167" fontId="1" fillId="4" borderId="37" xfId="62" applyFont="1" applyFill="1" applyBorder="1" applyAlignment="1">
      <alignment horizontal="center" vertical="center" wrapText="1"/>
      <protection/>
    </xf>
    <xf numFmtId="167" fontId="1" fillId="4" borderId="24" xfId="62" applyFont="1" applyFill="1" applyBorder="1" applyAlignment="1">
      <alignment horizontal="center" vertical="center" wrapText="1"/>
      <protection/>
    </xf>
    <xf numFmtId="167" fontId="1" fillId="4" borderId="12" xfId="62" applyFont="1" applyFill="1" applyBorder="1" applyAlignment="1">
      <alignment horizontal="center" vertical="center" wrapText="1"/>
      <protection/>
    </xf>
    <xf numFmtId="3" fontId="1" fillId="4" borderId="24" xfId="62" applyNumberFormat="1" applyFont="1" applyFill="1" applyBorder="1" applyAlignment="1">
      <alignment horizontal="center" vertical="center" wrapText="1"/>
      <protection/>
    </xf>
    <xf numFmtId="167" fontId="1" fillId="0" borderId="37" xfId="62" applyFont="1" applyFill="1" applyBorder="1" applyAlignment="1">
      <alignment horizontal="center" vertical="center" wrapText="1"/>
      <protection/>
    </xf>
    <xf numFmtId="3" fontId="1" fillId="0" borderId="37" xfId="62" applyNumberFormat="1" applyFont="1" applyBorder="1" applyAlignment="1">
      <alignment horizontal="center" vertical="center"/>
      <protection/>
    </xf>
    <xf numFmtId="189" fontId="6" fillId="0" borderId="37" xfId="48" applyNumberFormat="1" applyFont="1" applyFill="1" applyBorder="1" applyAlignment="1">
      <alignment horizontal="center" vertical="center"/>
    </xf>
    <xf numFmtId="189" fontId="6" fillId="0" borderId="12" xfId="48" applyNumberFormat="1" applyFont="1" applyFill="1" applyBorder="1" applyAlignment="1">
      <alignment horizontal="center" vertical="center"/>
    </xf>
    <xf numFmtId="167" fontId="1" fillId="0" borderId="37" xfId="62" applyFont="1" applyFill="1" applyBorder="1" applyAlignment="1">
      <alignment horizontal="left" vertical="top" wrapText="1"/>
      <protection/>
    </xf>
    <xf numFmtId="167" fontId="1" fillId="0" borderId="12" xfId="62" applyFont="1" applyFill="1" applyBorder="1" applyAlignment="1">
      <alignment horizontal="left" vertical="top" wrapText="1"/>
      <protection/>
    </xf>
    <xf numFmtId="167" fontId="1" fillId="0" borderId="12" xfId="62" applyFont="1" applyFill="1" applyBorder="1" applyAlignment="1">
      <alignment horizontal="center" vertical="center" wrapText="1"/>
      <protection/>
    </xf>
    <xf numFmtId="3" fontId="1" fillId="0" borderId="37" xfId="62" applyNumberFormat="1" applyFont="1" applyFill="1" applyBorder="1" applyAlignment="1">
      <alignment horizontal="center" vertical="center"/>
      <protection/>
    </xf>
    <xf numFmtId="3" fontId="1" fillId="0" borderId="12" xfId="62" applyNumberFormat="1" applyFont="1" applyFill="1" applyBorder="1" applyAlignment="1">
      <alignment horizontal="center" vertical="center"/>
      <protection/>
    </xf>
    <xf numFmtId="3" fontId="1" fillId="0" borderId="12" xfId="62" applyNumberFormat="1" applyFont="1" applyBorder="1" applyAlignment="1">
      <alignment horizontal="center" vertical="center"/>
      <protection/>
    </xf>
    <xf numFmtId="167" fontId="1" fillId="0" borderId="37" xfId="62" applyFont="1" applyBorder="1" applyAlignment="1">
      <alignment horizontal="left" vertical="center" wrapText="1"/>
      <protection/>
    </xf>
    <xf numFmtId="167" fontId="1" fillId="0" borderId="12" xfId="62" applyFont="1" applyBorder="1" applyAlignment="1">
      <alignment horizontal="left" vertical="center" wrapText="1"/>
      <protection/>
    </xf>
    <xf numFmtId="9" fontId="1" fillId="0" borderId="37" xfId="62" applyNumberFormat="1" applyFont="1" applyFill="1" applyBorder="1" applyAlignment="1">
      <alignment horizontal="center" vertical="center" wrapText="1"/>
      <protection/>
    </xf>
    <xf numFmtId="9" fontId="1" fillId="0" borderId="12" xfId="62" applyNumberFormat="1" applyFont="1" applyFill="1" applyBorder="1" applyAlignment="1">
      <alignment horizontal="center" vertical="center" wrapText="1"/>
      <protection/>
    </xf>
    <xf numFmtId="170" fontId="2" fillId="9" borderId="70" xfId="62" applyNumberFormat="1" applyFont="1" applyFill="1" applyBorder="1" applyAlignment="1">
      <alignment horizontal="center" vertical="center" wrapText="1"/>
      <protection/>
    </xf>
    <xf numFmtId="170" fontId="2" fillId="9" borderId="64" xfId="62" applyNumberFormat="1" applyFont="1" applyFill="1" applyBorder="1" applyAlignment="1">
      <alignment horizontal="center" vertical="center" wrapText="1"/>
      <protection/>
    </xf>
    <xf numFmtId="170" fontId="2" fillId="9" borderId="26" xfId="62" applyNumberFormat="1" applyFont="1" applyFill="1" applyBorder="1" applyAlignment="1">
      <alignment horizontal="center" vertical="center" wrapText="1"/>
      <protection/>
    </xf>
    <xf numFmtId="170" fontId="2" fillId="9" borderId="34" xfId="62" applyNumberFormat="1" applyFont="1" applyFill="1" applyBorder="1" applyAlignment="1">
      <alignment horizontal="center" vertical="center" wrapText="1"/>
      <protection/>
    </xf>
    <xf numFmtId="170" fontId="2" fillId="9" borderId="10" xfId="62" applyNumberFormat="1" applyFont="1" applyFill="1" applyBorder="1" applyAlignment="1">
      <alignment horizontal="center" vertical="center" wrapText="1"/>
      <protection/>
    </xf>
    <xf numFmtId="170" fontId="2" fillId="9" borderId="69" xfId="62" applyNumberFormat="1" applyFont="1" applyFill="1" applyBorder="1" applyAlignment="1">
      <alignment horizontal="center" vertical="center" wrapText="1"/>
      <protection/>
    </xf>
    <xf numFmtId="170" fontId="2" fillId="9" borderId="24" xfId="62" applyNumberFormat="1" applyFont="1" applyFill="1" applyBorder="1" applyAlignment="1">
      <alignment horizontal="center" vertical="center" wrapText="1"/>
      <protection/>
    </xf>
    <xf numFmtId="170" fontId="2" fillId="9" borderId="12" xfId="62" applyNumberFormat="1" applyFont="1" applyFill="1" applyBorder="1" applyAlignment="1">
      <alignment horizontal="center" vertical="center" wrapText="1"/>
      <protection/>
    </xf>
    <xf numFmtId="3" fontId="6" fillId="4" borderId="37" xfId="62" applyNumberFormat="1" applyFont="1" applyFill="1" applyBorder="1" applyAlignment="1">
      <alignment horizontal="center" vertical="center" wrapText="1"/>
      <protection/>
    </xf>
    <xf numFmtId="3" fontId="6" fillId="4" borderId="24" xfId="62" applyNumberFormat="1" applyFont="1" applyFill="1" applyBorder="1" applyAlignment="1">
      <alignment horizontal="center" vertical="center" wrapText="1"/>
      <protection/>
    </xf>
    <xf numFmtId="3" fontId="6" fillId="4" borderId="12" xfId="62" applyNumberFormat="1" applyFont="1" applyFill="1" applyBorder="1" applyAlignment="1">
      <alignment horizontal="center" vertical="center" wrapText="1"/>
      <protection/>
    </xf>
    <xf numFmtId="0" fontId="1" fillId="4" borderId="37" xfId="62" applyNumberFormat="1" applyFont="1" applyFill="1" applyBorder="1" applyAlignment="1">
      <alignment horizontal="center" vertical="center" wrapText="1"/>
      <protection/>
    </xf>
    <xf numFmtId="0" fontId="1" fillId="4" borderId="24" xfId="62" applyNumberFormat="1" applyFont="1" applyFill="1" applyBorder="1" applyAlignment="1">
      <alignment horizontal="center" vertical="center" wrapText="1"/>
      <protection/>
    </xf>
    <xf numFmtId="167" fontId="1" fillId="4" borderId="10" xfId="62" applyFont="1" applyFill="1" applyBorder="1" applyAlignment="1">
      <alignment horizontal="justify" vertical="center" wrapText="1"/>
      <protection/>
    </xf>
    <xf numFmtId="167" fontId="1" fillId="4" borderId="37" xfId="62" applyFont="1" applyFill="1" applyBorder="1" applyAlignment="1">
      <alignment horizontal="justify" vertical="center" wrapText="1"/>
      <protection/>
    </xf>
    <xf numFmtId="9" fontId="1" fillId="4" borderId="10" xfId="66" applyFont="1" applyFill="1" applyBorder="1" applyAlignment="1">
      <alignment horizontal="center" vertical="center" wrapText="1"/>
    </xf>
    <xf numFmtId="170" fontId="1" fillId="4" borderId="37" xfId="62" applyNumberFormat="1" applyFont="1" applyFill="1" applyBorder="1" applyAlignment="1">
      <alignment horizontal="center" vertical="center"/>
      <protection/>
    </xf>
    <xf numFmtId="170" fontId="1" fillId="4" borderId="24" xfId="62" applyNumberFormat="1" applyFont="1" applyFill="1" applyBorder="1" applyAlignment="1">
      <alignment horizontal="center" vertical="center"/>
      <protection/>
    </xf>
    <xf numFmtId="170" fontId="1" fillId="4" borderId="12" xfId="62" applyNumberFormat="1" applyFont="1" applyFill="1" applyBorder="1" applyAlignment="1">
      <alignment horizontal="center" vertical="center"/>
      <protection/>
    </xf>
    <xf numFmtId="167" fontId="1" fillId="4" borderId="10" xfId="62" applyFont="1" applyFill="1" applyBorder="1" applyAlignment="1">
      <alignment horizontal="left" vertical="center" wrapText="1"/>
      <protection/>
    </xf>
    <xf numFmtId="167" fontId="1" fillId="4" borderId="24" xfId="62" applyFont="1" applyFill="1" applyBorder="1" applyAlignment="1">
      <alignment horizontal="left" vertical="center" wrapText="1"/>
      <protection/>
    </xf>
    <xf numFmtId="3" fontId="1" fillId="4" borderId="37" xfId="62" applyNumberFormat="1" applyFont="1" applyFill="1" applyBorder="1" applyAlignment="1">
      <alignment horizontal="center" vertical="center" textRotation="180" wrapText="1"/>
      <protection/>
    </xf>
    <xf numFmtId="3" fontId="1" fillId="4" borderId="24" xfId="62" applyNumberFormat="1" applyFont="1" applyFill="1" applyBorder="1" applyAlignment="1">
      <alignment horizontal="center" vertical="center" textRotation="180" wrapText="1"/>
      <protection/>
    </xf>
    <xf numFmtId="3" fontId="1" fillId="4" borderId="12" xfId="62" applyNumberFormat="1" applyFont="1" applyFill="1" applyBorder="1" applyAlignment="1">
      <alignment horizontal="center" vertical="center" textRotation="180" wrapText="1"/>
      <protection/>
    </xf>
    <xf numFmtId="3" fontId="6" fillId="4" borderId="37" xfId="62" applyNumberFormat="1" applyFont="1" applyFill="1" applyBorder="1" applyAlignment="1">
      <alignment horizontal="center" vertical="center" textRotation="180" wrapText="1"/>
      <protection/>
    </xf>
    <xf numFmtId="3" fontId="6" fillId="4" borderId="24" xfId="62" applyNumberFormat="1" applyFont="1" applyFill="1" applyBorder="1" applyAlignment="1">
      <alignment horizontal="center" vertical="center" textRotation="180" wrapText="1"/>
      <protection/>
    </xf>
    <xf numFmtId="3" fontId="6" fillId="4" borderId="12" xfId="62" applyNumberFormat="1" applyFont="1" applyFill="1" applyBorder="1" applyAlignment="1">
      <alignment horizontal="center" vertical="center" textRotation="180" wrapText="1"/>
      <protection/>
    </xf>
    <xf numFmtId="3" fontId="1" fillId="4" borderId="55" xfId="62" applyNumberFormat="1" applyFont="1" applyFill="1" applyBorder="1" applyAlignment="1">
      <alignment horizontal="center" vertical="center" wrapText="1"/>
      <protection/>
    </xf>
    <xf numFmtId="3" fontId="1" fillId="4" borderId="39" xfId="62" applyNumberFormat="1" applyFont="1" applyFill="1" applyBorder="1" applyAlignment="1">
      <alignment horizontal="center" vertical="center" wrapText="1"/>
      <protection/>
    </xf>
    <xf numFmtId="3" fontId="1" fillId="4" borderId="36" xfId="62" applyNumberFormat="1" applyFont="1" applyFill="1" applyBorder="1" applyAlignment="1">
      <alignment horizontal="center" vertical="center" wrapText="1"/>
      <protection/>
    </xf>
    <xf numFmtId="198" fontId="6" fillId="0" borderId="37" xfId="48" applyNumberFormat="1" applyFont="1" applyFill="1" applyBorder="1" applyAlignment="1">
      <alignment horizontal="center" vertical="center"/>
    </xf>
    <xf numFmtId="198" fontId="6" fillId="0" borderId="12" xfId="48" applyNumberFormat="1" applyFont="1" applyFill="1" applyBorder="1" applyAlignment="1">
      <alignment horizontal="center" vertical="center"/>
    </xf>
    <xf numFmtId="167" fontId="1" fillId="0" borderId="24" xfId="62" applyFont="1" applyFill="1" applyBorder="1" applyAlignment="1">
      <alignment horizontal="center" vertical="center" wrapText="1"/>
      <protection/>
    </xf>
    <xf numFmtId="170" fontId="1" fillId="4" borderId="37" xfId="62" applyNumberFormat="1" applyFont="1" applyFill="1" applyBorder="1" applyAlignment="1">
      <alignment horizontal="center" vertical="center" wrapText="1"/>
      <protection/>
    </xf>
    <xf numFmtId="170" fontId="1" fillId="4" borderId="24" xfId="62" applyNumberFormat="1" applyFont="1" applyFill="1" applyBorder="1" applyAlignment="1">
      <alignment horizontal="center" vertical="center" wrapText="1"/>
      <protection/>
    </xf>
    <xf numFmtId="170" fontId="1" fillId="4" borderId="12" xfId="62" applyNumberFormat="1" applyFont="1" applyFill="1" applyBorder="1" applyAlignment="1">
      <alignment horizontal="center" vertical="center" wrapText="1"/>
      <protection/>
    </xf>
    <xf numFmtId="10" fontId="1" fillId="4" borderId="37" xfId="62" applyNumberFormat="1" applyFont="1" applyFill="1" applyBorder="1" applyAlignment="1">
      <alignment horizontal="center" vertical="center" wrapText="1"/>
      <protection/>
    </xf>
    <xf numFmtId="10" fontId="1" fillId="4" borderId="24" xfId="62" applyNumberFormat="1" applyFont="1" applyFill="1" applyBorder="1" applyAlignment="1">
      <alignment horizontal="center" vertical="center" wrapText="1"/>
      <protection/>
    </xf>
    <xf numFmtId="10" fontId="1" fillId="4" borderId="12" xfId="62" applyNumberFormat="1" applyFont="1" applyFill="1" applyBorder="1" applyAlignment="1">
      <alignment horizontal="center" vertical="center" wrapText="1"/>
      <protection/>
    </xf>
    <xf numFmtId="49" fontId="1" fillId="4" borderId="37" xfId="62" applyNumberFormat="1" applyFont="1" applyFill="1" applyBorder="1" applyAlignment="1">
      <alignment horizontal="center" vertical="center" textRotation="180" wrapText="1"/>
      <protection/>
    </xf>
    <xf numFmtId="49" fontId="1" fillId="4" borderId="24" xfId="62" applyNumberFormat="1" applyFont="1" applyFill="1" applyBorder="1" applyAlignment="1">
      <alignment horizontal="center" vertical="center" textRotation="180" wrapText="1"/>
      <protection/>
    </xf>
    <xf numFmtId="49" fontId="1" fillId="4" borderId="12" xfId="62" applyNumberFormat="1" applyFont="1" applyFill="1" applyBorder="1" applyAlignment="1">
      <alignment horizontal="center" vertical="center" textRotation="180" wrapText="1"/>
      <protection/>
    </xf>
    <xf numFmtId="167" fontId="1" fillId="4" borderId="10" xfId="62" applyFont="1" applyFill="1" applyBorder="1" applyAlignment="1">
      <alignment horizontal="center" vertical="center" wrapText="1"/>
      <protection/>
    </xf>
    <xf numFmtId="0" fontId="1" fillId="4" borderId="12" xfId="62" applyNumberFormat="1" applyFont="1" applyFill="1" applyBorder="1" applyAlignment="1">
      <alignment horizontal="center" vertical="center" wrapText="1"/>
      <protection/>
    </xf>
    <xf numFmtId="1" fontId="1" fillId="4" borderId="37" xfId="62" applyNumberFormat="1" applyFont="1" applyFill="1" applyBorder="1" applyAlignment="1">
      <alignment horizontal="center" vertical="center" textRotation="180" wrapText="1"/>
      <protection/>
    </xf>
    <xf numFmtId="1" fontId="1" fillId="4" borderId="24" xfId="62" applyNumberFormat="1" applyFont="1" applyFill="1" applyBorder="1" applyAlignment="1">
      <alignment horizontal="center" vertical="center" textRotation="180" wrapText="1"/>
      <protection/>
    </xf>
    <xf numFmtId="1" fontId="1" fillId="4" borderId="12" xfId="62" applyNumberFormat="1" applyFont="1" applyFill="1" applyBorder="1" applyAlignment="1">
      <alignment horizontal="center" vertical="center" textRotation="180" wrapText="1"/>
      <protection/>
    </xf>
    <xf numFmtId="1" fontId="6" fillId="4" borderId="37" xfId="62" applyNumberFormat="1" applyFont="1" applyFill="1" applyBorder="1" applyAlignment="1">
      <alignment horizontal="center" vertical="center" textRotation="180" wrapText="1"/>
      <protection/>
    </xf>
    <xf numFmtId="1" fontId="6" fillId="4" borderId="24" xfId="62" applyNumberFormat="1" applyFont="1" applyFill="1" applyBorder="1" applyAlignment="1">
      <alignment horizontal="center" vertical="center" textRotation="180" wrapText="1"/>
      <protection/>
    </xf>
    <xf numFmtId="1" fontId="6" fillId="4" borderId="12" xfId="62" applyNumberFormat="1" applyFont="1" applyFill="1" applyBorder="1" applyAlignment="1">
      <alignment horizontal="center" vertical="center" textRotation="180" wrapText="1"/>
      <protection/>
    </xf>
    <xf numFmtId="9" fontId="1" fillId="4" borderId="37" xfId="62" applyNumberFormat="1" applyFont="1" applyFill="1" applyBorder="1" applyAlignment="1">
      <alignment horizontal="center" vertical="center" wrapText="1"/>
      <protection/>
    </xf>
    <xf numFmtId="9" fontId="1" fillId="4" borderId="24" xfId="62" applyNumberFormat="1" applyFont="1" applyFill="1" applyBorder="1" applyAlignment="1">
      <alignment horizontal="center" vertical="center" wrapText="1"/>
      <protection/>
    </xf>
    <xf numFmtId="9" fontId="1" fillId="4" borderId="12" xfId="62" applyNumberFormat="1" applyFont="1" applyFill="1" applyBorder="1" applyAlignment="1">
      <alignment horizontal="center" vertical="center" wrapText="1"/>
      <protection/>
    </xf>
    <xf numFmtId="1" fontId="4" fillId="4" borderId="37" xfId="45" applyNumberFormat="1" applyFont="1" applyFill="1" applyBorder="1" applyAlignment="1">
      <alignment horizontal="center" vertical="center" wrapText="1"/>
      <protection/>
    </xf>
    <xf numFmtId="1" fontId="4" fillId="4" borderId="24" xfId="45" applyNumberFormat="1" applyFont="1" applyFill="1" applyBorder="1" applyAlignment="1">
      <alignment horizontal="center" vertical="center" wrapText="1"/>
      <protection/>
    </xf>
    <xf numFmtId="1" fontId="4" fillId="4" borderId="12" xfId="45" applyNumberFormat="1" applyFont="1" applyFill="1" applyBorder="1" applyAlignment="1">
      <alignment horizontal="center" vertical="center" wrapText="1"/>
      <protection/>
    </xf>
    <xf numFmtId="167" fontId="1" fillId="0" borderId="24" xfId="62" applyFont="1" applyBorder="1" applyAlignment="1">
      <alignment horizontal="left" vertical="center" wrapText="1"/>
      <protection/>
    </xf>
    <xf numFmtId="1" fontId="1" fillId="4" borderId="37" xfId="62" applyNumberFormat="1" applyFont="1" applyFill="1" applyBorder="1" applyAlignment="1">
      <alignment horizontal="center" vertical="center" wrapText="1"/>
      <protection/>
    </xf>
    <xf numFmtId="1" fontId="1" fillId="4" borderId="24" xfId="62" applyNumberFormat="1" applyFont="1" applyFill="1" applyBorder="1" applyAlignment="1">
      <alignment horizontal="center" vertical="center" wrapText="1"/>
      <protection/>
    </xf>
    <xf numFmtId="1" fontId="6" fillId="4" borderId="37" xfId="62" applyNumberFormat="1" applyFont="1" applyFill="1" applyBorder="1" applyAlignment="1">
      <alignment horizontal="center" vertical="center" wrapText="1"/>
      <protection/>
    </xf>
    <xf numFmtId="1" fontId="6" fillId="4" borderId="24" xfId="62" applyNumberFormat="1" applyFont="1" applyFill="1" applyBorder="1" applyAlignment="1">
      <alignment horizontal="center" vertical="center" wrapText="1"/>
      <protection/>
    </xf>
    <xf numFmtId="1" fontId="6" fillId="4" borderId="12" xfId="62" applyNumberFormat="1" applyFont="1" applyFill="1" applyBorder="1" applyAlignment="1">
      <alignment horizontal="center" vertical="center" wrapText="1"/>
      <protection/>
    </xf>
    <xf numFmtId="1" fontId="1" fillId="0" borderId="24" xfId="62" applyNumberFormat="1" applyFont="1" applyFill="1" applyBorder="1" applyAlignment="1">
      <alignment horizontal="center" vertical="center"/>
      <protection/>
    </xf>
    <xf numFmtId="1" fontId="1" fillId="0" borderId="12" xfId="62" applyNumberFormat="1" applyFont="1" applyFill="1" applyBorder="1" applyAlignment="1">
      <alignment horizontal="center" vertical="center"/>
      <protection/>
    </xf>
    <xf numFmtId="9" fontId="1" fillId="4" borderId="24" xfId="66" applyFont="1" applyFill="1" applyBorder="1" applyAlignment="1">
      <alignment horizontal="center" vertical="center" wrapText="1"/>
    </xf>
    <xf numFmtId="42" fontId="1" fillId="4" borderId="24" xfId="62" applyNumberFormat="1" applyFont="1" applyFill="1" applyBorder="1" applyAlignment="1">
      <alignment horizontal="center" vertical="center" wrapText="1"/>
      <protection/>
    </xf>
    <xf numFmtId="42" fontId="1" fillId="4" borderId="12" xfId="62" applyNumberFormat="1" applyFont="1" applyFill="1" applyBorder="1" applyAlignment="1">
      <alignment horizontal="center" vertical="center" wrapText="1"/>
      <protection/>
    </xf>
    <xf numFmtId="49" fontId="1" fillId="4" borderId="37" xfId="62" applyNumberFormat="1" applyFont="1" applyFill="1" applyBorder="1" applyAlignment="1">
      <alignment horizontal="center" vertical="center" wrapText="1"/>
      <protection/>
    </xf>
    <xf numFmtId="49" fontId="1" fillId="4" borderId="24" xfId="62" applyNumberFormat="1" applyFont="1" applyFill="1" applyBorder="1" applyAlignment="1">
      <alignment horizontal="center" vertical="center" wrapText="1"/>
      <protection/>
    </xf>
    <xf numFmtId="49" fontId="1" fillId="4" borderId="12" xfId="62" applyNumberFormat="1" applyFont="1" applyFill="1" applyBorder="1" applyAlignment="1">
      <alignment horizontal="center" vertical="center" wrapText="1"/>
      <protection/>
    </xf>
    <xf numFmtId="1" fontId="1" fillId="4" borderId="12" xfId="62" applyNumberFormat="1" applyFont="1" applyFill="1" applyBorder="1" applyAlignment="1">
      <alignment horizontal="center" vertical="center" wrapText="1"/>
      <protection/>
    </xf>
    <xf numFmtId="3" fontId="1" fillId="4" borderId="10" xfId="62" applyNumberFormat="1" applyFont="1" applyFill="1" applyBorder="1" applyAlignment="1">
      <alignment horizontal="center" vertical="center" wrapText="1"/>
      <protection/>
    </xf>
    <xf numFmtId="167" fontId="1" fillId="0" borderId="37" xfId="62" applyFont="1" applyBorder="1" applyAlignment="1">
      <alignment horizontal="left" vertical="top" wrapText="1"/>
      <protection/>
    </xf>
    <xf numFmtId="167" fontId="1" fillId="0" borderId="24" xfId="62" applyFont="1" applyBorder="1" applyAlignment="1">
      <alignment horizontal="left" vertical="top" wrapText="1"/>
      <protection/>
    </xf>
    <xf numFmtId="1" fontId="1" fillId="0" borderId="37" xfId="62" applyNumberFormat="1" applyFont="1" applyFill="1" applyBorder="1" applyAlignment="1">
      <alignment horizontal="center" vertical="center"/>
      <protection/>
    </xf>
    <xf numFmtId="0" fontId="1" fillId="4" borderId="37" xfId="62" applyNumberFormat="1" applyFont="1" applyFill="1" applyBorder="1" applyAlignment="1">
      <alignment horizontal="justify" vertical="center" wrapText="1"/>
      <protection/>
    </xf>
    <xf numFmtId="0" fontId="1" fillId="4" borderId="24" xfId="62" applyNumberFormat="1" applyFont="1" applyFill="1" applyBorder="1" applyAlignment="1">
      <alignment horizontal="justify" vertical="center" wrapText="1"/>
      <protection/>
    </xf>
    <xf numFmtId="9" fontId="1" fillId="4" borderId="10" xfId="66" applyFont="1" applyFill="1" applyBorder="1" applyAlignment="1">
      <alignment horizontal="center" vertical="center"/>
    </xf>
    <xf numFmtId="167" fontId="1" fillId="4" borderId="10" xfId="62" applyFont="1" applyFill="1" applyBorder="1" applyAlignment="1">
      <alignment horizontal="left" vertical="center"/>
      <protection/>
    </xf>
    <xf numFmtId="1" fontId="1" fillId="0" borderId="37" xfId="62" applyNumberFormat="1" applyFont="1" applyFill="1" applyBorder="1" applyAlignment="1">
      <alignment horizontal="center" vertical="center" wrapText="1"/>
      <protection/>
    </xf>
    <xf numFmtId="1" fontId="1" fillId="0" borderId="12" xfId="62" applyNumberFormat="1" applyFont="1" applyFill="1" applyBorder="1" applyAlignment="1">
      <alignment horizontal="center" vertical="center" wrapText="1"/>
      <protection/>
    </xf>
    <xf numFmtId="167" fontId="1" fillId="4" borderId="37" xfId="62" applyFont="1" applyFill="1" applyBorder="1" applyAlignment="1">
      <alignment horizontal="center" vertical="center"/>
      <protection/>
    </xf>
    <xf numFmtId="167" fontId="1" fillId="4" borderId="12" xfId="62" applyFont="1" applyFill="1" applyBorder="1" applyAlignment="1">
      <alignment horizontal="center" vertical="center"/>
      <protection/>
    </xf>
    <xf numFmtId="1" fontId="1" fillId="0" borderId="10" xfId="62" applyNumberFormat="1" applyFont="1" applyBorder="1" applyAlignment="1">
      <alignment horizontal="center" vertical="center"/>
      <protection/>
    </xf>
    <xf numFmtId="1" fontId="6" fillId="0" borderId="37" xfId="62" applyNumberFormat="1" applyFont="1" applyBorder="1" applyAlignment="1">
      <alignment horizontal="center" vertical="center"/>
      <protection/>
    </xf>
    <xf numFmtId="1" fontId="6" fillId="0" borderId="24" xfId="62" applyNumberFormat="1" applyFont="1" applyBorder="1" applyAlignment="1">
      <alignment horizontal="center" vertical="center"/>
      <protection/>
    </xf>
    <xf numFmtId="1" fontId="6" fillId="0" borderId="12" xfId="62" applyNumberFormat="1" applyFont="1" applyBorder="1" applyAlignment="1">
      <alignment horizontal="center" vertical="center"/>
      <protection/>
    </xf>
    <xf numFmtId="170" fontId="1" fillId="4" borderId="10" xfId="62" applyNumberFormat="1" applyFont="1" applyFill="1" applyBorder="1" applyAlignment="1">
      <alignment vertical="center"/>
      <protection/>
    </xf>
    <xf numFmtId="170" fontId="6" fillId="4" borderId="10" xfId="62" applyNumberFormat="1" applyFont="1" applyFill="1" applyBorder="1" applyAlignment="1">
      <alignment vertical="center"/>
      <protection/>
    </xf>
    <xf numFmtId="0" fontId="1" fillId="4" borderId="37" xfId="62" applyNumberFormat="1" applyFont="1" applyFill="1" applyBorder="1" applyAlignment="1">
      <alignment horizontal="center" vertical="center"/>
      <protection/>
    </xf>
    <xf numFmtId="0" fontId="1" fillId="4" borderId="24" xfId="62" applyNumberFormat="1" applyFont="1" applyFill="1" applyBorder="1" applyAlignment="1">
      <alignment horizontal="center" vertical="center"/>
      <protection/>
    </xf>
    <xf numFmtId="0" fontId="1" fillId="4" borderId="12" xfId="62" applyNumberFormat="1" applyFont="1" applyFill="1" applyBorder="1" applyAlignment="1">
      <alignment horizontal="center" vertical="center"/>
      <protection/>
    </xf>
    <xf numFmtId="3" fontId="1" fillId="4" borderId="37" xfId="62" applyNumberFormat="1" applyFont="1" applyFill="1" applyBorder="1" applyAlignment="1">
      <alignment horizontal="justify" vertical="center"/>
      <protection/>
    </xf>
    <xf numFmtId="3" fontId="1" fillId="4" borderId="24" xfId="62" applyNumberFormat="1" applyFont="1" applyFill="1" applyBorder="1" applyAlignment="1">
      <alignment horizontal="justify" vertical="center"/>
      <protection/>
    </xf>
    <xf numFmtId="3" fontId="1" fillId="4" borderId="12" xfId="62" applyNumberFormat="1" applyFont="1" applyFill="1" applyBorder="1" applyAlignment="1">
      <alignment horizontal="justify" vertical="center"/>
      <protection/>
    </xf>
    <xf numFmtId="1" fontId="1" fillId="0" borderId="37" xfId="62" applyNumberFormat="1" applyFont="1" applyBorder="1" applyAlignment="1">
      <alignment horizontal="center" vertical="center"/>
      <protection/>
    </xf>
    <xf numFmtId="1" fontId="1" fillId="0" borderId="24" xfId="62" applyNumberFormat="1" applyFont="1" applyBorder="1" applyAlignment="1">
      <alignment horizontal="center" vertical="center"/>
      <protection/>
    </xf>
    <xf numFmtId="1" fontId="1" fillId="0" borderId="12" xfId="62" applyNumberFormat="1" applyFont="1" applyBorder="1" applyAlignment="1">
      <alignment horizontal="center" vertical="center"/>
      <protection/>
    </xf>
    <xf numFmtId="169" fontId="1" fillId="0" borderId="37" xfId="62" applyNumberFormat="1" applyFont="1" applyFill="1" applyBorder="1" applyAlignment="1">
      <alignment horizontal="center" vertical="center"/>
      <protection/>
    </xf>
    <xf numFmtId="169" fontId="1" fillId="0" borderId="12" xfId="62" applyNumberFormat="1" applyFont="1" applyFill="1" applyBorder="1" applyAlignment="1">
      <alignment horizontal="center" vertical="center"/>
      <protection/>
    </xf>
    <xf numFmtId="169" fontId="6" fillId="0" borderId="37" xfId="62" applyNumberFormat="1" applyFont="1" applyFill="1" applyBorder="1" applyAlignment="1">
      <alignment horizontal="center" vertical="center"/>
      <protection/>
    </xf>
    <xf numFmtId="169" fontId="6" fillId="0" borderId="12" xfId="62" applyNumberFormat="1" applyFont="1" applyFill="1" applyBorder="1" applyAlignment="1">
      <alignment horizontal="center" vertical="center"/>
      <protection/>
    </xf>
    <xf numFmtId="169" fontId="1" fillId="0" borderId="37" xfId="62" applyNumberFormat="1" applyFont="1" applyBorder="1" applyAlignment="1">
      <alignment horizontal="center" vertical="center"/>
      <protection/>
    </xf>
    <xf numFmtId="169" fontId="1" fillId="0" borderId="12" xfId="62" applyNumberFormat="1" applyFont="1" applyBorder="1" applyAlignment="1">
      <alignment horizontal="center" vertical="center"/>
      <protection/>
    </xf>
    <xf numFmtId="169" fontId="6" fillId="0" borderId="37" xfId="62" applyNumberFormat="1" applyFont="1" applyBorder="1" applyAlignment="1">
      <alignment horizontal="center" vertical="center"/>
      <protection/>
    </xf>
    <xf numFmtId="169" fontId="6" fillId="0" borderId="12" xfId="62" applyNumberFormat="1" applyFont="1" applyBorder="1" applyAlignment="1">
      <alignment horizontal="center" vertical="center"/>
      <protection/>
    </xf>
    <xf numFmtId="1" fontId="1" fillId="0" borderId="24" xfId="62" applyNumberFormat="1" applyFont="1" applyFill="1" applyBorder="1" applyAlignment="1">
      <alignment horizontal="center" vertical="center" wrapText="1"/>
      <protection/>
    </xf>
    <xf numFmtId="167" fontId="1" fillId="4" borderId="24" xfId="62" applyFont="1" applyFill="1" applyBorder="1" applyAlignment="1">
      <alignment horizontal="center" vertical="center"/>
      <protection/>
    </xf>
    <xf numFmtId="3" fontId="1" fillId="0" borderId="24" xfId="62" applyNumberFormat="1" applyFont="1" applyFill="1" applyBorder="1" applyAlignment="1">
      <alignment horizontal="center" vertical="center"/>
      <protection/>
    </xf>
    <xf numFmtId="189" fontId="6" fillId="0" borderId="24" xfId="48" applyNumberFormat="1" applyFont="1" applyFill="1" applyBorder="1" applyAlignment="1">
      <alignment horizontal="center" vertical="center"/>
    </xf>
    <xf numFmtId="9" fontId="1" fillId="4" borderId="37" xfId="66" applyFont="1" applyFill="1" applyBorder="1" applyAlignment="1">
      <alignment horizontal="center" vertical="center"/>
    </xf>
    <xf numFmtId="9" fontId="1" fillId="4" borderId="24" xfId="66" applyFont="1" applyFill="1" applyBorder="1" applyAlignment="1">
      <alignment horizontal="center" vertical="center"/>
    </xf>
    <xf numFmtId="9" fontId="1" fillId="4" borderId="12" xfId="66" applyFont="1" applyFill="1" applyBorder="1" applyAlignment="1">
      <alignment horizontal="center" vertical="center"/>
    </xf>
    <xf numFmtId="9" fontId="1" fillId="0" borderId="37" xfId="62" applyNumberFormat="1" applyFont="1" applyBorder="1" applyAlignment="1">
      <alignment horizontal="center" vertical="center"/>
      <protection/>
    </xf>
    <xf numFmtId="9" fontId="1" fillId="0" borderId="24" xfId="62" applyNumberFormat="1" applyFont="1" applyBorder="1" applyAlignment="1">
      <alignment horizontal="center" vertical="center"/>
      <protection/>
    </xf>
    <xf numFmtId="9" fontId="1" fillId="0" borderId="12" xfId="62" applyNumberFormat="1" applyFont="1" applyBorder="1" applyAlignment="1">
      <alignment horizontal="center" vertical="center"/>
      <protection/>
    </xf>
    <xf numFmtId="1" fontId="1" fillId="0" borderId="37" xfId="62" applyNumberFormat="1" applyFont="1" applyBorder="1" applyAlignment="1">
      <alignment horizontal="center" vertical="center" wrapText="1"/>
      <protection/>
    </xf>
    <xf numFmtId="1" fontId="1" fillId="0" borderId="24" xfId="62" applyNumberFormat="1" applyFont="1" applyBorder="1" applyAlignment="1">
      <alignment horizontal="center" vertical="center" wrapText="1"/>
      <protection/>
    </xf>
    <xf numFmtId="1" fontId="1" fillId="0" borderId="12" xfId="62" applyNumberFormat="1" applyFont="1" applyBorder="1" applyAlignment="1">
      <alignment horizontal="center" vertical="center" wrapText="1"/>
      <protection/>
    </xf>
    <xf numFmtId="3" fontId="1" fillId="0" borderId="24" xfId="62" applyNumberFormat="1" applyFont="1" applyBorder="1" applyAlignment="1">
      <alignment horizontal="center" vertical="center"/>
      <protection/>
    </xf>
    <xf numFmtId="3" fontId="6" fillId="0" borderId="37" xfId="62" applyNumberFormat="1" applyFont="1" applyBorder="1" applyAlignment="1">
      <alignment horizontal="center" vertical="center"/>
      <protection/>
    </xf>
    <xf numFmtId="3" fontId="6" fillId="0" borderId="24" xfId="62" applyNumberFormat="1" applyFont="1" applyBorder="1" applyAlignment="1">
      <alignment horizontal="center" vertical="center"/>
      <protection/>
    </xf>
    <xf numFmtId="3" fontId="6" fillId="0" borderId="12" xfId="62" applyNumberFormat="1" applyFont="1" applyBorder="1" applyAlignment="1">
      <alignment horizontal="center" vertical="center"/>
      <protection/>
    </xf>
    <xf numFmtId="1" fontId="1" fillId="0" borderId="42" xfId="62" applyNumberFormat="1" applyFont="1" applyBorder="1" applyAlignment="1">
      <alignment horizontal="center" vertical="center"/>
      <protection/>
    </xf>
    <xf numFmtId="1" fontId="1" fillId="0" borderId="14" xfId="62" applyNumberFormat="1" applyFont="1" applyBorder="1" applyAlignment="1">
      <alignment horizontal="center" vertical="center"/>
      <protection/>
    </xf>
    <xf numFmtId="1" fontId="1" fillId="0" borderId="19" xfId="62" applyNumberFormat="1" applyFont="1" applyBorder="1" applyAlignment="1">
      <alignment horizontal="center" vertical="center"/>
      <protection/>
    </xf>
    <xf numFmtId="1" fontId="1" fillId="0" borderId="25" xfId="62" applyNumberFormat="1" applyFont="1" applyBorder="1" applyAlignment="1">
      <alignment horizontal="center" vertical="center"/>
      <protection/>
    </xf>
    <xf numFmtId="1" fontId="1" fillId="0" borderId="0" xfId="62" applyNumberFormat="1" applyFont="1" applyBorder="1" applyAlignment="1">
      <alignment horizontal="center" vertical="center"/>
      <protection/>
    </xf>
    <xf numFmtId="1" fontId="1" fillId="0" borderId="38" xfId="62" applyNumberFormat="1" applyFont="1" applyBorder="1" applyAlignment="1">
      <alignment horizontal="center" vertical="center"/>
      <protection/>
    </xf>
    <xf numFmtId="1" fontId="1" fillId="0" borderId="26" xfId="62" applyNumberFormat="1" applyFont="1" applyBorder="1" applyAlignment="1">
      <alignment horizontal="center" vertical="center"/>
      <protection/>
    </xf>
    <xf numFmtId="1" fontId="1" fillId="0" borderId="34" xfId="62" applyNumberFormat="1" applyFont="1" applyBorder="1" applyAlignment="1">
      <alignment horizontal="center" vertical="center"/>
      <protection/>
    </xf>
    <xf numFmtId="1" fontId="1" fillId="0" borderId="13" xfId="62" applyNumberFormat="1" applyFont="1" applyBorder="1" applyAlignment="1">
      <alignment horizontal="center" vertical="center"/>
      <protection/>
    </xf>
    <xf numFmtId="167" fontId="1" fillId="4" borderId="24" xfId="62" applyFont="1" applyFill="1" applyBorder="1" applyAlignment="1">
      <alignment horizontal="justify" vertical="center" wrapText="1"/>
      <protection/>
    </xf>
    <xf numFmtId="167" fontId="1" fillId="4" borderId="12" xfId="62" applyFont="1" applyFill="1" applyBorder="1" applyAlignment="1">
      <alignment horizontal="justify" vertical="center" wrapText="1"/>
      <protection/>
    </xf>
    <xf numFmtId="170" fontId="4" fillId="4" borderId="37" xfId="62" applyNumberFormat="1" applyFont="1" applyFill="1" applyBorder="1" applyAlignment="1">
      <alignment horizontal="center" vertical="center"/>
      <protection/>
    </xf>
    <xf numFmtId="170" fontId="4" fillId="4" borderId="24" xfId="62" applyNumberFormat="1" applyFont="1" applyFill="1" applyBorder="1" applyAlignment="1">
      <alignment horizontal="center" vertical="center"/>
      <protection/>
    </xf>
    <xf numFmtId="170" fontId="4" fillId="4" borderId="12" xfId="62" applyNumberFormat="1" applyFont="1" applyFill="1" applyBorder="1" applyAlignment="1">
      <alignment horizontal="center" vertical="center"/>
      <protection/>
    </xf>
    <xf numFmtId="3" fontId="4" fillId="0" borderId="37" xfId="62" applyNumberFormat="1" applyFont="1" applyBorder="1" applyAlignment="1">
      <alignment horizontal="center" vertical="center"/>
      <protection/>
    </xf>
    <xf numFmtId="3" fontId="4" fillId="0" borderId="24" xfId="62" applyNumberFormat="1" applyFont="1" applyBorder="1" applyAlignment="1">
      <alignment horizontal="center" vertical="center"/>
      <protection/>
    </xf>
    <xf numFmtId="3" fontId="4" fillId="0" borderId="12" xfId="62" applyNumberFormat="1" applyFont="1" applyBorder="1" applyAlignment="1">
      <alignment horizontal="center" vertical="center"/>
      <protection/>
    </xf>
    <xf numFmtId="167" fontId="1" fillId="0" borderId="37" xfId="62" applyFont="1" applyFill="1" applyBorder="1" applyAlignment="1">
      <alignment vertical="center" wrapText="1"/>
      <protection/>
    </xf>
    <xf numFmtId="167" fontId="1" fillId="0" borderId="12" xfId="62" applyFont="1" applyFill="1" applyBorder="1" applyAlignment="1">
      <alignment vertical="center" wrapText="1"/>
      <protection/>
    </xf>
    <xf numFmtId="3" fontId="6" fillId="4" borderId="37" xfId="62" applyNumberFormat="1" applyFont="1" applyFill="1" applyBorder="1" applyAlignment="1">
      <alignment horizontal="center" vertical="center"/>
      <protection/>
    </xf>
    <xf numFmtId="3" fontId="6" fillId="4" borderId="24" xfId="62" applyNumberFormat="1" applyFont="1" applyFill="1" applyBorder="1" applyAlignment="1">
      <alignment horizontal="center" vertical="center"/>
      <protection/>
    </xf>
    <xf numFmtId="3" fontId="6" fillId="4" borderId="12" xfId="62" applyNumberFormat="1" applyFont="1" applyFill="1" applyBorder="1" applyAlignment="1">
      <alignment horizontal="center" vertical="center"/>
      <protection/>
    </xf>
    <xf numFmtId="3" fontId="1" fillId="4" borderId="37" xfId="62" applyNumberFormat="1" applyFont="1" applyFill="1" applyBorder="1" applyAlignment="1">
      <alignment horizontal="center" vertical="center"/>
      <protection/>
    </xf>
    <xf numFmtId="3" fontId="1" fillId="4" borderId="24" xfId="62" applyNumberFormat="1" applyFont="1" applyFill="1" applyBorder="1" applyAlignment="1">
      <alignment horizontal="center" vertical="center"/>
      <protection/>
    </xf>
    <xf numFmtId="3" fontId="1" fillId="4" borderId="12" xfId="62" applyNumberFormat="1" applyFont="1" applyFill="1" applyBorder="1" applyAlignment="1">
      <alignment horizontal="center" vertical="center"/>
      <protection/>
    </xf>
    <xf numFmtId="9" fontId="1" fillId="4" borderId="37" xfId="62" applyNumberFormat="1" applyFont="1" applyFill="1" applyBorder="1" applyAlignment="1">
      <alignment horizontal="center" vertical="center"/>
      <protection/>
    </xf>
    <xf numFmtId="9" fontId="1" fillId="4" borderId="24" xfId="62" applyNumberFormat="1" applyFont="1" applyFill="1" applyBorder="1" applyAlignment="1">
      <alignment horizontal="center" vertical="center"/>
      <protection/>
    </xf>
    <xf numFmtId="9" fontId="1" fillId="4" borderId="12" xfId="62" applyNumberFormat="1" applyFont="1" applyFill="1" applyBorder="1" applyAlignment="1">
      <alignment horizontal="center" vertical="center"/>
      <protection/>
    </xf>
    <xf numFmtId="1" fontId="6" fillId="0" borderId="10" xfId="62" applyNumberFormat="1" applyFont="1" applyBorder="1" applyAlignment="1">
      <alignment horizontal="center" vertical="center"/>
      <protection/>
    </xf>
    <xf numFmtId="0" fontId="1" fillId="0" borderId="37" xfId="62" applyNumberFormat="1" applyFont="1" applyFill="1" applyBorder="1" applyAlignment="1">
      <alignment horizontal="center" vertical="center" wrapText="1"/>
      <protection/>
    </xf>
    <xf numFmtId="0" fontId="1" fillId="0" borderId="12" xfId="62" applyNumberFormat="1" applyFont="1" applyFill="1" applyBorder="1" applyAlignment="1">
      <alignment horizontal="center" vertical="center" wrapText="1"/>
      <protection/>
    </xf>
    <xf numFmtId="167" fontId="1" fillId="0" borderId="37" xfId="62" applyFont="1" applyFill="1" applyBorder="1" applyAlignment="1">
      <alignment horizontal="left" vertical="center" wrapText="1"/>
      <protection/>
    </xf>
    <xf numFmtId="167" fontId="1" fillId="0" borderId="12" xfId="62" applyFont="1" applyFill="1" applyBorder="1" applyAlignment="1">
      <alignment horizontal="left" vertical="center" wrapText="1"/>
      <protection/>
    </xf>
    <xf numFmtId="167" fontId="1" fillId="0" borderId="69" xfId="62" applyFont="1" applyBorder="1" applyAlignment="1">
      <alignment horizontal="left" vertical="top" wrapText="1"/>
      <protection/>
    </xf>
    <xf numFmtId="170" fontId="1" fillId="0" borderId="37" xfId="62" applyNumberFormat="1" applyFont="1" applyBorder="1" applyAlignment="1">
      <alignment horizontal="center" vertical="center"/>
      <protection/>
    </xf>
    <xf numFmtId="170" fontId="1" fillId="0" borderId="24" xfId="62" applyNumberFormat="1" applyFont="1" applyBorder="1" applyAlignment="1">
      <alignment horizontal="center" vertical="center"/>
      <protection/>
    </xf>
    <xf numFmtId="170" fontId="1" fillId="0" borderId="12" xfId="62" applyNumberFormat="1" applyFont="1" applyBorder="1" applyAlignment="1">
      <alignment horizontal="center" vertical="center"/>
      <protection/>
    </xf>
    <xf numFmtId="167" fontId="1" fillId="4" borderId="24" xfId="62" applyFont="1" applyFill="1" applyBorder="1" applyAlignment="1">
      <alignment horizontal="left" vertical="center"/>
      <protection/>
    </xf>
    <xf numFmtId="3" fontId="1" fillId="4" borderId="24" xfId="62" applyNumberFormat="1" applyFont="1" applyFill="1" applyBorder="1" applyAlignment="1">
      <alignment horizontal="justify" vertical="center" wrapText="1"/>
      <protection/>
    </xf>
    <xf numFmtId="3" fontId="1" fillId="0" borderId="37" xfId="62" applyNumberFormat="1" applyFont="1" applyBorder="1" applyAlignment="1">
      <alignment horizontal="center" vertical="center" wrapText="1"/>
      <protection/>
    </xf>
    <xf numFmtId="3" fontId="1" fillId="0" borderId="24" xfId="62" applyNumberFormat="1" applyFont="1" applyBorder="1" applyAlignment="1">
      <alignment horizontal="center" vertical="center" wrapText="1"/>
      <protection/>
    </xf>
    <xf numFmtId="3" fontId="1" fillId="0" borderId="12" xfId="62" applyNumberFormat="1" applyFont="1" applyBorder="1" applyAlignment="1">
      <alignment horizontal="center" vertical="center" wrapText="1"/>
      <protection/>
    </xf>
    <xf numFmtId="12" fontId="1" fillId="0" borderId="24" xfId="62" applyNumberFormat="1" applyFont="1" applyBorder="1" applyAlignment="1">
      <alignment horizontal="center" vertical="center"/>
      <protection/>
    </xf>
    <xf numFmtId="12" fontId="1" fillId="0" borderId="12" xfId="62" applyNumberFormat="1" applyFont="1" applyBorder="1" applyAlignment="1">
      <alignment horizontal="center" vertical="center"/>
      <protection/>
    </xf>
    <xf numFmtId="167" fontId="1" fillId="0" borderId="24" xfId="62" applyFont="1" applyFill="1" applyBorder="1" applyAlignment="1">
      <alignment horizontal="left" vertical="center" wrapText="1"/>
      <protection/>
    </xf>
    <xf numFmtId="1" fontId="6" fillId="0" borderId="37" xfId="62" applyNumberFormat="1" applyFont="1" applyBorder="1" applyAlignment="1">
      <alignment horizontal="center"/>
      <protection/>
    </xf>
    <xf numFmtId="1" fontId="6" fillId="0" borderId="12" xfId="62" applyNumberFormat="1" applyFont="1" applyBorder="1" applyAlignment="1">
      <alignment horizontal="center"/>
      <protection/>
    </xf>
    <xf numFmtId="1" fontId="1" fillId="0" borderId="10" xfId="62" applyNumberFormat="1" applyFont="1" applyBorder="1" applyAlignment="1">
      <alignment horizontal="center"/>
      <protection/>
    </xf>
    <xf numFmtId="3" fontId="1" fillId="4" borderId="37" xfId="62" applyNumberFormat="1" applyFont="1" applyFill="1" applyBorder="1" applyAlignment="1">
      <alignment horizontal="justify" vertical="center" wrapText="1"/>
      <protection/>
    </xf>
    <xf numFmtId="3" fontId="1" fillId="4" borderId="12" xfId="62" applyNumberFormat="1" applyFont="1" applyFill="1" applyBorder="1" applyAlignment="1">
      <alignment horizontal="justify" vertical="center" wrapText="1"/>
      <protection/>
    </xf>
    <xf numFmtId="37" fontId="1" fillId="0" borderId="37" xfId="62" applyNumberFormat="1" applyFont="1" applyBorder="1" applyAlignment="1">
      <alignment horizontal="center" vertical="center"/>
      <protection/>
    </xf>
    <xf numFmtId="37" fontId="1" fillId="0" borderId="24" xfId="62" applyNumberFormat="1" applyFont="1" applyBorder="1" applyAlignment="1">
      <alignment horizontal="center" vertical="center"/>
      <protection/>
    </xf>
    <xf numFmtId="37" fontId="1" fillId="0" borderId="12" xfId="62" applyNumberFormat="1" applyFont="1" applyBorder="1" applyAlignment="1">
      <alignment horizontal="center" vertical="center"/>
      <protection/>
    </xf>
    <xf numFmtId="37" fontId="6" fillId="0" borderId="37" xfId="62" applyNumberFormat="1" applyFont="1" applyBorder="1" applyAlignment="1">
      <alignment horizontal="center" vertical="center"/>
      <protection/>
    </xf>
    <xf numFmtId="37" fontId="6" fillId="0" borderId="24" xfId="62" applyNumberFormat="1" applyFont="1" applyBorder="1" applyAlignment="1">
      <alignment horizontal="center" vertical="center"/>
      <protection/>
    </xf>
    <xf numFmtId="37" fontId="6" fillId="0" borderId="12" xfId="62" applyNumberFormat="1" applyFont="1" applyBorder="1" applyAlignment="1">
      <alignment horizontal="center" vertical="center"/>
      <protection/>
    </xf>
    <xf numFmtId="1" fontId="1" fillId="0" borderId="37" xfId="62" applyNumberFormat="1" applyFont="1" applyBorder="1" applyAlignment="1">
      <alignment horizontal="center"/>
      <protection/>
    </xf>
    <xf numFmtId="1" fontId="1" fillId="0" borderId="12" xfId="62" applyNumberFormat="1" applyFont="1" applyBorder="1" applyAlignment="1">
      <alignment horizontal="center"/>
      <protection/>
    </xf>
    <xf numFmtId="37" fontId="1" fillId="0" borderId="37" xfId="62" applyNumberFormat="1" applyFont="1" applyBorder="1" applyAlignment="1">
      <alignment horizontal="center" vertical="center" wrapText="1"/>
      <protection/>
    </xf>
    <xf numFmtId="37" fontId="1" fillId="0" borderId="24" xfId="62" applyNumberFormat="1" applyFont="1" applyBorder="1" applyAlignment="1">
      <alignment horizontal="center" vertical="center" wrapText="1"/>
      <protection/>
    </xf>
    <xf numFmtId="37" fontId="1" fillId="0" borderId="12" xfId="62" applyNumberFormat="1" applyFont="1" applyBorder="1" applyAlignment="1">
      <alignment horizontal="center" vertical="center" wrapText="1"/>
      <protection/>
    </xf>
    <xf numFmtId="167" fontId="1" fillId="0" borderId="10" xfId="62" applyFont="1" applyBorder="1" applyAlignment="1">
      <alignment horizontal="center" vertical="center" wrapText="1"/>
      <protection/>
    </xf>
    <xf numFmtId="9" fontId="1" fillId="0" borderId="37" xfId="66" applyFont="1" applyFill="1" applyBorder="1" applyAlignment="1">
      <alignment horizontal="center" vertical="center"/>
    </xf>
    <xf numFmtId="9" fontId="1" fillId="0" borderId="24" xfId="66" applyFont="1" applyFill="1" applyBorder="1" applyAlignment="1">
      <alignment horizontal="center" vertical="center"/>
    </xf>
    <xf numFmtId="9" fontId="1" fillId="0" borderId="12" xfId="66" applyFont="1" applyFill="1" applyBorder="1" applyAlignment="1">
      <alignment horizontal="center" vertical="center"/>
    </xf>
    <xf numFmtId="5" fontId="1" fillId="0" borderId="37" xfId="62" applyNumberFormat="1" applyFont="1" applyBorder="1" applyAlignment="1">
      <alignment horizontal="center" vertical="center"/>
      <protection/>
    </xf>
    <xf numFmtId="5" fontId="1" fillId="0" borderId="24" xfId="62" applyNumberFormat="1" applyFont="1" applyBorder="1" applyAlignment="1">
      <alignment horizontal="center" vertical="center"/>
      <protection/>
    </xf>
    <xf numFmtId="5" fontId="1" fillId="0" borderId="12" xfId="62" applyNumberFormat="1" applyFont="1" applyBorder="1" applyAlignment="1">
      <alignment horizontal="center" vertical="center"/>
      <protection/>
    </xf>
    <xf numFmtId="37" fontId="1" fillId="0" borderId="10" xfId="62" applyNumberFormat="1" applyFont="1" applyBorder="1" applyAlignment="1">
      <alignment horizontal="center" vertical="center"/>
      <protection/>
    </xf>
    <xf numFmtId="1" fontId="6" fillId="0" borderId="24" xfId="62" applyNumberFormat="1" applyFont="1" applyBorder="1" applyAlignment="1">
      <alignment horizontal="center"/>
      <protection/>
    </xf>
    <xf numFmtId="0" fontId="1" fillId="0" borderId="24" xfId="62" applyNumberFormat="1" applyFont="1" applyFill="1" applyBorder="1" applyAlignment="1">
      <alignment horizontal="center" vertical="center" wrapText="1"/>
      <protection/>
    </xf>
    <xf numFmtId="0" fontId="1" fillId="0" borderId="37" xfId="62" applyNumberFormat="1" applyFont="1" applyFill="1" applyBorder="1" applyAlignment="1">
      <alignment horizontal="left" vertical="center" wrapText="1"/>
      <protection/>
    </xf>
    <xf numFmtId="0" fontId="1" fillId="0" borderId="24" xfId="62" applyNumberFormat="1" applyFont="1" applyFill="1" applyBorder="1" applyAlignment="1">
      <alignment horizontal="left" vertical="center" wrapText="1"/>
      <protection/>
    </xf>
    <xf numFmtId="0" fontId="1" fillId="0" borderId="12" xfId="62" applyNumberFormat="1" applyFont="1" applyFill="1" applyBorder="1" applyAlignment="1">
      <alignment horizontal="left" vertical="center" wrapText="1"/>
      <protection/>
    </xf>
    <xf numFmtId="1" fontId="1" fillId="0" borderId="24" xfId="62" applyNumberFormat="1" applyFont="1" applyBorder="1" applyAlignment="1">
      <alignment horizontal="center"/>
      <protection/>
    </xf>
    <xf numFmtId="170" fontId="1" fillId="0" borderId="37" xfId="62" applyNumberFormat="1" applyFont="1" applyBorder="1" applyAlignment="1">
      <alignment horizontal="center" vertical="center" wrapText="1"/>
      <protection/>
    </xf>
    <xf numFmtId="170" fontId="1" fillId="0" borderId="24" xfId="62" applyNumberFormat="1" applyFont="1" applyBorder="1" applyAlignment="1">
      <alignment horizontal="center" vertical="center" wrapText="1"/>
      <protection/>
    </xf>
    <xf numFmtId="170" fontId="1" fillId="0" borderId="12" xfId="62" applyNumberFormat="1" applyFont="1" applyBorder="1" applyAlignment="1">
      <alignment horizontal="center" vertical="center" wrapText="1"/>
      <protection/>
    </xf>
    <xf numFmtId="167" fontId="1" fillId="0" borderId="37" xfId="62" applyFont="1" applyBorder="1" applyAlignment="1">
      <alignment horizontal="center" vertical="center" wrapText="1"/>
      <protection/>
    </xf>
    <xf numFmtId="167" fontId="1" fillId="0" borderId="24" xfId="62" applyFont="1" applyBorder="1" applyAlignment="1">
      <alignment horizontal="center" vertical="center" wrapText="1"/>
      <protection/>
    </xf>
    <xf numFmtId="167" fontId="1" fillId="0" borderId="12" xfId="62" applyFont="1" applyBorder="1" applyAlignment="1">
      <alignment horizontal="center" vertical="center" wrapText="1"/>
      <protection/>
    </xf>
    <xf numFmtId="1" fontId="1" fillId="4" borderId="42" xfId="62" applyNumberFormat="1" applyFont="1" applyFill="1" applyBorder="1" applyAlignment="1">
      <alignment horizontal="center" vertical="center"/>
      <protection/>
    </xf>
    <xf numFmtId="1" fontId="1" fillId="4" borderId="14" xfId="62" applyNumberFormat="1" applyFont="1" applyFill="1" applyBorder="1" applyAlignment="1">
      <alignment horizontal="center" vertical="center"/>
      <protection/>
    </xf>
    <xf numFmtId="1" fontId="1" fillId="4" borderId="19" xfId="62" applyNumberFormat="1" applyFont="1" applyFill="1" applyBorder="1" applyAlignment="1">
      <alignment horizontal="center" vertical="center"/>
      <protection/>
    </xf>
    <xf numFmtId="1" fontId="1" fillId="4" borderId="25" xfId="62" applyNumberFormat="1" applyFont="1" applyFill="1" applyBorder="1" applyAlignment="1">
      <alignment horizontal="center" vertical="center"/>
      <protection/>
    </xf>
    <xf numFmtId="1" fontId="1" fillId="4" borderId="0" xfId="62" applyNumberFormat="1" applyFont="1" applyFill="1" applyBorder="1" applyAlignment="1">
      <alignment horizontal="center" vertical="center"/>
      <protection/>
    </xf>
    <xf numFmtId="1" fontId="1" fillId="4" borderId="38" xfId="62" applyNumberFormat="1" applyFont="1" applyFill="1" applyBorder="1" applyAlignment="1">
      <alignment horizontal="center" vertical="center"/>
      <protection/>
    </xf>
    <xf numFmtId="1" fontId="1" fillId="4" borderId="26" xfId="62" applyNumberFormat="1" applyFont="1" applyFill="1" applyBorder="1" applyAlignment="1">
      <alignment horizontal="center" vertical="center"/>
      <protection/>
    </xf>
    <xf numFmtId="1" fontId="1" fillId="4" borderId="34" xfId="62" applyNumberFormat="1" applyFont="1" applyFill="1" applyBorder="1" applyAlignment="1">
      <alignment horizontal="center" vertical="center"/>
      <protection/>
    </xf>
    <xf numFmtId="1" fontId="1" fillId="4" borderId="13" xfId="62" applyNumberFormat="1" applyFont="1" applyFill="1" applyBorder="1" applyAlignment="1">
      <alignment horizontal="center" vertical="center"/>
      <protection/>
    </xf>
    <xf numFmtId="167" fontId="6" fillId="0" borderId="37" xfId="62" applyFont="1" applyBorder="1" applyAlignment="1">
      <alignment horizontal="center"/>
      <protection/>
    </xf>
    <xf numFmtId="167" fontId="6" fillId="0" borderId="24" xfId="62" applyFont="1" applyBorder="1" applyAlignment="1">
      <alignment horizontal="center"/>
      <protection/>
    </xf>
    <xf numFmtId="167" fontId="6" fillId="0" borderId="12" xfId="62" applyFont="1" applyBorder="1" applyAlignment="1">
      <alignment horizontal="center"/>
      <protection/>
    </xf>
    <xf numFmtId="167" fontId="1" fillId="0" borderId="37" xfId="62" applyFont="1" applyBorder="1" applyAlignment="1">
      <alignment horizontal="center"/>
      <protection/>
    </xf>
    <xf numFmtId="167" fontId="1" fillId="0" borderId="24" xfId="62" applyFont="1" applyBorder="1" applyAlignment="1">
      <alignment horizontal="center"/>
      <protection/>
    </xf>
    <xf numFmtId="167" fontId="1" fillId="0" borderId="12" xfId="62" applyFont="1" applyBorder="1" applyAlignment="1">
      <alignment horizontal="center"/>
      <protection/>
    </xf>
    <xf numFmtId="186" fontId="1" fillId="0" borderId="37" xfId="62" applyNumberFormat="1" applyFont="1" applyBorder="1" applyAlignment="1">
      <alignment horizontal="center" vertical="center"/>
      <protection/>
    </xf>
    <xf numFmtId="186" fontId="1" fillId="0" borderId="24" xfId="62" applyNumberFormat="1" applyFont="1" applyBorder="1" applyAlignment="1">
      <alignment horizontal="center" vertical="center"/>
      <protection/>
    </xf>
    <xf numFmtId="186" fontId="1" fillId="0" borderId="12" xfId="62" applyNumberFormat="1" applyFont="1" applyBorder="1" applyAlignment="1">
      <alignment horizontal="center" vertical="center"/>
      <protection/>
    </xf>
    <xf numFmtId="187" fontId="1" fillId="0" borderId="37" xfId="62" applyNumberFormat="1" applyFont="1" applyBorder="1" applyAlignment="1">
      <alignment horizontal="center" vertical="center"/>
      <protection/>
    </xf>
    <xf numFmtId="187" fontId="1" fillId="0" borderId="24" xfId="62" applyNumberFormat="1" applyFont="1" applyBorder="1" applyAlignment="1">
      <alignment horizontal="center" vertical="center"/>
      <protection/>
    </xf>
    <xf numFmtId="187" fontId="1" fillId="0" borderId="12" xfId="62" applyNumberFormat="1" applyFont="1" applyBorder="1" applyAlignment="1">
      <alignment horizontal="center" vertical="center"/>
      <protection/>
    </xf>
    <xf numFmtId="167" fontId="1" fillId="0" borderId="37" xfId="62" applyFont="1" applyFill="1" applyBorder="1" applyAlignment="1">
      <alignment horizontal="center" vertical="center" wrapText="1" shrinkToFit="1"/>
      <protection/>
    </xf>
    <xf numFmtId="167" fontId="1" fillId="0" borderId="24" xfId="62" applyFont="1" applyFill="1" applyBorder="1" applyAlignment="1">
      <alignment horizontal="center" vertical="center" wrapText="1" shrinkToFit="1"/>
      <protection/>
    </xf>
    <xf numFmtId="3" fontId="1" fillId="0" borderId="37" xfId="62" applyNumberFormat="1" applyFont="1" applyBorder="1" applyAlignment="1">
      <alignment horizontal="center"/>
      <protection/>
    </xf>
    <xf numFmtId="3" fontId="1" fillId="0" borderId="24" xfId="62" applyNumberFormat="1" applyFont="1" applyBorder="1" applyAlignment="1">
      <alignment horizontal="center"/>
      <protection/>
    </xf>
    <xf numFmtId="3" fontId="6" fillId="0" borderId="37" xfId="62" applyNumberFormat="1" applyFont="1" applyBorder="1" applyAlignment="1">
      <alignment horizontal="center"/>
      <protection/>
    </xf>
    <xf numFmtId="3" fontId="6" fillId="0" borderId="24" xfId="62" applyNumberFormat="1" applyFont="1" applyBorder="1" applyAlignment="1">
      <alignment horizontal="center"/>
      <protection/>
    </xf>
    <xf numFmtId="10" fontId="1" fillId="0" borderId="37" xfId="62" applyNumberFormat="1" applyFont="1" applyBorder="1" applyAlignment="1">
      <alignment horizontal="center" vertical="center"/>
      <protection/>
    </xf>
    <xf numFmtId="10" fontId="1" fillId="0" borderId="24" xfId="62" applyNumberFormat="1" applyFont="1" applyBorder="1" applyAlignment="1">
      <alignment horizontal="center" vertical="center"/>
      <protection/>
    </xf>
    <xf numFmtId="0" fontId="4" fillId="4" borderId="37" xfId="62" applyNumberFormat="1" applyFont="1" applyFill="1" applyBorder="1" applyAlignment="1">
      <alignment horizontal="center" vertical="center"/>
      <protection/>
    </xf>
    <xf numFmtId="0" fontId="4" fillId="4" borderId="24" xfId="62" applyNumberFormat="1" applyFont="1" applyFill="1" applyBorder="1" applyAlignment="1">
      <alignment horizontal="center" vertical="center"/>
      <protection/>
    </xf>
    <xf numFmtId="167" fontId="2" fillId="0" borderId="23" xfId="62" applyFont="1" applyBorder="1" applyAlignment="1">
      <alignment horizontal="center" vertical="center"/>
      <protection/>
    </xf>
    <xf numFmtId="167" fontId="2" fillId="0" borderId="21" xfId="62" applyFont="1" applyBorder="1" applyAlignment="1">
      <alignment horizontal="center" vertical="center"/>
      <protection/>
    </xf>
    <xf numFmtId="167" fontId="2" fillId="0" borderId="22" xfId="62" applyFont="1" applyBorder="1" applyAlignment="1">
      <alignment horizontal="center" vertical="center"/>
      <protection/>
    </xf>
    <xf numFmtId="167" fontId="1" fillId="0" borderId="37" xfId="62" applyFont="1" applyBorder="1" applyAlignment="1">
      <alignment horizontal="center" vertical="center"/>
      <protection/>
    </xf>
    <xf numFmtId="167" fontId="1" fillId="0" borderId="24" xfId="62" applyFont="1" applyBorder="1" applyAlignment="1">
      <alignment horizontal="center" vertical="center"/>
      <protection/>
    </xf>
    <xf numFmtId="167" fontId="1" fillId="0" borderId="12" xfId="62" applyFont="1" applyBorder="1" applyAlignment="1">
      <alignment horizontal="center" vertical="center"/>
      <protection/>
    </xf>
    <xf numFmtId="169"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69" fontId="1"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textRotation="90" wrapText="1"/>
    </xf>
    <xf numFmtId="3" fontId="1" fillId="0" borderId="37" xfId="0" applyNumberFormat="1" applyFont="1" applyFill="1" applyBorder="1" applyAlignment="1">
      <alignment horizontal="center" vertical="center" textRotation="90" wrapText="1"/>
    </xf>
    <xf numFmtId="3" fontId="6" fillId="0" borderId="10" xfId="0" applyNumberFormat="1" applyFont="1" applyFill="1" applyBorder="1" applyAlignment="1">
      <alignment horizontal="center" vertical="center" textRotation="90" wrapText="1"/>
    </xf>
    <xf numFmtId="3" fontId="6" fillId="0" borderId="37" xfId="0" applyNumberFormat="1" applyFont="1" applyFill="1" applyBorder="1" applyAlignment="1">
      <alignment horizontal="center" vertical="center" textRotation="90" wrapText="1"/>
    </xf>
    <xf numFmtId="0" fontId="2" fillId="0" borderId="66" xfId="0" applyFont="1" applyBorder="1" applyAlignment="1">
      <alignment horizontal="center" vertical="center"/>
    </xf>
    <xf numFmtId="0" fontId="1" fillId="4" borderId="14" xfId="0" applyFont="1" applyFill="1" applyBorder="1" applyAlignment="1">
      <alignment horizontal="center" vertical="center" textRotation="90" wrapText="1"/>
    </xf>
    <xf numFmtId="0" fontId="1" fillId="4" borderId="19" xfId="0" applyFont="1" applyFill="1" applyBorder="1" applyAlignment="1">
      <alignment horizontal="center" vertical="center" textRotation="90" wrapText="1"/>
    </xf>
    <xf numFmtId="0" fontId="1" fillId="4" borderId="0" xfId="0" applyFont="1" applyFill="1" applyBorder="1" applyAlignment="1">
      <alignment horizontal="center" vertical="center" textRotation="90" wrapText="1"/>
    </xf>
    <xf numFmtId="0" fontId="1" fillId="4" borderId="38" xfId="0" applyFont="1" applyFill="1" applyBorder="1" applyAlignment="1">
      <alignment horizontal="center" vertical="center" textRotation="90" wrapText="1"/>
    </xf>
    <xf numFmtId="0" fontId="1" fillId="0" borderId="4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3" xfId="0"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4" borderId="34" xfId="0" applyFont="1" applyFill="1" applyBorder="1" applyAlignment="1">
      <alignment horizontal="center" vertical="center" textRotation="90" wrapText="1"/>
    </xf>
    <xf numFmtId="0" fontId="1" fillId="4" borderId="13" xfId="0" applyFont="1" applyFill="1" applyBorder="1" applyAlignment="1">
      <alignment horizontal="center" vertical="center" textRotation="90" wrapText="1"/>
    </xf>
    <xf numFmtId="184" fontId="1" fillId="4" borderId="16" xfId="0" applyNumberFormat="1" applyFont="1" applyFill="1" applyBorder="1" applyAlignment="1">
      <alignment horizontal="center" vertical="center" wrapText="1"/>
    </xf>
    <xf numFmtId="170" fontId="4" fillId="0" borderId="10" xfId="0" applyNumberFormat="1" applyFont="1" applyFill="1" applyBorder="1" applyAlignment="1">
      <alignment horizontal="justify" vertical="center" wrapText="1"/>
    </xf>
    <xf numFmtId="184" fontId="4" fillId="0" borderId="37" xfId="0" applyNumberFormat="1" applyFont="1" applyFill="1" applyBorder="1" applyAlignment="1">
      <alignment horizontal="center" vertical="center" wrapText="1"/>
    </xf>
    <xf numFmtId="184" fontId="4" fillId="0" borderId="24" xfId="0" applyNumberFormat="1" applyFont="1" applyFill="1" applyBorder="1" applyAlignment="1">
      <alignment horizontal="center" vertical="center" wrapText="1"/>
    </xf>
    <xf numFmtId="184" fontId="4" fillId="0" borderId="12" xfId="0" applyNumberFormat="1" applyFont="1" applyFill="1" applyBorder="1" applyAlignment="1">
      <alignment horizontal="center" vertical="center" wrapText="1"/>
    </xf>
    <xf numFmtId="184" fontId="6" fillId="0" borderId="37" xfId="0" applyNumberFormat="1" applyFont="1" applyFill="1" applyBorder="1" applyAlignment="1">
      <alignment horizontal="center" vertical="center" wrapText="1"/>
    </xf>
    <xf numFmtId="184" fontId="6" fillId="0" borderId="24" xfId="0" applyNumberFormat="1" applyFont="1" applyFill="1" applyBorder="1" applyAlignment="1">
      <alignment horizontal="center" vertical="center" wrapText="1"/>
    </xf>
    <xf numFmtId="184" fontId="6" fillId="0" borderId="12" xfId="0" applyNumberFormat="1" applyFont="1" applyFill="1" applyBorder="1" applyAlignment="1">
      <alignment horizontal="center" vertical="center" wrapText="1"/>
    </xf>
    <xf numFmtId="10" fontId="1" fillId="0" borderId="1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14" fontId="6" fillId="0" borderId="37" xfId="0" applyNumberFormat="1" applyFont="1" applyFill="1" applyBorder="1" applyAlignment="1">
      <alignment horizontal="center" vertical="center" wrapText="1"/>
    </xf>
    <xf numFmtId="14" fontId="6" fillId="0" borderId="24" xfId="0" applyNumberFormat="1"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14" fontId="1" fillId="0" borderId="37" xfId="0" applyNumberFormat="1" applyFont="1" applyFill="1" applyBorder="1" applyAlignment="1">
      <alignment horizontal="center" vertical="center" wrapText="1"/>
    </xf>
    <xf numFmtId="14" fontId="1" fillId="0" borderId="24"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184" fontId="6" fillId="0" borderId="10" xfId="0" applyNumberFormat="1" applyFont="1" applyFill="1" applyBorder="1" applyAlignment="1">
      <alignment horizontal="center" vertical="center" wrapText="1"/>
    </xf>
    <xf numFmtId="169" fontId="6" fillId="0" borderId="10" xfId="0" applyNumberFormat="1" applyFont="1" applyFill="1" applyBorder="1" applyAlignment="1">
      <alignment horizontal="center" vertical="center" wrapText="1"/>
    </xf>
    <xf numFmtId="169" fontId="4" fillId="0" borderId="10" xfId="0" applyNumberFormat="1" applyFont="1" applyFill="1" applyBorder="1" applyAlignment="1">
      <alignment horizontal="center" vertical="center" wrapText="1"/>
    </xf>
    <xf numFmtId="174" fontId="1" fillId="0" borderId="10" xfId="0" applyNumberFormat="1" applyFont="1" applyFill="1" applyBorder="1" applyAlignment="1">
      <alignment horizontal="center" vertical="center" wrapText="1"/>
    </xf>
    <xf numFmtId="184" fontId="1" fillId="0" borderId="10"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170" fontId="4" fillId="0" borderId="10" xfId="0" applyNumberFormat="1" applyFont="1" applyFill="1" applyBorder="1" applyAlignment="1">
      <alignment vertical="center" wrapText="1"/>
    </xf>
    <xf numFmtId="170" fontId="4" fillId="4" borderId="10" xfId="0" applyNumberFormat="1" applyFont="1" applyFill="1" applyBorder="1" applyAlignment="1">
      <alignment horizontal="center" vertical="center" wrapText="1"/>
    </xf>
    <xf numFmtId="170" fontId="6" fillId="4"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textRotation="90" wrapText="1"/>
    </xf>
    <xf numFmtId="170" fontId="1" fillId="4" borderId="10" xfId="0" applyNumberFormat="1" applyFont="1" applyFill="1" applyBorder="1" applyAlignment="1">
      <alignment horizontal="center" vertical="center" wrapText="1"/>
    </xf>
    <xf numFmtId="170" fontId="4" fillId="4" borderId="10" xfId="0" applyNumberFormat="1" applyFont="1" applyFill="1" applyBorder="1" applyAlignment="1">
      <alignment vertical="center" wrapText="1"/>
    </xf>
    <xf numFmtId="184" fontId="1" fillId="0" borderId="16" xfId="0" applyNumberFormat="1" applyFont="1" applyFill="1" applyBorder="1" applyAlignment="1">
      <alignment horizontal="center" vertical="center" wrapText="1"/>
    </xf>
    <xf numFmtId="182" fontId="15" fillId="4" borderId="37" xfId="0" applyNumberFormat="1" applyFont="1" applyFill="1" applyBorder="1" applyAlignment="1">
      <alignment horizontal="center" vertical="center"/>
    </xf>
    <xf numFmtId="182" fontId="15" fillId="4" borderId="24" xfId="0" applyNumberFormat="1" applyFont="1" applyFill="1" applyBorder="1" applyAlignment="1">
      <alignment horizontal="center" vertical="center"/>
    </xf>
    <xf numFmtId="182" fontId="15" fillId="4" borderId="12"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textRotation="90" wrapText="1"/>
    </xf>
    <xf numFmtId="3" fontId="4" fillId="0" borderId="12" xfId="0" applyNumberFormat="1" applyFont="1" applyFill="1" applyBorder="1" applyAlignment="1">
      <alignment horizontal="center" vertical="center" textRotation="90" wrapText="1"/>
    </xf>
    <xf numFmtId="184" fontId="1" fillId="0" borderId="12" xfId="0" applyNumberFormat="1" applyFont="1" applyFill="1" applyBorder="1" applyAlignment="1">
      <alignment horizontal="center" vertical="center" wrapText="1"/>
    </xf>
    <xf numFmtId="170" fontId="1" fillId="0" borderId="12" xfId="0" applyNumberFormat="1" applyFont="1" applyFill="1" applyBorder="1" applyAlignment="1">
      <alignment horizontal="center" vertical="center" wrapText="1"/>
    </xf>
    <xf numFmtId="184" fontId="1" fillId="0" borderId="19" xfId="0" applyNumberFormat="1" applyFont="1" applyFill="1" applyBorder="1" applyAlignment="1">
      <alignment horizontal="center" vertical="center" wrapText="1"/>
    </xf>
    <xf numFmtId="184" fontId="1" fillId="0" borderId="38" xfId="0" applyNumberFormat="1" applyFont="1" applyFill="1" applyBorder="1" applyAlignment="1">
      <alignment horizontal="center" vertical="center" wrapText="1"/>
    </xf>
    <xf numFmtId="184" fontId="1" fillId="0" borderId="13" xfId="0" applyNumberFormat="1" applyFont="1" applyFill="1" applyBorder="1" applyAlignment="1">
      <alignment horizontal="center" vertical="center" wrapText="1"/>
    </xf>
    <xf numFmtId="49" fontId="2" fillId="9" borderId="10" xfId="0" applyNumberFormat="1" applyFont="1" applyFill="1" applyBorder="1" applyAlignment="1">
      <alignment horizontal="center" vertical="center" wrapText="1"/>
    </xf>
    <xf numFmtId="0" fontId="2" fillId="9" borderId="10" xfId="0" applyFont="1" applyFill="1" applyBorder="1" applyAlignment="1">
      <alignment horizontal="center" vertical="center"/>
    </xf>
    <xf numFmtId="167" fontId="2" fillId="9" borderId="10" xfId="60" applyFont="1" applyFill="1" applyBorder="1" applyAlignment="1">
      <alignment horizontal="center" vertical="center"/>
      <protection/>
    </xf>
    <xf numFmtId="0" fontId="2" fillId="0" borderId="34" xfId="0" applyFont="1" applyBorder="1" applyAlignment="1">
      <alignment horizontal="center" vertical="center"/>
    </xf>
    <xf numFmtId="170" fontId="2" fillId="9" borderId="10" xfId="0" applyNumberFormat="1" applyFont="1" applyFill="1" applyBorder="1" applyAlignment="1">
      <alignment horizontal="center" vertical="center" wrapText="1"/>
    </xf>
    <xf numFmtId="185" fontId="1" fillId="0" borderId="37" xfId="60" applyNumberFormat="1" applyFont="1" applyBorder="1" applyAlignment="1" applyProtection="1">
      <alignment horizontal="center" vertical="center"/>
      <protection locked="0"/>
    </xf>
    <xf numFmtId="185" fontId="1" fillId="0" borderId="12" xfId="60" applyNumberFormat="1" applyFont="1" applyBorder="1" applyAlignment="1" applyProtection="1">
      <alignment horizontal="center" vertical="center"/>
      <protection locked="0"/>
    </xf>
    <xf numFmtId="185" fontId="1" fillId="0" borderId="37" xfId="60" applyNumberFormat="1" applyFont="1" applyBorder="1" applyAlignment="1" applyProtection="1">
      <alignment horizontal="left" vertical="center" wrapText="1"/>
      <protection locked="0"/>
    </xf>
    <xf numFmtId="185" fontId="1" fillId="0" borderId="12" xfId="60" applyNumberFormat="1" applyFont="1" applyBorder="1" applyAlignment="1" applyProtection="1">
      <alignment horizontal="left" vertical="center" wrapText="1"/>
      <protection locked="0"/>
    </xf>
    <xf numFmtId="185" fontId="6" fillId="0" borderId="37" xfId="60" applyNumberFormat="1" applyFont="1" applyBorder="1" applyAlignment="1" applyProtection="1">
      <alignment horizontal="center" vertical="center" textRotation="180"/>
      <protection locked="0"/>
    </xf>
    <xf numFmtId="185" fontId="6" fillId="0" borderId="24" xfId="60" applyNumberFormat="1" applyFont="1" applyBorder="1" applyAlignment="1" applyProtection="1">
      <alignment horizontal="center" vertical="center" textRotation="180"/>
      <protection locked="0"/>
    </xf>
    <xf numFmtId="185" fontId="6" fillId="0" borderId="12" xfId="60" applyNumberFormat="1" applyFont="1" applyBorder="1" applyAlignment="1" applyProtection="1">
      <alignment horizontal="center" vertical="center" textRotation="180"/>
      <protection locked="0"/>
    </xf>
    <xf numFmtId="185" fontId="1" fillId="0" borderId="37" xfId="60" applyNumberFormat="1" applyFont="1" applyBorder="1" applyAlignment="1" applyProtection="1">
      <alignment horizontal="center" vertical="center" textRotation="180"/>
      <protection locked="0"/>
    </xf>
    <xf numFmtId="185" fontId="1" fillId="0" borderId="24" xfId="60" applyNumberFormat="1" applyFont="1" applyBorder="1" applyAlignment="1" applyProtection="1">
      <alignment horizontal="center" vertical="center" textRotation="180"/>
      <protection locked="0"/>
    </xf>
    <xf numFmtId="185" fontId="1" fillId="0" borderId="12" xfId="60" applyNumberFormat="1" applyFont="1" applyBorder="1" applyAlignment="1" applyProtection="1">
      <alignment horizontal="center" vertical="center" textRotation="180"/>
      <protection locked="0"/>
    </xf>
    <xf numFmtId="185" fontId="6" fillId="0" borderId="25" xfId="60" applyNumberFormat="1" applyFont="1" applyBorder="1" applyAlignment="1" applyProtection="1">
      <alignment horizontal="center" vertical="center" textRotation="180"/>
      <protection locked="0"/>
    </xf>
    <xf numFmtId="185" fontId="6" fillId="0" borderId="37" xfId="60" applyNumberFormat="1" applyFont="1" applyFill="1" applyBorder="1" applyAlignment="1" applyProtection="1">
      <alignment horizontal="center" vertical="center" textRotation="180"/>
      <protection locked="0"/>
    </xf>
    <xf numFmtId="185" fontId="6" fillId="0" borderId="24" xfId="60" applyNumberFormat="1" applyFont="1" applyFill="1" applyBorder="1" applyAlignment="1" applyProtection="1">
      <alignment horizontal="center" vertical="center" textRotation="180"/>
      <protection locked="0"/>
    </xf>
    <xf numFmtId="185" fontId="6" fillId="0" borderId="12" xfId="60" applyNumberFormat="1" applyFont="1" applyFill="1" applyBorder="1" applyAlignment="1" applyProtection="1">
      <alignment horizontal="center" vertical="center" textRotation="180"/>
      <protection locked="0"/>
    </xf>
    <xf numFmtId="185" fontId="1" fillId="0" borderId="37" xfId="60" applyNumberFormat="1" applyFont="1" applyFill="1" applyBorder="1" applyAlignment="1" applyProtection="1">
      <alignment horizontal="center" vertical="center" textRotation="180"/>
      <protection locked="0"/>
    </xf>
    <xf numFmtId="185" fontId="1" fillId="0" borderId="24" xfId="60" applyNumberFormat="1" applyFont="1" applyFill="1" applyBorder="1" applyAlignment="1" applyProtection="1">
      <alignment horizontal="center" vertical="center" textRotation="180"/>
      <protection locked="0"/>
    </xf>
    <xf numFmtId="185" fontId="1" fillId="0" borderId="12" xfId="60" applyNumberFormat="1" applyFont="1" applyFill="1" applyBorder="1" applyAlignment="1" applyProtection="1">
      <alignment horizontal="center" vertical="center" textRotation="180"/>
      <protection locked="0"/>
    </xf>
    <xf numFmtId="14" fontId="6" fillId="4" borderId="10" xfId="60" applyNumberFormat="1" applyFont="1" applyFill="1" applyBorder="1" applyAlignment="1" applyProtection="1">
      <alignment horizontal="center" vertical="center" wrapText="1"/>
      <protection locked="0"/>
    </xf>
    <xf numFmtId="14" fontId="1" fillId="4" borderId="10" xfId="60" applyNumberFormat="1" applyFont="1" applyFill="1" applyBorder="1" applyAlignment="1" applyProtection="1">
      <alignment horizontal="center" vertical="center" wrapText="1"/>
      <protection locked="0"/>
    </xf>
    <xf numFmtId="172" fontId="1" fillId="0" borderId="10" xfId="47" applyNumberFormat="1" applyFont="1" applyFill="1" applyBorder="1" applyAlignment="1" applyProtection="1">
      <alignment horizontal="center" vertical="center"/>
      <protection locked="0"/>
    </xf>
    <xf numFmtId="9" fontId="1" fillId="0" borderId="10" xfId="66" applyFont="1" applyFill="1" applyBorder="1" applyAlignment="1" applyProtection="1">
      <alignment horizontal="center" vertical="center"/>
      <protection locked="0"/>
    </xf>
    <xf numFmtId="0" fontId="1" fillId="0" borderId="10" xfId="60" applyNumberFormat="1" applyFont="1" applyFill="1" applyBorder="1" applyAlignment="1" applyProtection="1">
      <alignment horizontal="center" vertical="center"/>
      <protection locked="0"/>
    </xf>
    <xf numFmtId="167" fontId="1" fillId="0" borderId="10" xfId="60" applyFont="1" applyFill="1" applyBorder="1" applyAlignment="1" applyProtection="1">
      <alignment horizontal="justify" vertical="center"/>
      <protection locked="0"/>
    </xf>
    <xf numFmtId="3" fontId="1" fillId="0" borderId="37" xfId="60" applyNumberFormat="1" applyFont="1" applyFill="1" applyBorder="1" applyAlignment="1" applyProtection="1">
      <alignment horizontal="center" vertical="center" textRotation="180" wrapText="1"/>
      <protection locked="0"/>
    </xf>
    <xf numFmtId="3" fontId="1" fillId="0" borderId="24" xfId="60" applyNumberFormat="1" applyFont="1" applyFill="1" applyBorder="1" applyAlignment="1" applyProtection="1">
      <alignment horizontal="center" vertical="center" textRotation="180" wrapText="1"/>
      <protection locked="0"/>
    </xf>
    <xf numFmtId="3" fontId="1" fillId="0" borderId="12" xfId="60" applyNumberFormat="1" applyFont="1" applyFill="1" applyBorder="1" applyAlignment="1" applyProtection="1">
      <alignment horizontal="center" vertical="center" textRotation="180" wrapText="1"/>
      <protection locked="0"/>
    </xf>
    <xf numFmtId="3" fontId="6" fillId="0" borderId="37" xfId="60" applyNumberFormat="1" applyFont="1" applyFill="1" applyBorder="1" applyAlignment="1" applyProtection="1">
      <alignment horizontal="center" vertical="center" textRotation="180" wrapText="1"/>
      <protection locked="0"/>
    </xf>
    <xf numFmtId="3" fontId="6" fillId="0" borderId="24" xfId="60" applyNumberFormat="1" applyFont="1" applyFill="1" applyBorder="1" applyAlignment="1" applyProtection="1">
      <alignment horizontal="center" vertical="center" textRotation="180" wrapText="1"/>
      <protection locked="0"/>
    </xf>
    <xf numFmtId="3" fontId="6" fillId="0" borderId="12" xfId="60" applyNumberFormat="1" applyFont="1" applyFill="1" applyBorder="1" applyAlignment="1" applyProtection="1">
      <alignment horizontal="center" vertical="center" textRotation="180" wrapText="1"/>
      <protection locked="0"/>
    </xf>
    <xf numFmtId="172" fontId="1" fillId="4" borderId="37" xfId="47" applyNumberFormat="1" applyFont="1" applyFill="1" applyBorder="1" applyAlignment="1" applyProtection="1">
      <alignment horizontal="center" vertical="center"/>
      <protection locked="0"/>
    </xf>
    <xf numFmtId="172" fontId="1" fillId="4" borderId="24" xfId="47" applyNumberFormat="1" applyFont="1" applyFill="1" applyBorder="1" applyAlignment="1" applyProtection="1">
      <alignment horizontal="center" vertical="center"/>
      <protection locked="0"/>
    </xf>
    <xf numFmtId="170" fontId="6" fillId="0" borderId="10" xfId="60" applyNumberFormat="1" applyFont="1" applyFill="1" applyBorder="1" applyAlignment="1" applyProtection="1">
      <alignment horizontal="center" vertical="center"/>
      <protection locked="0"/>
    </xf>
    <xf numFmtId="170" fontId="6" fillId="4" borderId="10" xfId="60" applyNumberFormat="1" applyFont="1" applyFill="1" applyBorder="1" applyAlignment="1" applyProtection="1">
      <alignment horizontal="center" vertical="center"/>
      <protection locked="0"/>
    </xf>
    <xf numFmtId="172" fontId="1" fillId="0" borderId="37" xfId="47" applyNumberFormat="1" applyFont="1" applyFill="1" applyBorder="1" applyAlignment="1" applyProtection="1">
      <alignment horizontal="center" vertical="center"/>
      <protection locked="0"/>
    </xf>
    <xf numFmtId="172" fontId="1" fillId="0" borderId="24" xfId="47" applyNumberFormat="1" applyFont="1" applyFill="1" applyBorder="1" applyAlignment="1" applyProtection="1">
      <alignment horizontal="center" vertical="center"/>
      <protection locked="0"/>
    </xf>
    <xf numFmtId="172" fontId="1" fillId="4" borderId="37" xfId="47" applyNumberFormat="1" applyFont="1" applyFill="1" applyBorder="1" applyAlignment="1" applyProtection="1">
      <alignment horizontal="justify" vertical="center"/>
      <protection locked="0"/>
    </xf>
    <xf numFmtId="172" fontId="1" fillId="4" borderId="24" xfId="47" applyNumberFormat="1" applyFont="1" applyFill="1" applyBorder="1" applyAlignment="1" applyProtection="1">
      <alignment horizontal="justify" vertical="center"/>
      <protection locked="0"/>
    </xf>
    <xf numFmtId="14" fontId="1" fillId="4" borderId="37" xfId="47" applyNumberFormat="1" applyFont="1" applyFill="1" applyBorder="1" applyAlignment="1" applyProtection="1">
      <alignment horizontal="center" vertical="center"/>
      <protection locked="0"/>
    </xf>
    <xf numFmtId="14" fontId="1" fillId="4" borderId="24" xfId="47" applyNumberFormat="1" applyFont="1" applyFill="1" applyBorder="1" applyAlignment="1" applyProtection="1">
      <alignment horizontal="center" vertical="center"/>
      <protection locked="0"/>
    </xf>
    <xf numFmtId="169" fontId="2" fillId="9" borderId="73" xfId="60" applyNumberFormat="1" applyFont="1" applyFill="1" applyBorder="1" applyAlignment="1" applyProtection="1">
      <alignment horizontal="center" vertical="center" wrapText="1"/>
      <protection locked="0"/>
    </xf>
    <xf numFmtId="169" fontId="2" fillId="9" borderId="10" xfId="60" applyNumberFormat="1" applyFont="1" applyFill="1" applyBorder="1" applyAlignment="1" applyProtection="1">
      <alignment horizontal="center" vertical="center" wrapText="1"/>
      <protection locked="0"/>
    </xf>
    <xf numFmtId="3" fontId="2" fillId="9" borderId="54" xfId="60" applyNumberFormat="1" applyFont="1" applyFill="1" applyBorder="1" applyAlignment="1" applyProtection="1">
      <alignment horizontal="center" vertical="center" wrapText="1"/>
      <protection locked="0"/>
    </xf>
    <xf numFmtId="3" fontId="2" fillId="9" borderId="39" xfId="60" applyNumberFormat="1" applyFont="1" applyFill="1" applyBorder="1" applyAlignment="1" applyProtection="1">
      <alignment horizontal="center" vertical="center" wrapText="1"/>
      <protection locked="0"/>
    </xf>
    <xf numFmtId="3" fontId="2" fillId="9" borderId="36" xfId="60" applyNumberFormat="1" applyFont="1" applyFill="1" applyBorder="1" applyAlignment="1" applyProtection="1">
      <alignment horizontal="center" vertical="center" wrapText="1"/>
      <protection locked="0"/>
    </xf>
    <xf numFmtId="167" fontId="2" fillId="9" borderId="10" xfId="60" applyFont="1" applyFill="1" applyBorder="1" applyAlignment="1" applyProtection="1">
      <alignment horizontal="center" vertical="center" wrapText="1"/>
      <protection locked="0"/>
    </xf>
    <xf numFmtId="49" fontId="2" fillId="9" borderId="42" xfId="60" applyNumberFormat="1" applyFont="1" applyFill="1" applyBorder="1" applyAlignment="1" applyProtection="1">
      <alignment horizontal="center" vertical="center" wrapText="1"/>
      <protection locked="0"/>
    </xf>
    <xf numFmtId="49" fontId="2" fillId="9" borderId="19" xfId="60" applyNumberFormat="1" applyFont="1" applyFill="1" applyBorder="1" applyAlignment="1" applyProtection="1">
      <alignment horizontal="center" vertical="center" wrapText="1"/>
      <protection locked="0"/>
    </xf>
    <xf numFmtId="167" fontId="2" fillId="9" borderId="42" xfId="60" applyFont="1" applyFill="1" applyBorder="1" applyAlignment="1" applyProtection="1">
      <alignment horizontal="center" vertical="center" wrapText="1"/>
      <protection locked="0"/>
    </xf>
    <xf numFmtId="167" fontId="2" fillId="9" borderId="19" xfId="60" applyFont="1" applyFill="1" applyBorder="1" applyAlignment="1" applyProtection="1">
      <alignment horizontal="center" vertical="center" wrapText="1"/>
      <protection locked="0"/>
    </xf>
    <xf numFmtId="167" fontId="2" fillId="9" borderId="15" xfId="60" applyFont="1" applyFill="1" applyBorder="1" applyAlignment="1" applyProtection="1">
      <alignment horizontal="center" vertical="center" wrapText="1"/>
      <protection locked="0"/>
    </xf>
    <xf numFmtId="167" fontId="2" fillId="9" borderId="16" xfId="60" applyFont="1" applyFill="1" applyBorder="1" applyAlignment="1" applyProtection="1">
      <alignment horizontal="center" vertical="center" wrapText="1"/>
      <protection locked="0"/>
    </xf>
    <xf numFmtId="167" fontId="2" fillId="9" borderId="57" xfId="60" applyFont="1" applyFill="1" applyBorder="1" applyAlignment="1" applyProtection="1">
      <alignment horizontal="center" vertical="center"/>
      <protection locked="0"/>
    </xf>
    <xf numFmtId="167" fontId="2" fillId="9" borderId="58" xfId="60" applyFont="1" applyFill="1" applyBorder="1" applyAlignment="1" applyProtection="1">
      <alignment horizontal="center" vertical="center"/>
      <protection locked="0"/>
    </xf>
    <xf numFmtId="167" fontId="2" fillId="9" borderId="67" xfId="60" applyFont="1" applyFill="1" applyBorder="1" applyAlignment="1" applyProtection="1">
      <alignment horizontal="center" vertical="center"/>
      <protection locked="0"/>
    </xf>
    <xf numFmtId="167" fontId="2" fillId="9" borderId="70" xfId="60" applyFont="1" applyFill="1" applyBorder="1" applyAlignment="1" applyProtection="1">
      <alignment horizontal="center" vertical="center"/>
      <protection locked="0"/>
    </xf>
    <xf numFmtId="167" fontId="2" fillId="9" borderId="64" xfId="60" applyFont="1" applyFill="1" applyBorder="1" applyAlignment="1" applyProtection="1">
      <alignment horizontal="center" vertical="center"/>
      <protection locked="0"/>
    </xf>
    <xf numFmtId="167" fontId="2" fillId="9" borderId="71" xfId="60" applyFont="1" applyFill="1" applyBorder="1" applyAlignment="1" applyProtection="1">
      <alignment horizontal="center" vertical="center"/>
      <protection locked="0"/>
    </xf>
    <xf numFmtId="0" fontId="2" fillId="9" borderId="10" xfId="0" applyFont="1" applyFill="1" applyBorder="1" applyAlignment="1" applyProtection="1">
      <alignment horizontal="center" vertical="center" wrapText="1"/>
      <protection locked="0"/>
    </xf>
    <xf numFmtId="9" fontId="2" fillId="9" borderId="10" xfId="67" applyFont="1" applyFill="1" applyBorder="1" applyAlignment="1" applyProtection="1">
      <alignment horizontal="center" vertical="center" wrapText="1"/>
      <protection locked="0"/>
    </xf>
    <xf numFmtId="9" fontId="2" fillId="9" borderId="37" xfId="67"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0" fontId="2" fillId="9" borderId="12" xfId="0" applyFont="1" applyFill="1" applyBorder="1" applyAlignment="1" applyProtection="1">
      <alignment horizontal="center" vertical="center" wrapText="1"/>
      <protection locked="0"/>
    </xf>
    <xf numFmtId="185" fontId="2" fillId="10" borderId="33" xfId="60" applyNumberFormat="1" applyFont="1" applyFill="1" applyBorder="1" applyAlignment="1" applyProtection="1">
      <alignment horizontal="center" vertical="center" wrapText="1"/>
      <protection locked="0"/>
    </xf>
    <xf numFmtId="185" fontId="2" fillId="10" borderId="50" xfId="60" applyNumberFormat="1" applyFont="1" applyFill="1" applyBorder="1" applyAlignment="1" applyProtection="1">
      <alignment horizontal="center" vertical="center" wrapText="1"/>
      <protection locked="0"/>
    </xf>
    <xf numFmtId="167" fontId="2" fillId="9" borderId="72" xfId="60" applyFont="1" applyFill="1" applyBorder="1" applyAlignment="1" applyProtection="1">
      <alignment horizontal="center" vertical="center" wrapText="1"/>
      <protection locked="0"/>
    </xf>
    <xf numFmtId="167" fontId="2" fillId="9" borderId="45" xfId="60" applyFont="1" applyFill="1" applyBorder="1" applyAlignment="1" applyProtection="1">
      <alignment horizontal="center" vertical="center" wrapText="1"/>
      <protection locked="0"/>
    </xf>
    <xf numFmtId="167" fontId="2" fillId="9" borderId="49" xfId="60" applyFont="1" applyFill="1" applyBorder="1" applyAlignment="1" applyProtection="1">
      <alignment horizontal="center" vertical="center" wrapText="1"/>
      <protection locked="0"/>
    </xf>
    <xf numFmtId="167" fontId="2" fillId="9" borderId="70" xfId="60" applyFont="1" applyFill="1" applyBorder="1" applyAlignment="1" applyProtection="1">
      <alignment horizontal="center" vertical="center" wrapText="1"/>
      <protection locked="0"/>
    </xf>
    <xf numFmtId="167" fontId="2" fillId="9" borderId="71" xfId="60" applyFont="1" applyFill="1" applyBorder="1" applyAlignment="1" applyProtection="1">
      <alignment horizontal="center" vertical="center" wrapText="1"/>
      <protection locked="0"/>
    </xf>
    <xf numFmtId="167" fontId="2" fillId="9" borderId="25" xfId="60" applyFont="1" applyFill="1" applyBorder="1" applyAlignment="1" applyProtection="1">
      <alignment horizontal="center" vertical="center" wrapText="1"/>
      <protection locked="0"/>
    </xf>
    <xf numFmtId="167" fontId="2" fillId="9" borderId="38" xfId="60" applyFont="1" applyFill="1" applyBorder="1" applyAlignment="1" applyProtection="1">
      <alignment horizontal="center" vertical="center" wrapText="1"/>
      <protection locked="0"/>
    </xf>
    <xf numFmtId="167" fontId="2" fillId="9" borderId="26" xfId="60" applyFont="1" applyFill="1" applyBorder="1" applyAlignment="1" applyProtection="1">
      <alignment horizontal="center" vertical="center" wrapText="1"/>
      <protection locked="0"/>
    </xf>
    <xf numFmtId="167" fontId="2" fillId="9" borderId="13" xfId="60" applyFont="1" applyFill="1" applyBorder="1" applyAlignment="1" applyProtection="1">
      <alignment horizontal="center" vertical="center" wrapText="1"/>
      <protection locked="0"/>
    </xf>
    <xf numFmtId="167" fontId="2" fillId="9" borderId="69" xfId="60" applyFont="1" applyFill="1" applyBorder="1" applyAlignment="1" applyProtection="1">
      <alignment horizontal="center" vertical="center" wrapText="1"/>
      <protection locked="0"/>
    </xf>
    <xf numFmtId="167" fontId="2" fillId="9" borderId="24" xfId="60" applyFont="1" applyFill="1" applyBorder="1" applyAlignment="1" applyProtection="1">
      <alignment horizontal="center" vertical="center" wrapText="1"/>
      <protection locked="0"/>
    </xf>
    <xf numFmtId="167" fontId="2" fillId="9" borderId="12" xfId="60" applyFont="1" applyFill="1" applyBorder="1" applyAlignment="1" applyProtection="1">
      <alignment horizontal="center" vertical="center" wrapText="1"/>
      <protection locked="0"/>
    </xf>
    <xf numFmtId="172" fontId="2" fillId="9" borderId="10" xfId="47" applyNumberFormat="1" applyFont="1" applyFill="1" applyBorder="1" applyAlignment="1" applyProtection="1">
      <alignment horizontal="center" vertical="center" wrapText="1"/>
      <protection locked="0"/>
    </xf>
    <xf numFmtId="167" fontId="1" fillId="4" borderId="33" xfId="60" applyFont="1" applyFill="1" applyBorder="1" applyAlignment="1" applyProtection="1">
      <alignment horizontal="center" vertical="center" wrapText="1"/>
      <protection locked="0"/>
    </xf>
    <xf numFmtId="167" fontId="1" fillId="4" borderId="14" xfId="60" applyFont="1" applyFill="1" applyBorder="1" applyAlignment="1" applyProtection="1">
      <alignment horizontal="center" vertical="center" wrapText="1"/>
      <protection locked="0"/>
    </xf>
    <xf numFmtId="167" fontId="1" fillId="4" borderId="19" xfId="60" applyFont="1" applyFill="1" applyBorder="1" applyAlignment="1" applyProtection="1">
      <alignment horizontal="center" vertical="center" wrapText="1"/>
      <protection locked="0"/>
    </xf>
    <xf numFmtId="167" fontId="1" fillId="4" borderId="43" xfId="60" applyFont="1" applyFill="1" applyBorder="1" applyAlignment="1" applyProtection="1">
      <alignment horizontal="center" vertical="center" wrapText="1"/>
      <protection locked="0"/>
    </xf>
    <xf numFmtId="167" fontId="1" fillId="4" borderId="0" xfId="60" applyFont="1" applyFill="1" applyBorder="1" applyAlignment="1" applyProtection="1">
      <alignment horizontal="center" vertical="center" wrapText="1"/>
      <protection locked="0"/>
    </xf>
    <xf numFmtId="167" fontId="1" fillId="4" borderId="38" xfId="60" applyFont="1" applyFill="1" applyBorder="1" applyAlignment="1" applyProtection="1">
      <alignment horizontal="center" vertical="center" wrapText="1"/>
      <protection locked="0"/>
    </xf>
    <xf numFmtId="167" fontId="1" fillId="4" borderId="52" xfId="60" applyFont="1" applyFill="1" applyBorder="1" applyAlignment="1" applyProtection="1">
      <alignment horizontal="center" vertical="center" wrapText="1"/>
      <protection locked="0"/>
    </xf>
    <xf numFmtId="167" fontId="1" fillId="4" borderId="46" xfId="60" applyFont="1" applyFill="1" applyBorder="1" applyAlignment="1" applyProtection="1">
      <alignment horizontal="center" vertical="center" wrapText="1"/>
      <protection locked="0"/>
    </xf>
    <xf numFmtId="167" fontId="1" fillId="4" borderId="74" xfId="60" applyFont="1" applyFill="1" applyBorder="1" applyAlignment="1" applyProtection="1">
      <alignment horizontal="center" vertical="center" wrapText="1"/>
      <protection locked="0"/>
    </xf>
    <xf numFmtId="167" fontId="1" fillId="4" borderId="16" xfId="60" applyFont="1" applyFill="1" applyBorder="1" applyAlignment="1" applyProtection="1">
      <alignment horizontal="center" vertical="center" wrapText="1"/>
      <protection locked="0"/>
    </xf>
    <xf numFmtId="167" fontId="1" fillId="4" borderId="10" xfId="60" applyFont="1" applyFill="1" applyBorder="1" applyAlignment="1" applyProtection="1">
      <alignment horizontal="center" vertical="center" wrapText="1"/>
      <protection locked="0"/>
    </xf>
    <xf numFmtId="167" fontId="1" fillId="4" borderId="15" xfId="60" applyFont="1" applyFill="1" applyBorder="1" applyAlignment="1" applyProtection="1">
      <alignment horizontal="center" vertical="center" wrapText="1"/>
      <protection locked="0"/>
    </xf>
    <xf numFmtId="167" fontId="1" fillId="4" borderId="37" xfId="60" applyFont="1" applyFill="1" applyBorder="1" applyAlignment="1" applyProtection="1">
      <alignment horizontal="center" vertical="center" wrapText="1"/>
      <protection locked="0"/>
    </xf>
    <xf numFmtId="167" fontId="1" fillId="4" borderId="42" xfId="60" applyFont="1" applyFill="1" applyBorder="1" applyAlignment="1" applyProtection="1">
      <alignment horizontal="center" vertical="center" wrapText="1"/>
      <protection locked="0"/>
    </xf>
    <xf numFmtId="185" fontId="1" fillId="4" borderId="10" xfId="60" applyNumberFormat="1" applyFont="1" applyFill="1" applyBorder="1" applyAlignment="1" applyProtection="1">
      <alignment horizontal="center" vertical="center" wrapText="1"/>
      <protection locked="0"/>
    </xf>
    <xf numFmtId="167" fontId="1" fillId="4" borderId="10" xfId="60" applyFont="1" applyFill="1" applyBorder="1" applyAlignment="1" applyProtection="1">
      <alignment horizontal="justify" vertical="center" wrapText="1"/>
      <protection locked="0"/>
    </xf>
    <xf numFmtId="1" fontId="1" fillId="0" borderId="37" xfId="60" applyNumberFormat="1" applyFont="1" applyFill="1" applyBorder="1" applyAlignment="1" applyProtection="1">
      <alignment horizontal="center" vertical="center" wrapText="1"/>
      <protection locked="0"/>
    </xf>
    <xf numFmtId="1" fontId="1" fillId="0" borderId="24" xfId="60" applyNumberFormat="1" applyFont="1" applyFill="1" applyBorder="1" applyAlignment="1" applyProtection="1">
      <alignment horizontal="center" vertical="center" wrapText="1"/>
      <protection locked="0"/>
    </xf>
    <xf numFmtId="1" fontId="1" fillId="0" borderId="35" xfId="60" applyNumberFormat="1" applyFont="1" applyFill="1" applyBorder="1" applyAlignment="1" applyProtection="1">
      <alignment horizontal="center" vertical="center" wrapText="1"/>
      <protection locked="0"/>
    </xf>
    <xf numFmtId="167" fontId="1" fillId="0" borderId="37" xfId="60" applyFont="1" applyFill="1" applyBorder="1" applyAlignment="1" applyProtection="1">
      <alignment horizontal="justify" vertical="center" wrapText="1"/>
      <protection locked="0"/>
    </xf>
    <xf numFmtId="167" fontId="1" fillId="0" borderId="24" xfId="60" applyFont="1" applyFill="1" applyBorder="1" applyAlignment="1" applyProtection="1">
      <alignment horizontal="justify" vertical="center" wrapText="1"/>
      <protection locked="0"/>
    </xf>
    <xf numFmtId="167" fontId="1" fillId="0" borderId="35" xfId="60" applyFont="1" applyFill="1" applyBorder="1" applyAlignment="1" applyProtection="1">
      <alignment horizontal="justify" vertical="center" wrapText="1"/>
      <protection locked="0"/>
    </xf>
    <xf numFmtId="0" fontId="2" fillId="9" borderId="69" xfId="60" applyNumberFormat="1" applyFont="1" applyFill="1" applyBorder="1" applyAlignment="1" applyProtection="1">
      <alignment horizontal="center" vertical="center" wrapText="1"/>
      <protection locked="0"/>
    </xf>
    <xf numFmtId="0" fontId="2" fillId="9" borderId="24" xfId="60" applyNumberFormat="1" applyFont="1" applyFill="1" applyBorder="1" applyAlignment="1" applyProtection="1">
      <alignment horizontal="center" vertical="center" wrapText="1"/>
      <protection locked="0"/>
    </xf>
    <xf numFmtId="0" fontId="2" fillId="9" borderId="12" xfId="60" applyNumberFormat="1" applyFont="1" applyFill="1" applyBorder="1" applyAlignment="1" applyProtection="1">
      <alignment horizontal="center" vertical="center" wrapText="1"/>
      <protection locked="0"/>
    </xf>
    <xf numFmtId="170" fontId="2" fillId="9" borderId="69" xfId="60" applyNumberFormat="1" applyFont="1" applyFill="1" applyBorder="1" applyAlignment="1" applyProtection="1">
      <alignment horizontal="center" vertical="center" wrapText="1"/>
      <protection locked="0"/>
    </xf>
    <xf numFmtId="170" fontId="2" fillId="9" borderId="24" xfId="60" applyNumberFormat="1" applyFont="1" applyFill="1" applyBorder="1" applyAlignment="1" applyProtection="1">
      <alignment horizontal="center" vertical="center" wrapText="1"/>
      <protection locked="0"/>
    </xf>
    <xf numFmtId="170" fontId="2" fillId="9" borderId="12" xfId="60" applyNumberFormat="1" applyFont="1" applyFill="1" applyBorder="1" applyAlignment="1" applyProtection="1">
      <alignment horizontal="center" vertical="center" wrapText="1"/>
      <protection locked="0"/>
    </xf>
    <xf numFmtId="170" fontId="2" fillId="9" borderId="70" xfId="60" applyNumberFormat="1" applyFont="1" applyFill="1" applyBorder="1" applyAlignment="1" applyProtection="1">
      <alignment horizontal="center" vertical="center" wrapText="1"/>
      <protection locked="0"/>
    </xf>
    <xf numFmtId="170" fontId="2" fillId="9" borderId="64" xfId="60" applyNumberFormat="1" applyFont="1" applyFill="1" applyBorder="1" applyAlignment="1" applyProtection="1">
      <alignment horizontal="center" vertical="center" wrapText="1"/>
      <protection locked="0"/>
    </xf>
    <xf numFmtId="170" fontId="2" fillId="9" borderId="71" xfId="60" applyNumberFormat="1" applyFont="1" applyFill="1" applyBorder="1" applyAlignment="1" applyProtection="1">
      <alignment horizontal="center" vertical="center" wrapText="1"/>
      <protection locked="0"/>
    </xf>
    <xf numFmtId="170" fontId="2" fillId="9" borderId="25" xfId="60" applyNumberFormat="1" applyFont="1" applyFill="1" applyBorder="1" applyAlignment="1" applyProtection="1">
      <alignment horizontal="center" vertical="center" wrapText="1"/>
      <protection locked="0"/>
    </xf>
    <xf numFmtId="170" fontId="2" fillId="9" borderId="0" xfId="60" applyNumberFormat="1" applyFont="1" applyFill="1" applyBorder="1" applyAlignment="1" applyProtection="1">
      <alignment horizontal="center" vertical="center" wrapText="1"/>
      <protection locked="0"/>
    </xf>
    <xf numFmtId="170" fontId="2" fillId="9" borderId="38" xfId="60" applyNumberFormat="1" applyFont="1" applyFill="1" applyBorder="1" applyAlignment="1" applyProtection="1">
      <alignment horizontal="center" vertical="center" wrapText="1"/>
      <protection locked="0"/>
    </xf>
    <xf numFmtId="170" fontId="1" fillId="0" borderId="37" xfId="60" applyNumberFormat="1" applyFont="1" applyFill="1" applyBorder="1" applyAlignment="1" applyProtection="1">
      <alignment horizontal="center" vertical="center"/>
      <protection locked="0"/>
    </xf>
    <xf numFmtId="170" fontId="1" fillId="0" borderId="24" xfId="60" applyNumberFormat="1" applyFont="1" applyFill="1" applyBorder="1" applyAlignment="1" applyProtection="1">
      <alignment horizontal="center" vertical="center"/>
      <protection locked="0"/>
    </xf>
    <xf numFmtId="9" fontId="1" fillId="4" borderId="37" xfId="66" applyFont="1" applyFill="1" applyBorder="1" applyAlignment="1" applyProtection="1">
      <alignment horizontal="center" vertical="center" wrapText="1"/>
      <protection locked="0"/>
    </xf>
    <xf numFmtId="9" fontId="1" fillId="4" borderId="24" xfId="66" applyFont="1" applyFill="1" applyBorder="1" applyAlignment="1" applyProtection="1">
      <alignment horizontal="center" vertical="center" wrapText="1"/>
      <protection locked="0"/>
    </xf>
    <xf numFmtId="9" fontId="1" fillId="4" borderId="12" xfId="66" applyFont="1" applyFill="1" applyBorder="1" applyAlignment="1" applyProtection="1">
      <alignment horizontal="center" vertical="center" wrapText="1"/>
      <protection locked="0"/>
    </xf>
    <xf numFmtId="170" fontId="1" fillId="4" borderId="10" xfId="60" applyNumberFormat="1" applyFont="1" applyFill="1" applyBorder="1" applyAlignment="1" applyProtection="1">
      <alignment horizontal="center" vertical="center" wrapText="1"/>
      <protection locked="0"/>
    </xf>
    <xf numFmtId="170" fontId="1" fillId="0" borderId="37" xfId="60" applyNumberFormat="1" applyFont="1" applyFill="1" applyBorder="1" applyAlignment="1" applyProtection="1">
      <alignment horizontal="center" vertical="center" wrapText="1"/>
      <protection locked="0"/>
    </xf>
    <xf numFmtId="170" fontId="1" fillId="0" borderId="24" xfId="60" applyNumberFormat="1" applyFont="1" applyFill="1" applyBorder="1" applyAlignment="1" applyProtection="1">
      <alignment horizontal="center" vertical="center" wrapText="1"/>
      <protection locked="0"/>
    </xf>
    <xf numFmtId="170" fontId="1" fillId="0" borderId="12" xfId="60" applyNumberFormat="1" applyFont="1" applyFill="1" applyBorder="1" applyAlignment="1" applyProtection="1">
      <alignment horizontal="center" vertical="center" wrapText="1"/>
      <protection locked="0"/>
    </xf>
    <xf numFmtId="185" fontId="6" fillId="4" borderId="37" xfId="60" applyNumberFormat="1" applyFont="1" applyFill="1" applyBorder="1" applyAlignment="1" applyProtection="1">
      <alignment horizontal="center" vertical="center" wrapText="1"/>
      <protection locked="0"/>
    </xf>
    <xf numFmtId="185" fontId="6" fillId="4" borderId="24" xfId="60" applyNumberFormat="1" applyFont="1" applyFill="1" applyBorder="1" applyAlignment="1" applyProtection="1">
      <alignment horizontal="center" vertical="center" wrapText="1"/>
      <protection locked="0"/>
    </xf>
    <xf numFmtId="185" fontId="6" fillId="4" borderId="12" xfId="60" applyNumberFormat="1" applyFont="1" applyFill="1" applyBorder="1" applyAlignment="1" applyProtection="1">
      <alignment horizontal="center" vertical="center" wrapText="1"/>
      <protection locked="0"/>
    </xf>
    <xf numFmtId="0" fontId="1" fillId="4" borderId="10" xfId="60" applyNumberFormat="1" applyFont="1" applyFill="1" applyBorder="1" applyAlignment="1" applyProtection="1">
      <alignment horizontal="center" vertical="center" wrapText="1"/>
      <protection locked="0"/>
    </xf>
    <xf numFmtId="172" fontId="1" fillId="4" borderId="10" xfId="47" applyNumberFormat="1" applyFont="1" applyFill="1" applyBorder="1" applyAlignment="1" applyProtection="1">
      <alignment horizontal="center" vertical="center" wrapText="1"/>
      <protection locked="0"/>
    </xf>
    <xf numFmtId="170" fontId="6" fillId="0" borderId="37" xfId="60" applyNumberFormat="1" applyFont="1" applyFill="1" applyBorder="1" applyAlignment="1" applyProtection="1">
      <alignment horizontal="center" vertical="center" wrapText="1"/>
      <protection locked="0"/>
    </xf>
    <xf numFmtId="170" fontId="6" fillId="0" borderId="24" xfId="60" applyNumberFormat="1" applyFont="1" applyFill="1" applyBorder="1" applyAlignment="1" applyProtection="1">
      <alignment horizontal="center" vertical="center" wrapText="1"/>
      <protection locked="0"/>
    </xf>
    <xf numFmtId="170" fontId="6" fillId="0" borderId="12" xfId="60" applyNumberFormat="1" applyFont="1" applyFill="1" applyBorder="1" applyAlignment="1" applyProtection="1">
      <alignment horizontal="center" vertical="center" wrapText="1"/>
      <protection locked="0"/>
    </xf>
    <xf numFmtId="0" fontId="1" fillId="0" borderId="10" xfId="60" applyNumberFormat="1" applyFont="1" applyFill="1" applyBorder="1" applyAlignment="1" applyProtection="1">
      <alignment horizontal="center" vertical="center" wrapText="1"/>
      <protection locked="0"/>
    </xf>
    <xf numFmtId="167" fontId="1" fillId="0" borderId="10" xfId="60" applyFont="1" applyFill="1" applyBorder="1" applyAlignment="1" applyProtection="1">
      <alignment horizontal="center" vertical="center" wrapText="1"/>
      <protection locked="0"/>
    </xf>
    <xf numFmtId="170" fontId="6" fillId="0" borderId="37" xfId="60" applyNumberFormat="1" applyFont="1" applyFill="1" applyBorder="1" applyAlignment="1" applyProtection="1">
      <alignment horizontal="center" vertical="center"/>
      <protection locked="0"/>
    </xf>
    <xf numFmtId="170" fontId="6" fillId="0" borderId="24" xfId="60" applyNumberFormat="1" applyFont="1" applyFill="1" applyBorder="1" applyAlignment="1" applyProtection="1">
      <alignment horizontal="center" vertical="center"/>
      <protection locked="0"/>
    </xf>
    <xf numFmtId="170" fontId="6" fillId="0" borderId="12" xfId="60" applyNumberFormat="1" applyFont="1" applyFill="1" applyBorder="1" applyAlignment="1" applyProtection="1">
      <alignment horizontal="center" vertical="center"/>
      <protection locked="0"/>
    </xf>
    <xf numFmtId="0" fontId="1" fillId="0" borderId="37" xfId="60" applyNumberFormat="1" applyFont="1" applyFill="1" applyBorder="1" applyAlignment="1" applyProtection="1">
      <alignment horizontal="center" vertical="center" wrapText="1"/>
      <protection locked="0"/>
    </xf>
    <xf numFmtId="0" fontId="1" fillId="0" borderId="24" xfId="60" applyNumberFormat="1" applyFont="1" applyFill="1" applyBorder="1" applyAlignment="1" applyProtection="1">
      <alignment horizontal="center" vertical="center" wrapText="1"/>
      <protection locked="0"/>
    </xf>
    <xf numFmtId="0" fontId="1" fillId="0" borderId="12" xfId="60" applyNumberFormat="1" applyFont="1" applyFill="1" applyBorder="1" applyAlignment="1" applyProtection="1">
      <alignment horizontal="center" vertical="center" wrapText="1"/>
      <protection locked="0"/>
    </xf>
    <xf numFmtId="0" fontId="1" fillId="0" borderId="37" xfId="60" applyNumberFormat="1" applyFont="1" applyFill="1" applyBorder="1" applyAlignment="1" applyProtection="1">
      <alignment horizontal="center" vertical="center"/>
      <protection locked="0"/>
    </xf>
    <xf numFmtId="0" fontId="1" fillId="0" borderId="24" xfId="60" applyNumberFormat="1" applyFont="1" applyFill="1" applyBorder="1" applyAlignment="1" applyProtection="1">
      <alignment horizontal="center" vertical="center"/>
      <protection locked="0"/>
    </xf>
    <xf numFmtId="0" fontId="1" fillId="0" borderId="12" xfId="60" applyNumberFormat="1" applyFont="1" applyFill="1" applyBorder="1" applyAlignment="1" applyProtection="1">
      <alignment horizontal="center" vertical="center"/>
      <protection locked="0"/>
    </xf>
    <xf numFmtId="14" fontId="1" fillId="4" borderId="37" xfId="60" applyNumberFormat="1" applyFont="1" applyFill="1" applyBorder="1" applyAlignment="1" applyProtection="1">
      <alignment horizontal="center" vertical="center" wrapText="1"/>
      <protection locked="0"/>
    </xf>
    <xf numFmtId="14" fontId="1" fillId="4" borderId="24" xfId="60" applyNumberFormat="1" applyFont="1" applyFill="1" applyBorder="1" applyAlignment="1" applyProtection="1">
      <alignment horizontal="center" vertical="center" wrapText="1"/>
      <protection locked="0"/>
    </xf>
    <xf numFmtId="14" fontId="1" fillId="4" borderId="12" xfId="60" applyNumberFormat="1" applyFont="1" applyFill="1" applyBorder="1" applyAlignment="1" applyProtection="1">
      <alignment horizontal="center" vertical="center" wrapText="1"/>
      <protection locked="0"/>
    </xf>
    <xf numFmtId="49" fontId="6" fillId="4" borderId="10" xfId="60" applyNumberFormat="1" applyFont="1" applyFill="1" applyBorder="1" applyAlignment="1" applyProtection="1">
      <alignment horizontal="center" vertical="center" wrapText="1"/>
      <protection locked="0"/>
    </xf>
    <xf numFmtId="167" fontId="1" fillId="4" borderId="27" xfId="60" applyFont="1" applyFill="1" applyBorder="1" applyAlignment="1" applyProtection="1">
      <alignment horizontal="center" vertical="center" wrapText="1"/>
      <protection locked="0"/>
    </xf>
    <xf numFmtId="9" fontId="1" fillId="4" borderId="10" xfId="66" applyFont="1" applyFill="1" applyBorder="1" applyAlignment="1" applyProtection="1">
      <alignment horizontal="center" vertical="center" wrapText="1"/>
      <protection locked="0"/>
    </xf>
    <xf numFmtId="167" fontId="1" fillId="4" borderId="75" xfId="60" applyFont="1" applyFill="1" applyBorder="1" applyAlignment="1" applyProtection="1">
      <alignment horizontal="justify" vertical="center" wrapText="1"/>
      <protection locked="0"/>
    </xf>
    <xf numFmtId="3" fontId="1" fillId="4" borderId="10" xfId="60" applyNumberFormat="1" applyFont="1" applyFill="1" applyBorder="1" applyAlignment="1" applyProtection="1">
      <alignment horizontal="center" vertical="center" wrapText="1"/>
      <protection locked="0"/>
    </xf>
    <xf numFmtId="49" fontId="1" fillId="4" borderId="37" xfId="60" applyNumberFormat="1" applyFont="1" applyFill="1" applyBorder="1" applyAlignment="1" applyProtection="1">
      <alignment horizontal="center" vertical="center" wrapText="1"/>
      <protection locked="0"/>
    </xf>
    <xf numFmtId="49" fontId="1" fillId="4" borderId="24" xfId="60" applyNumberFormat="1" applyFont="1" applyFill="1" applyBorder="1" applyAlignment="1" applyProtection="1">
      <alignment horizontal="center" vertical="center" wrapText="1"/>
      <protection locked="0"/>
    </xf>
    <xf numFmtId="49" fontId="1" fillId="4" borderId="12" xfId="60" applyNumberFormat="1" applyFont="1" applyFill="1" applyBorder="1" applyAlignment="1" applyProtection="1">
      <alignment horizontal="center" vertical="center" wrapText="1"/>
      <protection locked="0"/>
    </xf>
    <xf numFmtId="3" fontId="1" fillId="4" borderId="37" xfId="60" applyNumberFormat="1" applyFont="1" applyFill="1" applyBorder="1" applyAlignment="1" applyProtection="1">
      <alignment horizontal="center" vertical="center" textRotation="1" wrapText="1"/>
      <protection locked="0"/>
    </xf>
    <xf numFmtId="3" fontId="1" fillId="4" borderId="24" xfId="60" applyNumberFormat="1" applyFont="1" applyFill="1" applyBorder="1" applyAlignment="1" applyProtection="1">
      <alignment horizontal="center" vertical="center" textRotation="1" wrapText="1"/>
      <protection locked="0"/>
    </xf>
    <xf numFmtId="3" fontId="1" fillId="4" borderId="12" xfId="60" applyNumberFormat="1" applyFont="1" applyFill="1" applyBorder="1" applyAlignment="1" applyProtection="1">
      <alignment horizontal="center" vertical="center" textRotation="1" wrapText="1"/>
      <protection locked="0"/>
    </xf>
    <xf numFmtId="185" fontId="1" fillId="0" borderId="12" xfId="60" applyNumberFormat="1" applyFont="1" applyFill="1" applyBorder="1" applyAlignment="1" applyProtection="1">
      <alignment horizontal="center" vertical="center"/>
      <protection locked="0"/>
    </xf>
    <xf numFmtId="185" fontId="1" fillId="0" borderId="10" xfId="60" applyNumberFormat="1" applyFont="1" applyFill="1" applyBorder="1" applyAlignment="1" applyProtection="1">
      <alignment horizontal="center" vertical="center"/>
      <protection locked="0"/>
    </xf>
    <xf numFmtId="167" fontId="1" fillId="0" borderId="12" xfId="60" applyFont="1" applyFill="1" applyBorder="1" applyAlignment="1" applyProtection="1">
      <alignment horizontal="justify" vertical="center" wrapText="1"/>
      <protection locked="0"/>
    </xf>
    <xf numFmtId="167" fontId="1" fillId="0" borderId="10" xfId="60" applyFont="1" applyFill="1" applyBorder="1" applyAlignment="1" applyProtection="1">
      <alignment horizontal="justify" vertical="center" wrapText="1"/>
      <protection locked="0"/>
    </xf>
    <xf numFmtId="167" fontId="1" fillId="4" borderId="24" xfId="60" applyFont="1" applyFill="1" applyBorder="1" applyAlignment="1" applyProtection="1">
      <alignment horizontal="center" vertical="center"/>
      <protection locked="0"/>
    </xf>
    <xf numFmtId="188" fontId="1" fillId="4" borderId="12" xfId="60" applyNumberFormat="1" applyFont="1" applyFill="1" applyBorder="1" applyAlignment="1" applyProtection="1">
      <alignment horizontal="center" vertical="center"/>
      <protection locked="0"/>
    </xf>
    <xf numFmtId="188" fontId="1" fillId="4" borderId="10" xfId="60" applyNumberFormat="1" applyFont="1" applyFill="1" applyBorder="1" applyAlignment="1" applyProtection="1">
      <alignment horizontal="center" vertical="center"/>
      <protection locked="0"/>
    </xf>
    <xf numFmtId="185" fontId="6" fillId="4" borderId="37" xfId="60" applyNumberFormat="1" applyFont="1" applyFill="1" applyBorder="1" applyAlignment="1" applyProtection="1">
      <alignment horizontal="center" vertical="center"/>
      <protection locked="0"/>
    </xf>
    <xf numFmtId="185" fontId="6" fillId="4" borderId="24" xfId="60" applyNumberFormat="1" applyFont="1" applyFill="1" applyBorder="1" applyAlignment="1" applyProtection="1">
      <alignment horizontal="center" vertical="center"/>
      <protection locked="0"/>
    </xf>
    <xf numFmtId="185" fontId="6" fillId="4" borderId="12" xfId="60" applyNumberFormat="1" applyFont="1" applyFill="1" applyBorder="1" applyAlignment="1" applyProtection="1">
      <alignment horizontal="center" vertical="center"/>
      <protection locked="0"/>
    </xf>
    <xf numFmtId="167" fontId="1" fillId="4" borderId="24" xfId="60" applyFont="1" applyFill="1" applyBorder="1" applyAlignment="1" applyProtection="1">
      <alignment horizontal="center" vertical="center" wrapText="1"/>
      <protection locked="0"/>
    </xf>
    <xf numFmtId="167" fontId="1" fillId="4" borderId="12" xfId="60" applyFont="1" applyFill="1" applyBorder="1" applyAlignment="1" applyProtection="1">
      <alignment horizontal="center" vertical="center" wrapText="1"/>
      <protection locked="0"/>
    </xf>
    <xf numFmtId="0" fontId="1" fillId="4" borderId="24" xfId="60" applyNumberFormat="1" applyFont="1" applyFill="1" applyBorder="1" applyAlignment="1" applyProtection="1">
      <alignment horizontal="center" vertical="center" wrapText="1"/>
      <protection locked="0"/>
    </xf>
    <xf numFmtId="167" fontId="1" fillId="4" borderId="12" xfId="60" applyFont="1" applyFill="1" applyBorder="1" applyAlignment="1" applyProtection="1">
      <alignment horizontal="justify" vertical="center" wrapText="1"/>
      <protection locked="0"/>
    </xf>
    <xf numFmtId="167" fontId="1" fillId="4" borderId="37" xfId="60" applyFont="1" applyFill="1" applyBorder="1" applyAlignment="1" applyProtection="1">
      <alignment horizontal="justify" vertical="center" wrapText="1"/>
      <protection locked="0"/>
    </xf>
    <xf numFmtId="185" fontId="1" fillId="4" borderId="10" xfId="60" applyNumberFormat="1" applyFont="1" applyFill="1" applyBorder="1" applyAlignment="1" applyProtection="1">
      <alignment horizontal="center" vertical="center"/>
      <protection locked="0"/>
    </xf>
    <xf numFmtId="185" fontId="1" fillId="4" borderId="37" xfId="60" applyNumberFormat="1" applyFont="1" applyFill="1" applyBorder="1" applyAlignment="1" applyProtection="1">
      <alignment horizontal="center" vertical="center"/>
      <protection locked="0"/>
    </xf>
    <xf numFmtId="185" fontId="2" fillId="12" borderId="14" xfId="60" applyNumberFormat="1" applyFont="1" applyFill="1" applyBorder="1" applyAlignment="1" applyProtection="1">
      <alignment horizontal="center" vertical="center" wrapText="1"/>
      <protection locked="0"/>
    </xf>
    <xf numFmtId="185" fontId="2" fillId="12" borderId="34" xfId="60" applyNumberFormat="1" applyFont="1" applyFill="1" applyBorder="1" applyAlignment="1" applyProtection="1">
      <alignment horizontal="center" vertical="center" wrapText="1"/>
      <protection locked="0"/>
    </xf>
    <xf numFmtId="9" fontId="1" fillId="4" borderId="37" xfId="66" applyFont="1" applyFill="1" applyBorder="1" applyAlignment="1" applyProtection="1">
      <alignment horizontal="center" vertical="center"/>
      <protection locked="0"/>
    </xf>
    <xf numFmtId="9" fontId="1" fillId="4" borderId="24" xfId="66" applyFont="1" applyFill="1" applyBorder="1" applyAlignment="1" applyProtection="1">
      <alignment horizontal="center" vertical="center"/>
      <protection locked="0"/>
    </xf>
    <xf numFmtId="9" fontId="1" fillId="4" borderId="12" xfId="66" applyFont="1" applyFill="1" applyBorder="1" applyAlignment="1" applyProtection="1">
      <alignment horizontal="center" vertical="center"/>
      <protection locked="0"/>
    </xf>
    <xf numFmtId="167" fontId="4" fillId="4" borderId="37" xfId="60" applyFont="1" applyFill="1" applyBorder="1" applyAlignment="1" applyProtection="1">
      <alignment horizontal="justify" vertical="center" wrapText="1"/>
      <protection locked="0"/>
    </xf>
    <xf numFmtId="167" fontId="4" fillId="4" borderId="24" xfId="60" applyFont="1" applyFill="1" applyBorder="1" applyAlignment="1" applyProtection="1">
      <alignment horizontal="justify" vertical="center" wrapText="1"/>
      <protection locked="0"/>
    </xf>
    <xf numFmtId="170" fontId="1" fillId="4" borderId="24" xfId="60" applyNumberFormat="1" applyFont="1" applyFill="1" applyBorder="1" applyAlignment="1" applyProtection="1">
      <alignment horizontal="center" vertical="center"/>
      <protection locked="0"/>
    </xf>
    <xf numFmtId="167" fontId="4" fillId="4" borderId="12" xfId="60" applyFont="1" applyFill="1" applyBorder="1" applyAlignment="1" applyProtection="1">
      <alignment horizontal="justify" vertical="center" wrapText="1"/>
      <protection locked="0"/>
    </xf>
    <xf numFmtId="170" fontId="1" fillId="0" borderId="12" xfId="60" applyNumberFormat="1" applyFont="1" applyFill="1" applyBorder="1" applyAlignment="1" applyProtection="1">
      <alignment horizontal="center" vertical="center"/>
      <protection locked="0"/>
    </xf>
    <xf numFmtId="185" fontId="6" fillId="4" borderId="10" xfId="60" applyNumberFormat="1" applyFont="1" applyFill="1" applyBorder="1" applyAlignment="1" applyProtection="1">
      <alignment horizontal="center" vertical="center"/>
      <protection locked="0"/>
    </xf>
    <xf numFmtId="9" fontId="1" fillId="4" borderId="10" xfId="66" applyFont="1" applyFill="1" applyBorder="1" applyAlignment="1" applyProtection="1">
      <alignment horizontal="center" vertical="center"/>
      <protection locked="0"/>
    </xf>
    <xf numFmtId="185" fontId="1" fillId="0" borderId="10" xfId="60" applyNumberFormat="1" applyFont="1" applyFill="1" applyBorder="1" applyAlignment="1" applyProtection="1">
      <alignment horizontal="justify" vertical="center" wrapText="1"/>
      <protection locked="0"/>
    </xf>
    <xf numFmtId="167" fontId="1" fillId="0" borderId="0" xfId="60" applyFont="1" applyBorder="1" applyAlignment="1" applyProtection="1">
      <alignment horizontal="center"/>
      <protection locked="0"/>
    </xf>
    <xf numFmtId="167" fontId="1" fillId="0" borderId="38" xfId="60" applyFont="1" applyBorder="1" applyAlignment="1" applyProtection="1">
      <alignment horizontal="center"/>
      <protection locked="0"/>
    </xf>
    <xf numFmtId="167" fontId="1" fillId="0" borderId="34" xfId="60" applyFont="1" applyBorder="1" applyAlignment="1" applyProtection="1">
      <alignment horizontal="center"/>
      <protection locked="0"/>
    </xf>
    <xf numFmtId="0" fontId="1" fillId="4" borderId="37" xfId="60" applyNumberFormat="1" applyFont="1" applyFill="1" applyBorder="1" applyAlignment="1" applyProtection="1">
      <alignment horizontal="center" vertical="center" wrapText="1"/>
      <protection locked="0"/>
    </xf>
    <xf numFmtId="0" fontId="1" fillId="4" borderId="12" xfId="60" applyNumberFormat="1" applyFont="1" applyFill="1" applyBorder="1" applyAlignment="1" applyProtection="1">
      <alignment horizontal="center" vertical="center" wrapText="1"/>
      <protection locked="0"/>
    </xf>
    <xf numFmtId="167" fontId="1" fillId="4" borderId="24" xfId="60" applyFont="1" applyFill="1" applyBorder="1" applyAlignment="1" applyProtection="1">
      <alignment horizontal="justify" vertical="center" wrapText="1"/>
      <protection locked="0"/>
    </xf>
    <xf numFmtId="0" fontId="1" fillId="0" borderId="37"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1" fontId="1" fillId="4" borderId="37" xfId="60" applyNumberFormat="1" applyFont="1" applyFill="1" applyBorder="1" applyAlignment="1" applyProtection="1">
      <alignment horizontal="center" vertical="center"/>
      <protection locked="0"/>
    </xf>
    <xf numFmtId="1" fontId="1" fillId="4" borderId="12" xfId="60" applyNumberFormat="1" applyFont="1" applyFill="1" applyBorder="1" applyAlignment="1" applyProtection="1">
      <alignment horizontal="center" vertical="center"/>
      <protection locked="0"/>
    </xf>
    <xf numFmtId="1" fontId="6" fillId="4" borderId="37" xfId="60" applyNumberFormat="1" applyFont="1" applyFill="1" applyBorder="1" applyAlignment="1" applyProtection="1">
      <alignment horizontal="center" vertical="center"/>
      <protection locked="0"/>
    </xf>
    <xf numFmtId="1" fontId="6" fillId="4" borderId="12" xfId="60" applyNumberFormat="1" applyFont="1" applyFill="1" applyBorder="1" applyAlignment="1" applyProtection="1">
      <alignment horizontal="center" vertical="center"/>
      <protection locked="0"/>
    </xf>
    <xf numFmtId="1" fontId="1" fillId="4" borderId="10" xfId="60" applyNumberFormat="1" applyFont="1" applyFill="1" applyBorder="1" applyAlignment="1" applyProtection="1">
      <alignment horizontal="center" vertical="center"/>
      <protection locked="0"/>
    </xf>
    <xf numFmtId="180" fontId="6" fillId="4" borderId="37" xfId="60" applyNumberFormat="1" applyFont="1" applyFill="1" applyBorder="1" applyAlignment="1" applyProtection="1">
      <alignment horizontal="center" vertical="center"/>
      <protection locked="0"/>
    </xf>
    <xf numFmtId="180" fontId="6" fillId="4" borderId="24" xfId="60" applyNumberFormat="1" applyFont="1" applyFill="1" applyBorder="1" applyAlignment="1" applyProtection="1">
      <alignment horizontal="center" vertical="center"/>
      <protection locked="0"/>
    </xf>
    <xf numFmtId="180" fontId="6" fillId="4" borderId="12" xfId="60" applyNumberFormat="1" applyFont="1" applyFill="1" applyBorder="1" applyAlignment="1" applyProtection="1">
      <alignment horizontal="center" vertical="center"/>
      <protection locked="0"/>
    </xf>
    <xf numFmtId="185" fontId="1" fillId="0" borderId="37" xfId="60" applyNumberFormat="1" applyFont="1" applyFill="1" applyBorder="1" applyAlignment="1" applyProtection="1">
      <alignment horizontal="center" vertical="center"/>
      <protection locked="0"/>
    </xf>
    <xf numFmtId="185" fontId="1" fillId="0" borderId="24" xfId="60" applyNumberFormat="1" applyFont="1" applyFill="1" applyBorder="1" applyAlignment="1" applyProtection="1">
      <alignment horizontal="center" vertical="center"/>
      <protection locked="0"/>
    </xf>
    <xf numFmtId="167" fontId="1" fillId="0" borderId="37" xfId="60" applyFont="1" applyFill="1" applyBorder="1" applyAlignment="1" applyProtection="1">
      <alignment horizontal="center" vertical="center" wrapText="1"/>
      <protection locked="0"/>
    </xf>
    <xf numFmtId="167" fontId="1" fillId="0" borderId="24" xfId="60" applyFont="1" applyFill="1" applyBorder="1" applyAlignment="1" applyProtection="1">
      <alignment horizontal="center" vertical="center" wrapText="1"/>
      <protection locked="0"/>
    </xf>
    <xf numFmtId="167" fontId="1" fillId="0" borderId="12" xfId="60" applyFont="1" applyFill="1" applyBorder="1" applyAlignment="1" applyProtection="1">
      <alignment horizontal="center" vertical="center" wrapText="1"/>
      <protection locked="0"/>
    </xf>
    <xf numFmtId="1" fontId="1" fillId="4" borderId="24" xfId="60" applyNumberFormat="1" applyFont="1" applyFill="1" applyBorder="1" applyAlignment="1" applyProtection="1">
      <alignment horizontal="center" vertical="center"/>
      <protection locked="0"/>
    </xf>
    <xf numFmtId="1" fontId="6" fillId="4" borderId="10" xfId="60" applyNumberFormat="1" applyFont="1" applyFill="1" applyBorder="1" applyAlignment="1" applyProtection="1">
      <alignment horizontal="center" vertical="center"/>
      <protection locked="0"/>
    </xf>
    <xf numFmtId="169" fontId="1" fillId="0" borderId="39" xfId="60" applyNumberFormat="1" applyFont="1" applyBorder="1" applyAlignment="1" applyProtection="1">
      <alignment horizontal="center" vertical="center" wrapText="1"/>
      <protection locked="0"/>
    </xf>
    <xf numFmtId="169" fontId="1" fillId="0" borderId="39" xfId="60" applyNumberFormat="1" applyFont="1" applyBorder="1" applyAlignment="1" applyProtection="1">
      <alignment horizontal="center" vertical="center"/>
      <protection locked="0"/>
    </xf>
    <xf numFmtId="169" fontId="1" fillId="0" borderId="36" xfId="60" applyNumberFormat="1" applyFont="1" applyBorder="1" applyAlignment="1" applyProtection="1">
      <alignment horizontal="center" vertical="center"/>
      <protection locked="0"/>
    </xf>
    <xf numFmtId="172" fontId="1" fillId="0" borderId="12" xfId="47" applyNumberFormat="1" applyFont="1" applyFill="1" applyBorder="1" applyAlignment="1" applyProtection="1">
      <alignment horizontal="center" vertical="center"/>
      <protection locked="0"/>
    </xf>
    <xf numFmtId="14" fontId="1" fillId="0" borderId="37" xfId="60" applyNumberFormat="1" applyFont="1" applyBorder="1" applyAlignment="1" applyProtection="1">
      <alignment horizontal="center" vertical="center"/>
      <protection locked="0"/>
    </xf>
    <xf numFmtId="14" fontId="1" fillId="0" borderId="12" xfId="60" applyNumberFormat="1" applyFont="1" applyBorder="1" applyAlignment="1" applyProtection="1">
      <alignment horizontal="center" vertical="center"/>
      <protection locked="0"/>
    </xf>
    <xf numFmtId="14" fontId="6" fillId="0" borderId="37" xfId="60" applyNumberFormat="1" applyFont="1" applyBorder="1" applyAlignment="1" applyProtection="1">
      <alignment horizontal="center" vertical="center"/>
      <protection locked="0"/>
    </xf>
    <xf numFmtId="14" fontId="6" fillId="0" borderId="12" xfId="60" applyNumberFormat="1" applyFont="1" applyBorder="1" applyAlignment="1" applyProtection="1">
      <alignment horizontal="center" vertical="center"/>
      <protection locked="0"/>
    </xf>
    <xf numFmtId="167" fontId="4" fillId="0" borderId="37" xfId="60" applyFont="1" applyFill="1" applyBorder="1" applyAlignment="1" applyProtection="1">
      <alignment horizontal="justify" vertical="center" wrapText="1"/>
      <protection locked="0"/>
    </xf>
    <xf numFmtId="167" fontId="4" fillId="0" borderId="12" xfId="60" applyFont="1" applyFill="1" applyBorder="1" applyAlignment="1" applyProtection="1">
      <alignment horizontal="justify" vertical="center" wrapText="1"/>
      <protection locked="0"/>
    </xf>
    <xf numFmtId="172" fontId="1" fillId="0" borderId="37" xfId="47" applyNumberFormat="1" applyFont="1" applyBorder="1" applyAlignment="1" applyProtection="1">
      <alignment horizontal="center" vertical="center"/>
      <protection locked="0"/>
    </xf>
    <xf numFmtId="172" fontId="1" fillId="0" borderId="12" xfId="47" applyNumberFormat="1" applyFont="1" applyBorder="1" applyAlignment="1" applyProtection="1">
      <alignment horizontal="center" vertical="center"/>
      <protection locked="0"/>
    </xf>
    <xf numFmtId="185" fontId="1" fillId="0" borderId="37" xfId="60" applyNumberFormat="1" applyFont="1" applyBorder="1" applyAlignment="1" applyProtection="1">
      <alignment horizontal="right" vertical="center"/>
      <protection locked="0"/>
    </xf>
    <xf numFmtId="185" fontId="1" fillId="0" borderId="12" xfId="60" applyNumberFormat="1" applyFont="1" applyBorder="1" applyAlignment="1" applyProtection="1">
      <alignment horizontal="right" vertical="center"/>
      <protection locked="0"/>
    </xf>
    <xf numFmtId="167" fontId="1" fillId="12" borderId="20" xfId="60" applyFont="1" applyFill="1" applyBorder="1" applyAlignment="1" applyProtection="1">
      <alignment horizontal="center"/>
      <protection locked="0"/>
    </xf>
    <xf numFmtId="167" fontId="1" fillId="12" borderId="41" xfId="60" applyFont="1" applyFill="1" applyBorder="1" applyAlignment="1" applyProtection="1">
      <alignment horizontal="center"/>
      <protection locked="0"/>
    </xf>
    <xf numFmtId="185" fontId="2" fillId="12" borderId="0" xfId="60" applyNumberFormat="1" applyFont="1" applyFill="1" applyBorder="1" applyAlignment="1" applyProtection="1">
      <alignment horizontal="center" vertical="center" wrapText="1"/>
      <protection locked="0"/>
    </xf>
    <xf numFmtId="167" fontId="1" fillId="0" borderId="37" xfId="60" applyFont="1" applyFill="1" applyBorder="1" applyAlignment="1" applyProtection="1">
      <alignment horizontal="center" vertical="center"/>
      <protection locked="0"/>
    </xf>
    <xf numFmtId="167" fontId="1" fillId="0" borderId="24" xfId="60" applyFont="1" applyFill="1" applyBorder="1" applyAlignment="1" applyProtection="1">
      <alignment horizontal="center" vertical="center"/>
      <protection locked="0"/>
    </xf>
    <xf numFmtId="167" fontId="1" fillId="0" borderId="12" xfId="60" applyFont="1" applyFill="1" applyBorder="1" applyAlignment="1" applyProtection="1">
      <alignment horizontal="center" vertical="center"/>
      <protection locked="0"/>
    </xf>
    <xf numFmtId="185" fontId="6" fillId="0" borderId="37" xfId="60" applyNumberFormat="1" applyFont="1" applyFill="1" applyBorder="1" applyAlignment="1" applyProtection="1">
      <alignment horizontal="center" vertical="center"/>
      <protection locked="0"/>
    </xf>
    <xf numFmtId="185" fontId="6" fillId="0" borderId="24" xfId="60" applyNumberFormat="1" applyFont="1" applyFill="1" applyBorder="1" applyAlignment="1" applyProtection="1">
      <alignment horizontal="center" vertical="center"/>
      <protection locked="0"/>
    </xf>
    <xf numFmtId="185" fontId="6" fillId="0" borderId="12" xfId="60" applyNumberFormat="1" applyFont="1" applyFill="1" applyBorder="1" applyAlignment="1" applyProtection="1">
      <alignment horizontal="center" vertical="center"/>
      <protection locked="0"/>
    </xf>
    <xf numFmtId="172" fontId="1" fillId="0" borderId="24" xfId="47" applyNumberFormat="1" applyFont="1" applyBorder="1" applyAlignment="1" applyProtection="1">
      <alignment horizontal="center" vertical="center"/>
      <protection locked="0"/>
    </xf>
    <xf numFmtId="185" fontId="1" fillId="0" borderId="24" xfId="60" applyNumberFormat="1" applyFont="1" applyBorder="1" applyAlignment="1" applyProtection="1">
      <alignment horizontal="right" vertical="center"/>
      <protection locked="0"/>
    </xf>
    <xf numFmtId="9" fontId="1" fillId="0" borderId="37" xfId="66" applyFont="1" applyBorder="1" applyAlignment="1" applyProtection="1">
      <alignment horizontal="center" vertical="center"/>
      <protection locked="0"/>
    </xf>
    <xf numFmtId="9" fontId="1" fillId="0" borderId="24" xfId="66" applyFont="1" applyBorder="1" applyAlignment="1" applyProtection="1">
      <alignment horizontal="center" vertical="center"/>
      <protection locked="0"/>
    </xf>
    <xf numFmtId="9" fontId="1" fillId="0" borderId="12" xfId="66" applyFont="1" applyBorder="1" applyAlignment="1" applyProtection="1">
      <alignment horizontal="center" vertical="center"/>
      <protection locked="0"/>
    </xf>
    <xf numFmtId="185" fontId="1" fillId="0" borderId="24" xfId="60" applyNumberFormat="1" applyFont="1" applyBorder="1" applyAlignment="1" applyProtection="1">
      <alignment horizontal="center" vertical="center"/>
      <protection locked="0"/>
    </xf>
    <xf numFmtId="185" fontId="1" fillId="0" borderId="37" xfId="60" applyNumberFormat="1" applyFont="1" applyBorder="1" applyAlignment="1" applyProtection="1">
      <alignment horizontal="center" vertical="center" wrapText="1"/>
      <protection locked="0"/>
    </xf>
    <xf numFmtId="185" fontId="1" fillId="0" borderId="24" xfId="60" applyNumberFormat="1" applyFont="1" applyBorder="1" applyAlignment="1" applyProtection="1">
      <alignment horizontal="center" vertical="center" wrapText="1"/>
      <protection locked="0"/>
    </xf>
    <xf numFmtId="185" fontId="1" fillId="0" borderId="12" xfId="60" applyNumberFormat="1" applyFont="1" applyBorder="1" applyAlignment="1" applyProtection="1">
      <alignment horizontal="center" vertical="center" wrapText="1"/>
      <protection locked="0"/>
    </xf>
    <xf numFmtId="14" fontId="1" fillId="0" borderId="24" xfId="60" applyNumberFormat="1" applyFont="1" applyBorder="1" applyAlignment="1" applyProtection="1">
      <alignment horizontal="center" vertical="center"/>
      <protection locked="0"/>
    </xf>
    <xf numFmtId="170" fontId="1" fillId="0" borderId="10" xfId="60" applyNumberFormat="1" applyFont="1" applyFill="1" applyBorder="1" applyAlignment="1" applyProtection="1">
      <alignment horizontal="center" vertical="center"/>
      <protection locked="0"/>
    </xf>
    <xf numFmtId="167" fontId="1" fillId="0" borderId="55" xfId="60" applyFont="1" applyBorder="1" applyAlignment="1" applyProtection="1">
      <alignment horizontal="center" vertical="center" wrapText="1"/>
      <protection locked="0"/>
    </xf>
    <xf numFmtId="167" fontId="1" fillId="0" borderId="39" xfId="60" applyFont="1" applyBorder="1" applyAlignment="1" applyProtection="1">
      <alignment horizontal="center" vertical="center" wrapText="1"/>
      <protection locked="0"/>
    </xf>
    <xf numFmtId="167" fontId="1" fillId="0" borderId="39" xfId="60" applyFont="1" applyBorder="1" applyAlignment="1" applyProtection="1">
      <alignment horizontal="center" vertical="center"/>
      <protection locked="0"/>
    </xf>
    <xf numFmtId="167" fontId="1" fillId="0" borderId="44" xfId="60" applyFont="1" applyBorder="1" applyAlignment="1" applyProtection="1">
      <alignment horizontal="center" vertical="center"/>
      <protection locked="0"/>
    </xf>
    <xf numFmtId="167" fontId="1" fillId="0" borderId="36" xfId="60" applyFont="1" applyBorder="1" applyAlignment="1" applyProtection="1">
      <alignment horizontal="center" vertical="center"/>
      <protection locked="0"/>
    </xf>
    <xf numFmtId="167" fontId="4" fillId="0" borderId="24" xfId="60" applyFont="1" applyFill="1" applyBorder="1" applyAlignment="1" applyProtection="1">
      <alignment horizontal="justify" vertical="center" wrapText="1"/>
      <protection locked="0"/>
    </xf>
    <xf numFmtId="9" fontId="1" fillId="0" borderId="37" xfId="66" applyFont="1" applyFill="1" applyBorder="1" applyAlignment="1" applyProtection="1">
      <alignment horizontal="center" vertical="center"/>
      <protection locked="0"/>
    </xf>
    <xf numFmtId="9" fontId="1" fillId="0" borderId="24" xfId="66" applyFont="1" applyFill="1" applyBorder="1" applyAlignment="1" applyProtection="1">
      <alignment horizontal="center" vertical="center"/>
      <protection locked="0"/>
    </xf>
    <xf numFmtId="9" fontId="1" fillId="0" borderId="12" xfId="66" applyFont="1" applyFill="1" applyBorder="1" applyAlignment="1" applyProtection="1">
      <alignment horizontal="center" vertical="center"/>
      <protection locked="0"/>
    </xf>
    <xf numFmtId="14" fontId="6" fillId="0" borderId="24" xfId="60" applyNumberFormat="1" applyFont="1" applyBorder="1" applyAlignment="1" applyProtection="1">
      <alignment horizontal="center" vertical="center"/>
      <protection locked="0"/>
    </xf>
    <xf numFmtId="167" fontId="1" fillId="0" borderId="20" xfId="60" applyFont="1" applyFill="1" applyBorder="1" applyAlignment="1" applyProtection="1">
      <alignment horizontal="center" vertical="center" wrapText="1"/>
      <protection locked="0"/>
    </xf>
    <xf numFmtId="167" fontId="1" fillId="0" borderId="44" xfId="60" applyFont="1" applyFill="1" applyBorder="1" applyAlignment="1" applyProtection="1">
      <alignment horizontal="center" vertical="center" wrapText="1"/>
      <protection locked="0"/>
    </xf>
    <xf numFmtId="167" fontId="1" fillId="0" borderId="39" xfId="60" applyFont="1" applyFill="1" applyBorder="1" applyAlignment="1" applyProtection="1">
      <alignment horizontal="center" vertical="center" wrapText="1"/>
      <protection locked="0"/>
    </xf>
    <xf numFmtId="167" fontId="1" fillId="0" borderId="41" xfId="60" applyFont="1" applyFill="1" applyBorder="1" applyAlignment="1" applyProtection="1">
      <alignment horizontal="center" vertical="center" wrapText="1"/>
      <protection locked="0"/>
    </xf>
    <xf numFmtId="185" fontId="6" fillId="0" borderId="42" xfId="60" applyNumberFormat="1" applyFont="1" applyFill="1" applyBorder="1" applyAlignment="1" applyProtection="1">
      <alignment horizontal="center" vertical="center" textRotation="180"/>
      <protection locked="0"/>
    </xf>
    <xf numFmtId="185" fontId="6" fillId="0" borderId="25" xfId="60" applyNumberFormat="1" applyFont="1" applyFill="1" applyBorder="1" applyAlignment="1" applyProtection="1">
      <alignment horizontal="center" vertical="center" textRotation="180"/>
      <protection locked="0"/>
    </xf>
    <xf numFmtId="185" fontId="6" fillId="0" borderId="26" xfId="60" applyNumberFormat="1" applyFont="1" applyFill="1" applyBorder="1" applyAlignment="1" applyProtection="1">
      <alignment horizontal="center" vertical="center" textRotation="180"/>
      <protection locked="0"/>
    </xf>
    <xf numFmtId="14" fontId="6" fillId="0" borderId="25" xfId="60" applyNumberFormat="1" applyFont="1" applyFill="1" applyBorder="1" applyAlignment="1" applyProtection="1">
      <alignment horizontal="center" vertical="center"/>
      <protection locked="0"/>
    </xf>
    <xf numFmtId="14" fontId="6" fillId="0" borderId="26" xfId="60" applyNumberFormat="1" applyFont="1" applyFill="1" applyBorder="1" applyAlignment="1" applyProtection="1">
      <alignment horizontal="center" vertical="center"/>
      <protection locked="0"/>
    </xf>
    <xf numFmtId="14" fontId="1" fillId="0" borderId="25" xfId="60" applyNumberFormat="1" applyFont="1" applyFill="1" applyBorder="1" applyAlignment="1" applyProtection="1">
      <alignment horizontal="center" vertical="center"/>
      <protection locked="0"/>
    </xf>
    <xf numFmtId="14" fontId="1" fillId="0" borderId="26" xfId="60" applyNumberFormat="1" applyFont="1" applyFill="1" applyBorder="1" applyAlignment="1" applyProtection="1">
      <alignment horizontal="center" vertical="center"/>
      <protection locked="0"/>
    </xf>
    <xf numFmtId="9" fontId="1" fillId="0" borderId="25" xfId="66" applyFont="1" applyFill="1" applyBorder="1" applyAlignment="1" applyProtection="1">
      <alignment horizontal="center" vertical="center"/>
      <protection locked="0"/>
    </xf>
    <xf numFmtId="9" fontId="1" fillId="0" borderId="26" xfId="66" applyFont="1" applyFill="1" applyBorder="1" applyAlignment="1" applyProtection="1">
      <alignment horizontal="center" vertical="center"/>
      <protection locked="0"/>
    </xf>
    <xf numFmtId="185" fontId="1" fillId="0" borderId="25" xfId="60" applyNumberFormat="1" applyFont="1" applyFill="1" applyBorder="1" applyAlignment="1" applyProtection="1">
      <alignment horizontal="center" vertical="center"/>
      <protection locked="0"/>
    </xf>
    <xf numFmtId="185" fontId="1" fillId="0" borderId="26" xfId="60" applyNumberFormat="1" applyFont="1" applyFill="1" applyBorder="1" applyAlignment="1" applyProtection="1">
      <alignment horizontal="center" vertical="center"/>
      <protection locked="0"/>
    </xf>
    <xf numFmtId="167" fontId="1" fillId="0" borderId="12" xfId="60" applyFont="1" applyBorder="1" applyAlignment="1" applyProtection="1">
      <alignment horizontal="center"/>
      <protection locked="0"/>
    </xf>
    <xf numFmtId="167" fontId="1" fillId="0" borderId="10" xfId="60" applyFont="1" applyBorder="1" applyAlignment="1" applyProtection="1">
      <alignment horizontal="center"/>
      <protection locked="0"/>
    </xf>
    <xf numFmtId="185" fontId="1" fillId="4" borderId="19" xfId="60" applyNumberFormat="1" applyFont="1" applyFill="1" applyBorder="1" applyAlignment="1" applyProtection="1">
      <alignment horizontal="center" vertical="center"/>
      <protection locked="0"/>
    </xf>
    <xf numFmtId="185" fontId="1" fillId="4" borderId="38" xfId="60" applyNumberFormat="1" applyFont="1" applyFill="1" applyBorder="1" applyAlignment="1" applyProtection="1">
      <alignment horizontal="center" vertical="center"/>
      <protection locked="0"/>
    </xf>
    <xf numFmtId="185" fontId="1" fillId="4" borderId="13" xfId="60" applyNumberFormat="1" applyFont="1" applyFill="1" applyBorder="1" applyAlignment="1" applyProtection="1">
      <alignment horizontal="center" vertical="center"/>
      <protection locked="0"/>
    </xf>
    <xf numFmtId="167" fontId="1" fillId="4" borderId="37" xfId="60" applyFont="1" applyFill="1" applyBorder="1" applyAlignment="1" applyProtection="1">
      <alignment horizontal="center" vertical="center"/>
      <protection locked="0"/>
    </xf>
    <xf numFmtId="167" fontId="1" fillId="4" borderId="12" xfId="60" applyFont="1" applyFill="1" applyBorder="1" applyAlignment="1" applyProtection="1">
      <alignment horizontal="center" vertical="center"/>
      <protection locked="0"/>
    </xf>
    <xf numFmtId="185" fontId="1" fillId="4" borderId="24" xfId="60" applyNumberFormat="1" applyFont="1" applyFill="1" applyBorder="1" applyAlignment="1" applyProtection="1">
      <alignment horizontal="center" vertical="center"/>
      <protection locked="0"/>
    </xf>
    <xf numFmtId="185" fontId="1" fillId="4" borderId="12" xfId="60" applyNumberFormat="1" applyFont="1" applyFill="1" applyBorder="1" applyAlignment="1" applyProtection="1">
      <alignment horizontal="center" vertical="center"/>
      <protection locked="0"/>
    </xf>
    <xf numFmtId="185" fontId="6" fillId="0" borderId="10" xfId="60" applyNumberFormat="1" applyFont="1" applyFill="1" applyBorder="1" applyAlignment="1" applyProtection="1">
      <alignment horizontal="center" vertical="center"/>
      <protection locked="0"/>
    </xf>
    <xf numFmtId="14" fontId="6" fillId="4" borderId="37" xfId="60" applyNumberFormat="1" applyFont="1" applyFill="1" applyBorder="1" applyAlignment="1" applyProtection="1">
      <alignment horizontal="center" vertical="center"/>
      <protection locked="0"/>
    </xf>
    <xf numFmtId="14" fontId="6" fillId="4" borderId="12" xfId="60" applyNumberFormat="1" applyFont="1" applyFill="1" applyBorder="1" applyAlignment="1" applyProtection="1">
      <alignment horizontal="center" vertical="center"/>
      <protection locked="0"/>
    </xf>
    <xf numFmtId="185" fontId="1" fillId="4" borderId="16" xfId="60" applyNumberFormat="1" applyFont="1" applyFill="1" applyBorder="1" applyAlignment="1" applyProtection="1">
      <alignment horizontal="center" vertical="center"/>
      <protection locked="0"/>
    </xf>
    <xf numFmtId="197" fontId="6" fillId="0" borderId="10" xfId="60" applyNumberFormat="1" applyFont="1" applyFill="1" applyBorder="1" applyAlignment="1" applyProtection="1">
      <alignment horizontal="center" vertical="center"/>
      <protection locked="0"/>
    </xf>
    <xf numFmtId="185" fontId="4" fillId="4" borderId="37" xfId="60" applyNumberFormat="1" applyFont="1" applyFill="1" applyBorder="1" applyAlignment="1" applyProtection="1">
      <alignment horizontal="justify" vertical="center" wrapText="1"/>
      <protection locked="0"/>
    </xf>
    <xf numFmtId="185" fontId="4" fillId="4" borderId="24" xfId="60" applyNumberFormat="1" applyFont="1" applyFill="1" applyBorder="1" applyAlignment="1" applyProtection="1">
      <alignment horizontal="justify" vertical="center" wrapText="1"/>
      <protection locked="0"/>
    </xf>
    <xf numFmtId="185" fontId="4" fillId="4" borderId="12" xfId="60" applyNumberFormat="1" applyFont="1" applyFill="1" applyBorder="1" applyAlignment="1" applyProtection="1">
      <alignment horizontal="justify" vertical="center" wrapText="1"/>
      <protection locked="0"/>
    </xf>
    <xf numFmtId="185" fontId="1" fillId="4" borderId="37" xfId="60" applyNumberFormat="1" applyFont="1" applyFill="1" applyBorder="1" applyAlignment="1" applyProtection="1">
      <alignment horizontal="left" vertical="center" wrapText="1"/>
      <protection locked="0"/>
    </xf>
    <xf numFmtId="185" fontId="1" fillId="4" borderId="12" xfId="60" applyNumberFormat="1" applyFont="1" applyFill="1" applyBorder="1" applyAlignment="1" applyProtection="1">
      <alignment horizontal="left" vertical="center" wrapText="1"/>
      <protection locked="0"/>
    </xf>
    <xf numFmtId="14" fontId="1" fillId="4" borderId="37" xfId="60" applyNumberFormat="1" applyFont="1" applyFill="1" applyBorder="1" applyAlignment="1" applyProtection="1">
      <alignment horizontal="center" vertical="center"/>
      <protection locked="0"/>
    </xf>
    <xf numFmtId="14" fontId="1" fillId="4" borderId="12" xfId="60" applyNumberFormat="1" applyFont="1" applyFill="1" applyBorder="1" applyAlignment="1" applyProtection="1">
      <alignment horizontal="center" vertical="center"/>
      <protection locked="0"/>
    </xf>
    <xf numFmtId="185" fontId="6" fillId="4" borderId="37" xfId="60" applyNumberFormat="1" applyFont="1" applyFill="1" applyBorder="1" applyAlignment="1" applyProtection="1">
      <alignment horizontal="center" vertical="center" textRotation="180"/>
      <protection locked="0"/>
    </xf>
    <xf numFmtId="185" fontId="6" fillId="4" borderId="24" xfId="60" applyNumberFormat="1" applyFont="1" applyFill="1" applyBorder="1" applyAlignment="1" applyProtection="1">
      <alignment horizontal="center" vertical="center" textRotation="180"/>
      <protection locked="0"/>
    </xf>
    <xf numFmtId="185" fontId="6" fillId="4" borderId="12" xfId="60" applyNumberFormat="1" applyFont="1" applyFill="1" applyBorder="1" applyAlignment="1" applyProtection="1">
      <alignment horizontal="center" vertical="center" textRotation="180"/>
      <protection locked="0"/>
    </xf>
    <xf numFmtId="185" fontId="1" fillId="4" borderId="37" xfId="60" applyNumberFormat="1" applyFont="1" applyFill="1" applyBorder="1" applyAlignment="1" applyProtection="1">
      <alignment horizontal="center" vertical="center" textRotation="180"/>
      <protection locked="0"/>
    </xf>
    <xf numFmtId="185" fontId="1" fillId="4" borderId="24" xfId="60" applyNumberFormat="1" applyFont="1" applyFill="1" applyBorder="1" applyAlignment="1" applyProtection="1">
      <alignment horizontal="center" vertical="center" textRotation="180"/>
      <protection locked="0"/>
    </xf>
    <xf numFmtId="185" fontId="1" fillId="4" borderId="12" xfId="60" applyNumberFormat="1" applyFont="1" applyFill="1" applyBorder="1" applyAlignment="1" applyProtection="1">
      <alignment horizontal="center" vertical="center" textRotation="180"/>
      <protection locked="0"/>
    </xf>
    <xf numFmtId="197" fontId="6" fillId="0" borderId="37" xfId="60" applyNumberFormat="1" applyFont="1" applyFill="1" applyBorder="1" applyAlignment="1" applyProtection="1">
      <alignment horizontal="center" vertical="center"/>
      <protection locked="0"/>
    </xf>
    <xf numFmtId="197" fontId="6" fillId="0" borderId="24" xfId="60" applyNumberFormat="1" applyFont="1" applyFill="1" applyBorder="1" applyAlignment="1" applyProtection="1">
      <alignment horizontal="center" vertical="center"/>
      <protection locked="0"/>
    </xf>
    <xf numFmtId="197" fontId="6" fillId="0" borderId="12" xfId="60" applyNumberFormat="1" applyFont="1" applyFill="1" applyBorder="1" applyAlignment="1" applyProtection="1">
      <alignment horizontal="center" vertical="center"/>
      <protection locked="0"/>
    </xf>
    <xf numFmtId="0" fontId="1" fillId="4" borderId="37" xfId="60" applyNumberFormat="1" applyFont="1" applyFill="1" applyBorder="1" applyAlignment="1" applyProtection="1">
      <alignment horizontal="center" vertical="center"/>
      <protection locked="0"/>
    </xf>
    <xf numFmtId="0" fontId="1" fillId="4" borderId="24" xfId="60" applyNumberFormat="1" applyFont="1" applyFill="1" applyBorder="1" applyAlignment="1" applyProtection="1">
      <alignment horizontal="center" vertical="center"/>
      <protection locked="0"/>
    </xf>
    <xf numFmtId="0" fontId="1" fillId="4" borderId="12" xfId="60" applyNumberFormat="1" applyFont="1" applyFill="1" applyBorder="1" applyAlignment="1" applyProtection="1">
      <alignment horizontal="center" vertical="center"/>
      <protection locked="0"/>
    </xf>
    <xf numFmtId="185" fontId="2" fillId="21" borderId="14" xfId="60" applyNumberFormat="1" applyFont="1" applyFill="1" applyBorder="1" applyAlignment="1" applyProtection="1">
      <alignment horizontal="center" vertical="center" wrapText="1"/>
      <protection locked="0"/>
    </xf>
    <xf numFmtId="185" fontId="2" fillId="21" borderId="0" xfId="60" applyNumberFormat="1" applyFont="1" applyFill="1" applyBorder="1" applyAlignment="1" applyProtection="1">
      <alignment horizontal="center" vertical="center" wrapText="1"/>
      <protection locked="0"/>
    </xf>
    <xf numFmtId="167" fontId="1" fillId="21" borderId="20" xfId="60" applyFont="1" applyFill="1" applyBorder="1" applyAlignment="1" applyProtection="1">
      <alignment horizontal="center"/>
      <protection locked="0"/>
    </xf>
    <xf numFmtId="167" fontId="1" fillId="21" borderId="41" xfId="60" applyFont="1" applyFill="1" applyBorder="1" applyAlignment="1" applyProtection="1">
      <alignment horizontal="center"/>
      <protection locked="0"/>
    </xf>
    <xf numFmtId="185" fontId="2" fillId="0" borderId="14" xfId="60" applyNumberFormat="1" applyFont="1" applyFill="1" applyBorder="1" applyAlignment="1" applyProtection="1">
      <alignment horizontal="center" vertical="center"/>
      <protection locked="0"/>
    </xf>
    <xf numFmtId="185" fontId="2" fillId="0" borderId="19" xfId="60" applyNumberFormat="1" applyFont="1" applyFill="1" applyBorder="1" applyAlignment="1" applyProtection="1">
      <alignment horizontal="center" vertical="center"/>
      <protection locked="0"/>
    </xf>
    <xf numFmtId="185" fontId="2" fillId="0" borderId="0" xfId="60" applyNumberFormat="1" applyFont="1" applyFill="1" applyBorder="1" applyAlignment="1" applyProtection="1">
      <alignment horizontal="center" vertical="center"/>
      <protection locked="0"/>
    </xf>
    <xf numFmtId="185" fontId="2" fillId="0" borderId="38" xfId="60" applyNumberFormat="1" applyFont="1" applyFill="1" applyBorder="1" applyAlignment="1" applyProtection="1">
      <alignment horizontal="center" vertical="center"/>
      <protection locked="0"/>
    </xf>
    <xf numFmtId="185" fontId="2" fillId="0" borderId="46" xfId="60" applyNumberFormat="1" applyFont="1" applyFill="1" applyBorder="1" applyAlignment="1" applyProtection="1">
      <alignment horizontal="center" vertical="center"/>
      <protection locked="0"/>
    </xf>
    <xf numFmtId="185" fontId="2" fillId="0" borderId="74" xfId="60" applyNumberFormat="1" applyFont="1" applyFill="1" applyBorder="1" applyAlignment="1" applyProtection="1">
      <alignment horizontal="center" vertical="center"/>
      <protection locked="0"/>
    </xf>
    <xf numFmtId="167" fontId="1" fillId="4" borderId="55" xfId="60" applyFont="1" applyFill="1" applyBorder="1" applyAlignment="1" applyProtection="1">
      <alignment horizontal="center" vertical="center" wrapText="1"/>
      <protection locked="0"/>
    </xf>
    <xf numFmtId="167" fontId="1" fillId="4" borderId="39" xfId="60" applyFont="1" applyFill="1" applyBorder="1" applyAlignment="1" applyProtection="1">
      <alignment horizontal="center" vertical="center" wrapText="1"/>
      <protection locked="0"/>
    </xf>
    <xf numFmtId="167" fontId="1" fillId="4" borderId="36" xfId="60" applyFont="1" applyFill="1" applyBorder="1" applyAlignment="1" applyProtection="1">
      <alignment horizontal="center" vertical="center" wrapText="1"/>
      <protection locked="0"/>
    </xf>
    <xf numFmtId="1" fontId="1" fillId="0" borderId="12" xfId="60" applyNumberFormat="1" applyFont="1" applyFill="1" applyBorder="1" applyAlignment="1" applyProtection="1">
      <alignment horizontal="center" vertical="center" wrapText="1"/>
      <protection locked="0"/>
    </xf>
    <xf numFmtId="1" fontId="6" fillId="0" borderId="37" xfId="60" applyNumberFormat="1" applyFont="1" applyFill="1" applyBorder="1" applyAlignment="1" applyProtection="1">
      <alignment horizontal="center" vertical="center" wrapText="1"/>
      <protection locked="0"/>
    </xf>
    <xf numFmtId="1" fontId="6" fillId="0" borderId="12" xfId="60" applyNumberFormat="1" applyFont="1" applyFill="1" applyBorder="1" applyAlignment="1" applyProtection="1">
      <alignment horizontal="center" vertical="center" wrapText="1"/>
      <protection locked="0"/>
    </xf>
    <xf numFmtId="185" fontId="1" fillId="0" borderId="10" xfId="60" applyNumberFormat="1" applyFont="1" applyFill="1" applyBorder="1" applyAlignment="1" applyProtection="1">
      <alignment horizontal="center" vertical="center" textRotation="180"/>
      <protection locked="0"/>
    </xf>
    <xf numFmtId="170" fontId="1" fillId="0" borderId="10" xfId="60" applyNumberFormat="1" applyFont="1" applyFill="1" applyBorder="1" applyAlignment="1" applyProtection="1">
      <alignment horizontal="center" vertical="center" wrapText="1"/>
      <protection locked="0"/>
    </xf>
    <xf numFmtId="167" fontId="1" fillId="4" borderId="12" xfId="60" applyFont="1" applyFill="1" applyBorder="1" applyAlignment="1" applyProtection="1">
      <alignment horizontal="left" vertical="center" wrapText="1"/>
      <protection locked="0"/>
    </xf>
    <xf numFmtId="167" fontId="1" fillId="4" borderId="10" xfId="60" applyFont="1" applyFill="1" applyBorder="1" applyAlignment="1" applyProtection="1">
      <alignment horizontal="left" vertical="center" wrapText="1"/>
      <protection locked="0"/>
    </xf>
    <xf numFmtId="14" fontId="6" fillId="0" borderId="37" xfId="60" applyNumberFormat="1" applyFont="1" applyFill="1" applyBorder="1" applyAlignment="1" applyProtection="1">
      <alignment horizontal="center" vertical="center" wrapText="1"/>
      <protection locked="0"/>
    </xf>
    <xf numFmtId="14" fontId="6" fillId="0" borderId="12" xfId="60" applyNumberFormat="1" applyFont="1" applyFill="1" applyBorder="1" applyAlignment="1" applyProtection="1">
      <alignment horizontal="center" vertical="center" wrapText="1"/>
      <protection locked="0"/>
    </xf>
    <xf numFmtId="14" fontId="1" fillId="0" borderId="37" xfId="60" applyNumberFormat="1" applyFont="1" applyFill="1" applyBorder="1" applyAlignment="1" applyProtection="1">
      <alignment horizontal="center" vertical="center" wrapText="1"/>
      <protection locked="0"/>
    </xf>
    <xf numFmtId="14" fontId="1" fillId="0" borderId="12" xfId="60" applyNumberFormat="1" applyFont="1" applyFill="1" applyBorder="1" applyAlignment="1" applyProtection="1">
      <alignment horizontal="center" vertical="center" wrapText="1"/>
      <protection locked="0"/>
    </xf>
    <xf numFmtId="167" fontId="1" fillId="4" borderId="10" xfId="60" applyFont="1" applyFill="1" applyBorder="1" applyAlignment="1" applyProtection="1">
      <alignment horizontal="center" vertical="center"/>
      <protection locked="0"/>
    </xf>
    <xf numFmtId="172" fontId="1" fillId="0" borderId="37" xfId="47" applyNumberFormat="1" applyFont="1" applyFill="1" applyBorder="1" applyAlignment="1" applyProtection="1">
      <alignment horizontal="center" vertical="center" wrapText="1"/>
      <protection locked="0"/>
    </xf>
    <xf numFmtId="172" fontId="1" fillId="0" borderId="12" xfId="47" applyNumberFormat="1" applyFont="1" applyFill="1" applyBorder="1" applyAlignment="1" applyProtection="1">
      <alignment horizontal="center" vertical="center" wrapText="1"/>
      <protection locked="0"/>
    </xf>
    <xf numFmtId="167" fontId="6" fillId="0" borderId="37" xfId="60" applyFont="1" applyFill="1" applyBorder="1" applyAlignment="1" applyProtection="1">
      <alignment horizontal="center" vertical="center" wrapText="1"/>
      <protection locked="0"/>
    </xf>
    <xf numFmtId="167" fontId="6" fillId="0" borderId="12" xfId="60" applyFont="1" applyFill="1" applyBorder="1" applyAlignment="1" applyProtection="1">
      <alignment horizontal="center" vertical="center" wrapText="1"/>
      <protection locked="0"/>
    </xf>
    <xf numFmtId="185" fontId="1" fillId="4" borderId="37" xfId="60" applyNumberFormat="1" applyFont="1" applyFill="1" applyBorder="1" applyAlignment="1" applyProtection="1">
      <alignment horizontal="center" vertical="center" wrapText="1"/>
      <protection locked="0"/>
    </xf>
    <xf numFmtId="185" fontId="1" fillId="4" borderId="24" xfId="60" applyNumberFormat="1" applyFont="1" applyFill="1" applyBorder="1" applyAlignment="1" applyProtection="1">
      <alignment horizontal="center" vertical="center" wrapText="1"/>
      <protection locked="0"/>
    </xf>
    <xf numFmtId="185" fontId="1" fillId="4" borderId="12" xfId="60" applyNumberFormat="1" applyFont="1" applyFill="1" applyBorder="1" applyAlignment="1" applyProtection="1">
      <alignment horizontal="center" vertical="center" wrapText="1"/>
      <protection locked="0"/>
    </xf>
    <xf numFmtId="185" fontId="1" fillId="4" borderId="10" xfId="60" applyNumberFormat="1" applyFont="1" applyFill="1" applyBorder="1" applyAlignment="1" applyProtection="1">
      <alignment horizontal="center" vertical="center" textRotation="180"/>
      <protection locked="0"/>
    </xf>
    <xf numFmtId="185" fontId="2" fillId="12" borderId="19" xfId="60" applyNumberFormat="1" applyFont="1" applyFill="1" applyBorder="1" applyAlignment="1" applyProtection="1">
      <alignment horizontal="center" vertical="center"/>
      <protection locked="0"/>
    </xf>
    <xf numFmtId="185" fontId="2" fillId="12" borderId="13" xfId="60" applyNumberFormat="1" applyFont="1" applyFill="1" applyBorder="1" applyAlignment="1" applyProtection="1">
      <alignment horizontal="center" vertical="center"/>
      <protection locked="0"/>
    </xf>
    <xf numFmtId="185" fontId="4" fillId="4" borderId="10" xfId="60" applyNumberFormat="1" applyFont="1" applyFill="1" applyBorder="1" applyAlignment="1" applyProtection="1">
      <alignment horizontal="center" vertical="center" wrapText="1"/>
      <protection locked="0"/>
    </xf>
    <xf numFmtId="49" fontId="6" fillId="0" borderId="37" xfId="60" applyNumberFormat="1" applyFont="1" applyBorder="1" applyAlignment="1" applyProtection="1">
      <alignment horizontal="center" vertical="center" wrapText="1"/>
      <protection locked="0"/>
    </xf>
    <xf numFmtId="49" fontId="6" fillId="0" borderId="12" xfId="60" applyNumberFormat="1" applyFont="1" applyBorder="1" applyAlignment="1" applyProtection="1">
      <alignment horizontal="center" vertical="center" wrapText="1"/>
      <protection locked="0"/>
    </xf>
    <xf numFmtId="49" fontId="1" fillId="0" borderId="37" xfId="60" applyNumberFormat="1" applyFont="1" applyBorder="1" applyAlignment="1" applyProtection="1">
      <alignment horizontal="center" vertical="center" wrapText="1"/>
      <protection locked="0"/>
    </xf>
    <xf numFmtId="49" fontId="1" fillId="0" borderId="12" xfId="60" applyNumberFormat="1" applyFont="1" applyBorder="1" applyAlignment="1" applyProtection="1">
      <alignment horizontal="center" vertical="center" wrapText="1"/>
      <protection locked="0"/>
    </xf>
    <xf numFmtId="14" fontId="6" fillId="4" borderId="10" xfId="60" applyNumberFormat="1" applyFont="1" applyFill="1" applyBorder="1" applyAlignment="1" applyProtection="1">
      <alignment horizontal="center" vertical="center"/>
      <protection locked="0"/>
    </xf>
    <xf numFmtId="172" fontId="4" fillId="4" borderId="10" xfId="47" applyNumberFormat="1" applyFont="1" applyFill="1" applyBorder="1" applyAlignment="1" applyProtection="1">
      <alignment horizontal="center" vertical="center"/>
      <protection locked="0"/>
    </xf>
    <xf numFmtId="172" fontId="1" fillId="4" borderId="10" xfId="47" applyNumberFormat="1" applyFont="1" applyFill="1" applyBorder="1" applyAlignment="1" applyProtection="1">
      <alignment horizontal="center" vertical="center"/>
      <protection locked="0"/>
    </xf>
    <xf numFmtId="167" fontId="1" fillId="0" borderId="55" xfId="60" applyFont="1" applyFill="1" applyBorder="1" applyAlignment="1" applyProtection="1">
      <alignment horizontal="center" vertical="center" wrapText="1"/>
      <protection locked="0"/>
    </xf>
    <xf numFmtId="167" fontId="1" fillId="0" borderId="36" xfId="60" applyFont="1" applyFill="1" applyBorder="1" applyAlignment="1" applyProtection="1">
      <alignment horizontal="center" vertical="center" wrapText="1"/>
      <protection locked="0"/>
    </xf>
    <xf numFmtId="49" fontId="1" fillId="0" borderId="37" xfId="60" applyNumberFormat="1" applyFont="1" applyBorder="1" applyAlignment="1" applyProtection="1">
      <alignment horizontal="center" vertical="center"/>
      <protection locked="0"/>
    </xf>
    <xf numFmtId="49" fontId="1" fillId="0" borderId="24" xfId="60" applyNumberFormat="1" applyFont="1" applyBorder="1" applyAlignment="1" applyProtection="1">
      <alignment horizontal="center" vertical="center"/>
      <protection locked="0"/>
    </xf>
    <xf numFmtId="49" fontId="6" fillId="0" borderId="37" xfId="60" applyNumberFormat="1" applyFont="1" applyBorder="1" applyAlignment="1" applyProtection="1">
      <alignment horizontal="center" vertical="center"/>
      <protection locked="0"/>
    </xf>
    <xf numFmtId="49" fontId="6" fillId="0" borderId="24" xfId="60" applyNumberFormat="1" applyFont="1" applyBorder="1" applyAlignment="1" applyProtection="1">
      <alignment horizontal="center" vertical="center"/>
      <protection locked="0"/>
    </xf>
    <xf numFmtId="170" fontId="1" fillId="4" borderId="37" xfId="60" applyNumberFormat="1" applyFont="1" applyFill="1" applyBorder="1" applyAlignment="1" applyProtection="1">
      <alignment horizontal="center" vertical="center"/>
      <protection locked="0"/>
    </xf>
    <xf numFmtId="170" fontId="1" fillId="4" borderId="12" xfId="60" applyNumberFormat="1" applyFont="1" applyFill="1" applyBorder="1" applyAlignment="1" applyProtection="1">
      <alignment horizontal="center" vertical="center"/>
      <protection locked="0"/>
    </xf>
    <xf numFmtId="170" fontId="6" fillId="4" borderId="37" xfId="60" applyNumberFormat="1" applyFont="1" applyFill="1" applyBorder="1" applyAlignment="1" applyProtection="1">
      <alignment horizontal="center" vertical="center"/>
      <protection locked="0"/>
    </xf>
    <xf numFmtId="170" fontId="6" fillId="4" borderId="12" xfId="60" applyNumberFormat="1" applyFont="1" applyFill="1" applyBorder="1" applyAlignment="1" applyProtection="1">
      <alignment horizontal="center" vertical="center"/>
      <protection locked="0"/>
    </xf>
    <xf numFmtId="170" fontId="1" fillId="4" borderId="10" xfId="60" applyNumberFormat="1" applyFont="1" applyFill="1" applyBorder="1" applyAlignment="1" applyProtection="1">
      <alignment horizontal="center" vertical="center"/>
      <protection locked="0"/>
    </xf>
    <xf numFmtId="170" fontId="6" fillId="4" borderId="24" xfId="60" applyNumberFormat="1" applyFont="1" applyFill="1" applyBorder="1" applyAlignment="1" applyProtection="1">
      <alignment horizontal="center" vertical="center"/>
      <protection locked="0"/>
    </xf>
    <xf numFmtId="49" fontId="1" fillId="0" borderId="12" xfId="60" applyNumberFormat="1" applyFont="1" applyBorder="1" applyAlignment="1" applyProtection="1">
      <alignment horizontal="center" vertical="center"/>
      <protection locked="0"/>
    </xf>
    <xf numFmtId="49" fontId="6" fillId="0" borderId="12" xfId="60" applyNumberFormat="1" applyFont="1" applyBorder="1" applyAlignment="1" applyProtection="1">
      <alignment horizontal="center" vertical="center"/>
      <protection locked="0"/>
    </xf>
    <xf numFmtId="0" fontId="1" fillId="4" borderId="24" xfId="60" applyNumberFormat="1" applyFont="1" applyFill="1" applyBorder="1" applyAlignment="1" applyProtection="1">
      <alignment horizontal="justify" vertical="center" wrapText="1"/>
      <protection locked="0"/>
    </xf>
    <xf numFmtId="14" fontId="1" fillId="0" borderId="37" xfId="60" applyNumberFormat="1" applyFont="1" applyFill="1" applyBorder="1" applyAlignment="1" applyProtection="1">
      <alignment horizontal="center" vertical="center"/>
      <protection locked="0"/>
    </xf>
    <xf numFmtId="14" fontId="1" fillId="0" borderId="12" xfId="60" applyNumberFormat="1" applyFont="1" applyFill="1" applyBorder="1" applyAlignment="1" applyProtection="1">
      <alignment horizontal="center" vertical="center"/>
      <protection locked="0"/>
    </xf>
    <xf numFmtId="14" fontId="6" fillId="0" borderId="37" xfId="60" applyNumberFormat="1" applyFont="1" applyFill="1" applyBorder="1" applyAlignment="1" applyProtection="1">
      <alignment horizontal="center" vertical="center"/>
      <protection locked="0"/>
    </xf>
    <xf numFmtId="14" fontId="6" fillId="0" borderId="12" xfId="60" applyNumberFormat="1" applyFont="1" applyFill="1" applyBorder="1" applyAlignment="1" applyProtection="1">
      <alignment horizontal="center" vertical="center"/>
      <protection locked="0"/>
    </xf>
    <xf numFmtId="185" fontId="2" fillId="12" borderId="19" xfId="60" applyNumberFormat="1" applyFont="1" applyFill="1" applyBorder="1" applyAlignment="1" applyProtection="1">
      <alignment horizontal="center" vertical="center" wrapText="1"/>
      <protection locked="0"/>
    </xf>
    <xf numFmtId="185" fontId="2" fillId="12" borderId="13" xfId="60" applyNumberFormat="1" applyFont="1" applyFill="1" applyBorder="1" applyAlignment="1" applyProtection="1">
      <alignment horizontal="center" vertical="center" wrapText="1"/>
      <protection locked="0"/>
    </xf>
    <xf numFmtId="185" fontId="1" fillId="4" borderId="14" xfId="60" applyNumberFormat="1" applyFont="1" applyFill="1" applyBorder="1" applyAlignment="1" applyProtection="1">
      <alignment horizontal="center" vertical="center" wrapText="1"/>
      <protection locked="0"/>
    </xf>
    <xf numFmtId="185" fontId="1" fillId="4" borderId="19" xfId="60" applyNumberFormat="1" applyFont="1" applyFill="1" applyBorder="1" applyAlignment="1" applyProtection="1">
      <alignment horizontal="center" vertical="center" wrapText="1"/>
      <protection locked="0"/>
    </xf>
    <xf numFmtId="185" fontId="1" fillId="4" borderId="0" xfId="60" applyNumberFormat="1" applyFont="1" applyFill="1" applyBorder="1" applyAlignment="1" applyProtection="1">
      <alignment horizontal="center" vertical="center" wrapText="1"/>
      <protection locked="0"/>
    </xf>
    <xf numFmtId="185" fontId="1" fillId="4" borderId="38" xfId="60" applyNumberFormat="1" applyFont="1" applyFill="1" applyBorder="1" applyAlignment="1" applyProtection="1">
      <alignment horizontal="center" vertical="center" wrapText="1"/>
      <protection locked="0"/>
    </xf>
    <xf numFmtId="185" fontId="1" fillId="4" borderId="46" xfId="60" applyNumberFormat="1" applyFont="1" applyFill="1" applyBorder="1" applyAlignment="1" applyProtection="1">
      <alignment horizontal="center" vertical="center" wrapText="1"/>
      <protection locked="0"/>
    </xf>
    <xf numFmtId="185" fontId="1" fillId="4" borderId="74" xfId="60" applyNumberFormat="1" applyFont="1" applyFill="1" applyBorder="1" applyAlignment="1" applyProtection="1">
      <alignment horizontal="center" vertical="center" wrapText="1"/>
      <protection locked="0"/>
    </xf>
    <xf numFmtId="167" fontId="1" fillId="4" borderId="24" xfId="60" applyFont="1" applyFill="1" applyBorder="1" applyAlignment="1" applyProtection="1">
      <alignment horizontal="left" vertical="center" wrapText="1"/>
      <protection locked="0"/>
    </xf>
    <xf numFmtId="189" fontId="6" fillId="4" borderId="37" xfId="48" applyNumberFormat="1" applyFont="1" applyFill="1" applyBorder="1" applyAlignment="1" applyProtection="1">
      <alignment horizontal="center" vertical="center"/>
      <protection locked="0"/>
    </xf>
    <xf numFmtId="189" fontId="6" fillId="4" borderId="24" xfId="48" applyNumberFormat="1" applyFont="1" applyFill="1" applyBorder="1" applyAlignment="1" applyProtection="1">
      <alignment horizontal="center" vertical="center"/>
      <protection locked="0"/>
    </xf>
    <xf numFmtId="189" fontId="6" fillId="4" borderId="12" xfId="48" applyNumberFormat="1" applyFont="1" applyFill="1" applyBorder="1" applyAlignment="1" applyProtection="1">
      <alignment horizontal="center" vertical="center"/>
      <protection locked="0"/>
    </xf>
    <xf numFmtId="185" fontId="1" fillId="0" borderId="37" xfId="60" applyNumberFormat="1" applyFont="1" applyFill="1" applyBorder="1" applyAlignment="1" applyProtection="1">
      <alignment horizontal="center" vertical="center" wrapText="1"/>
      <protection locked="0"/>
    </xf>
    <xf numFmtId="185" fontId="1" fillId="0" borderId="12" xfId="60" applyNumberFormat="1" applyFont="1" applyFill="1" applyBorder="1" applyAlignment="1" applyProtection="1">
      <alignment horizontal="center" vertical="center" wrapText="1"/>
      <protection locked="0"/>
    </xf>
    <xf numFmtId="14" fontId="1" fillId="0" borderId="10" xfId="60" applyNumberFormat="1" applyFont="1" applyFill="1" applyBorder="1" applyAlignment="1" applyProtection="1">
      <alignment horizontal="center" vertical="center"/>
      <protection locked="0"/>
    </xf>
    <xf numFmtId="14" fontId="6" fillId="0" borderId="10" xfId="60" applyNumberFormat="1" applyFont="1" applyFill="1" applyBorder="1" applyAlignment="1" applyProtection="1">
      <alignment horizontal="center" vertical="center"/>
      <protection locked="0"/>
    </xf>
    <xf numFmtId="49" fontId="1" fillId="0" borderId="10" xfId="60" applyNumberFormat="1" applyFont="1" applyBorder="1" applyAlignment="1" applyProtection="1">
      <alignment horizontal="center" vertical="center"/>
      <protection locked="0"/>
    </xf>
    <xf numFmtId="49" fontId="6" fillId="0" borderId="10" xfId="60" applyNumberFormat="1" applyFont="1" applyBorder="1" applyAlignment="1" applyProtection="1">
      <alignment horizontal="center" vertical="center"/>
      <protection locked="0"/>
    </xf>
    <xf numFmtId="167" fontId="1" fillId="0" borderId="76" xfId="60" applyFont="1" applyFill="1" applyBorder="1" applyAlignment="1" applyProtection="1">
      <alignment horizontal="center" vertical="center" wrapText="1"/>
      <protection locked="0"/>
    </xf>
    <xf numFmtId="49" fontId="1" fillId="0" borderId="10" xfId="60" applyNumberFormat="1" applyFont="1" applyBorder="1" applyAlignment="1" applyProtection="1">
      <alignment horizontal="center" vertical="center" wrapText="1"/>
      <protection locked="0"/>
    </xf>
    <xf numFmtId="167" fontId="1" fillId="0" borderId="24" xfId="60" applyFont="1" applyBorder="1" applyAlignment="1" applyProtection="1">
      <alignment horizontal="center"/>
      <protection locked="0"/>
    </xf>
    <xf numFmtId="167" fontId="6" fillId="0" borderId="37" xfId="60" applyFont="1" applyBorder="1" applyAlignment="1" applyProtection="1">
      <alignment horizontal="center"/>
      <protection locked="0"/>
    </xf>
    <xf numFmtId="167" fontId="6" fillId="0" borderId="24" xfId="60" applyFont="1" applyBorder="1" applyAlignment="1" applyProtection="1">
      <alignment horizontal="center"/>
      <protection locked="0"/>
    </xf>
    <xf numFmtId="167" fontId="6" fillId="0" borderId="12" xfId="60" applyFont="1" applyBorder="1" applyAlignment="1" applyProtection="1">
      <alignment horizontal="center"/>
      <protection locked="0"/>
    </xf>
    <xf numFmtId="9" fontId="1" fillId="0" borderId="10" xfId="66" applyFont="1" applyBorder="1" applyAlignment="1" applyProtection="1">
      <alignment horizontal="center" vertical="center"/>
      <protection locked="0"/>
    </xf>
    <xf numFmtId="167" fontId="1" fillId="0" borderId="35" xfId="60" applyFont="1" applyFill="1" applyBorder="1" applyAlignment="1" applyProtection="1">
      <alignment horizontal="center" vertical="center"/>
      <protection locked="0"/>
    </xf>
    <xf numFmtId="1" fontId="1" fillId="0" borderId="37" xfId="60" applyNumberFormat="1" applyFont="1" applyFill="1" applyBorder="1" applyAlignment="1" applyProtection="1">
      <alignment horizontal="center" vertical="center"/>
      <protection locked="0"/>
    </xf>
    <xf numFmtId="1" fontId="1" fillId="0" borderId="24" xfId="60" applyNumberFormat="1" applyFont="1" applyFill="1" applyBorder="1" applyAlignment="1" applyProtection="1">
      <alignment horizontal="center" vertical="center"/>
      <protection locked="0"/>
    </xf>
    <xf numFmtId="1" fontId="1" fillId="0" borderId="35" xfId="60" applyNumberFormat="1" applyFont="1" applyFill="1" applyBorder="1" applyAlignment="1" applyProtection="1">
      <alignment horizontal="center" vertical="center"/>
      <protection locked="0"/>
    </xf>
    <xf numFmtId="189" fontId="6" fillId="0" borderId="37" xfId="48" applyNumberFormat="1" applyFont="1" applyFill="1" applyBorder="1" applyAlignment="1" applyProtection="1">
      <alignment horizontal="center" vertical="center"/>
      <protection locked="0"/>
    </xf>
    <xf numFmtId="189" fontId="6" fillId="0" borderId="24" xfId="48" applyNumberFormat="1" applyFont="1" applyFill="1" applyBorder="1" applyAlignment="1" applyProtection="1">
      <alignment horizontal="center" vertical="center"/>
      <protection locked="0"/>
    </xf>
    <xf numFmtId="189" fontId="6" fillId="0" borderId="35" xfId="48" applyNumberFormat="1" applyFont="1" applyFill="1" applyBorder="1" applyAlignment="1" applyProtection="1">
      <alignment horizontal="center" vertical="center"/>
      <protection locked="0"/>
    </xf>
    <xf numFmtId="167" fontId="1" fillId="0" borderId="35" xfId="60" applyFont="1" applyFill="1" applyBorder="1" applyAlignment="1" applyProtection="1">
      <alignment horizontal="center" vertical="center" wrapText="1"/>
      <protection locked="0"/>
    </xf>
    <xf numFmtId="0" fontId="1" fillId="0" borderId="35" xfId="60" applyNumberFormat="1" applyFont="1" applyFill="1" applyBorder="1" applyAlignment="1" applyProtection="1">
      <alignment horizontal="center" vertical="center" wrapText="1"/>
      <protection locked="0"/>
    </xf>
    <xf numFmtId="0" fontId="1" fillId="0" borderId="37" xfId="60" applyNumberFormat="1" applyFont="1" applyFill="1" applyBorder="1" applyAlignment="1" applyProtection="1">
      <alignment horizontal="justify" vertical="center" wrapText="1"/>
      <protection locked="0"/>
    </xf>
    <xf numFmtId="0" fontId="1" fillId="0" borderId="24" xfId="60" applyNumberFormat="1" applyFont="1" applyFill="1" applyBorder="1" applyAlignment="1" applyProtection="1">
      <alignment horizontal="justify" vertical="center" wrapText="1"/>
      <protection locked="0"/>
    </xf>
    <xf numFmtId="0" fontId="1" fillId="0" borderId="35" xfId="60" applyNumberFormat="1" applyFont="1" applyFill="1" applyBorder="1" applyAlignment="1" applyProtection="1">
      <alignment horizontal="justify" vertical="center" wrapText="1"/>
      <protection locked="0"/>
    </xf>
    <xf numFmtId="188" fontId="1" fillId="4" borderId="37" xfId="60" applyNumberFormat="1" applyFont="1" applyFill="1" applyBorder="1" applyAlignment="1" applyProtection="1">
      <alignment horizontal="justify" vertical="center" wrapText="1"/>
      <protection locked="0"/>
    </xf>
    <xf numFmtId="188" fontId="1" fillId="4" borderId="24" xfId="60" applyNumberFormat="1" applyFont="1" applyFill="1" applyBorder="1" applyAlignment="1" applyProtection="1">
      <alignment horizontal="justify" vertical="center" wrapText="1"/>
      <protection locked="0"/>
    </xf>
    <xf numFmtId="185" fontId="6" fillId="0" borderId="35" xfId="60" applyNumberFormat="1" applyFont="1" applyFill="1" applyBorder="1" applyAlignment="1" applyProtection="1">
      <alignment horizontal="center" vertical="center" textRotation="180"/>
      <protection locked="0"/>
    </xf>
    <xf numFmtId="185" fontId="1" fillId="0" borderId="11" xfId="60" applyNumberFormat="1" applyFont="1" applyFill="1" applyBorder="1" applyAlignment="1" applyProtection="1">
      <alignment horizontal="center" vertical="center" textRotation="180"/>
      <protection locked="0"/>
    </xf>
    <xf numFmtId="9" fontId="1" fillId="0" borderId="37" xfId="66" applyFont="1" applyFill="1" applyBorder="1" applyAlignment="1" applyProtection="1">
      <alignment horizontal="center" vertical="center" wrapText="1"/>
      <protection locked="0"/>
    </xf>
    <xf numFmtId="9" fontId="0" fillId="0" borderId="24" xfId="66" applyFont="1" applyFill="1" applyBorder="1" applyAlignment="1" applyProtection="1">
      <alignment horizontal="center" vertical="center" wrapText="1"/>
      <protection locked="0"/>
    </xf>
    <xf numFmtId="9" fontId="0" fillId="0" borderId="35" xfId="66" applyFont="1" applyFill="1" applyBorder="1" applyAlignment="1" applyProtection="1">
      <alignment horizontal="center" vertical="center" wrapText="1"/>
      <protection locked="0"/>
    </xf>
    <xf numFmtId="170" fontId="1" fillId="0" borderId="35" xfId="60" applyNumberFormat="1" applyFont="1" applyFill="1" applyBorder="1" applyAlignment="1" applyProtection="1">
      <alignment horizontal="center" vertical="center"/>
      <protection locked="0"/>
    </xf>
    <xf numFmtId="0" fontId="4" fillId="0" borderId="37" xfId="0" applyFont="1" applyFill="1" applyBorder="1" applyAlignment="1" applyProtection="1">
      <alignment horizontal="justify" vertical="center" wrapText="1"/>
      <protection locked="0"/>
    </xf>
    <xf numFmtId="0" fontId="4" fillId="0" borderId="24" xfId="0" applyFont="1" applyFill="1" applyBorder="1" applyAlignment="1" applyProtection="1">
      <alignment horizontal="justify" vertical="center" wrapText="1"/>
      <protection locked="0"/>
    </xf>
    <xf numFmtId="0" fontId="4" fillId="0" borderId="35" xfId="0" applyFont="1" applyFill="1" applyBorder="1" applyAlignment="1" applyProtection="1">
      <alignment horizontal="justify" vertical="center" wrapText="1"/>
      <protection locked="0"/>
    </xf>
    <xf numFmtId="170" fontId="6" fillId="0" borderId="35" xfId="60" applyNumberFormat="1" applyFont="1" applyFill="1" applyBorder="1" applyAlignment="1" applyProtection="1">
      <alignment horizontal="center" vertical="center"/>
      <protection locked="0"/>
    </xf>
    <xf numFmtId="0" fontId="1" fillId="4" borderId="35" xfId="60" applyNumberFormat="1" applyFont="1" applyFill="1" applyBorder="1" applyAlignment="1" applyProtection="1">
      <alignment horizontal="center" vertical="center" wrapText="1"/>
      <protection locked="0"/>
    </xf>
    <xf numFmtId="167" fontId="1" fillId="4" borderId="35" xfId="60" applyFont="1" applyFill="1" applyBorder="1" applyAlignment="1" applyProtection="1">
      <alignment horizontal="center" vertical="center" wrapText="1"/>
      <protection locked="0"/>
    </xf>
    <xf numFmtId="167" fontId="2" fillId="0" borderId="23" xfId="60" applyFont="1" applyBorder="1" applyAlignment="1" applyProtection="1">
      <alignment horizontal="center" vertical="center"/>
      <protection locked="0"/>
    </xf>
    <xf numFmtId="167" fontId="2" fillId="0" borderId="21" xfId="60" applyFont="1" applyBorder="1" applyAlignment="1" applyProtection="1">
      <alignment horizontal="center" vertical="center"/>
      <protection locked="0"/>
    </xf>
    <xf numFmtId="167" fontId="2" fillId="0" borderId="22" xfId="60" applyFont="1" applyBorder="1" applyAlignment="1" applyProtection="1">
      <alignment horizontal="center" vertical="center"/>
      <protection locked="0"/>
    </xf>
    <xf numFmtId="0" fontId="2" fillId="4" borderId="0" xfId="0" applyFont="1" applyFill="1" applyAlignment="1">
      <alignment horizontal="left" vertical="center"/>
    </xf>
    <xf numFmtId="0" fontId="1" fillId="4" borderId="0" xfId="0" applyFont="1" applyFill="1" applyAlignment="1">
      <alignment horizontal="left"/>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60" xfId="0" applyFont="1" applyBorder="1" applyAlignment="1">
      <alignment horizontal="center" vertical="center"/>
    </xf>
    <xf numFmtId="1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37" xfId="0" applyFont="1" applyFill="1" applyBorder="1" applyAlignment="1">
      <alignment horizontal="center" vertical="center"/>
    </xf>
    <xf numFmtId="169" fontId="1" fillId="0" borderId="10" xfId="0" applyNumberFormat="1" applyFont="1" applyFill="1" applyBorder="1" applyAlignment="1">
      <alignment horizontal="center" vertical="center"/>
    </xf>
    <xf numFmtId="169" fontId="1" fillId="0" borderId="37"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169" fontId="4" fillId="0" borderId="37"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1" fontId="1" fillId="0" borderId="37" xfId="0" applyNumberFormat="1" applyFont="1" applyFill="1" applyBorder="1" applyAlignment="1">
      <alignment horizontal="center" vertical="center"/>
    </xf>
    <xf numFmtId="0" fontId="6" fillId="0" borderId="10" xfId="0" applyFont="1" applyFill="1" applyBorder="1" applyAlignment="1">
      <alignment horizontal="center"/>
    </xf>
    <xf numFmtId="0" fontId="6" fillId="0" borderId="37" xfId="0" applyFont="1" applyFill="1" applyBorder="1" applyAlignment="1">
      <alignment horizontal="center"/>
    </xf>
    <xf numFmtId="0" fontId="1" fillId="0" borderId="10" xfId="0" applyFont="1" applyFill="1" applyBorder="1" applyAlignment="1">
      <alignment horizontal="center"/>
    </xf>
    <xf numFmtId="0" fontId="1" fillId="0" borderId="37" xfId="0" applyFont="1" applyFill="1" applyBorder="1" applyAlignment="1">
      <alignment horizontal="center"/>
    </xf>
    <xf numFmtId="164" fontId="1" fillId="0" borderId="10" xfId="55" applyFont="1" applyFill="1" applyBorder="1" applyAlignment="1">
      <alignment horizontal="center" vertical="center"/>
    </xf>
    <xf numFmtId="164" fontId="1" fillId="0" borderId="37" xfId="55" applyFont="1" applyFill="1" applyBorder="1" applyAlignment="1">
      <alignment horizontal="center" vertical="center"/>
    </xf>
    <xf numFmtId="164" fontId="1" fillId="0" borderId="10" xfId="55" applyFont="1" applyFill="1" applyBorder="1" applyAlignment="1">
      <alignment vertical="center"/>
    </xf>
    <xf numFmtId="164" fontId="1" fillId="0" borderId="37" xfId="55" applyFont="1" applyFill="1" applyBorder="1" applyAlignment="1">
      <alignment vertical="center"/>
    </xf>
    <xf numFmtId="10" fontId="0" fillId="0" borderId="10" xfId="0" applyNumberFormat="1" applyFont="1" applyFill="1" applyBorder="1" applyAlignment="1">
      <alignment horizontal="center" vertical="center"/>
    </xf>
    <xf numFmtId="10" fontId="0" fillId="0" borderId="37"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42" fontId="1" fillId="0" borderId="37" xfId="56" applyFont="1" applyFill="1" applyBorder="1" applyAlignment="1">
      <alignment horizontal="center" vertical="center"/>
    </xf>
    <xf numFmtId="42" fontId="1" fillId="0" borderId="24" xfId="56" applyFont="1" applyFill="1" applyBorder="1" applyAlignment="1">
      <alignment horizontal="center" vertical="center"/>
    </xf>
    <xf numFmtId="42" fontId="6" fillId="0" borderId="37" xfId="56" applyFont="1" applyFill="1" applyBorder="1" applyAlignment="1">
      <alignment horizontal="center" vertical="center"/>
    </xf>
    <xf numFmtId="42" fontId="6" fillId="0" borderId="12" xfId="56" applyFont="1" applyFill="1" applyBorder="1" applyAlignment="1">
      <alignment horizontal="center" vertical="center"/>
    </xf>
    <xf numFmtId="169" fontId="4" fillId="4" borderId="24" xfId="0" applyNumberFormat="1" applyFont="1" applyFill="1" applyBorder="1" applyAlignment="1">
      <alignment horizontal="center" vertical="center"/>
    </xf>
    <xf numFmtId="0" fontId="1" fillId="4" borderId="37" xfId="0" applyFont="1" applyFill="1" applyBorder="1" applyAlignment="1">
      <alignment horizontal="center" vertical="center"/>
    </xf>
    <xf numFmtId="0" fontId="1" fillId="4" borderId="24" xfId="0" applyFont="1" applyFill="1" applyBorder="1" applyAlignment="1">
      <alignment horizontal="center" vertical="center"/>
    </xf>
    <xf numFmtId="0" fontId="6" fillId="4" borderId="24" xfId="0" applyFont="1" applyFill="1" applyBorder="1" applyAlignment="1">
      <alignment horizontal="center"/>
    </xf>
    <xf numFmtId="1" fontId="6" fillId="4" borderId="10" xfId="0" applyNumberFormat="1" applyFont="1" applyFill="1" applyBorder="1" applyAlignment="1">
      <alignment horizontal="center" vertical="center"/>
    </xf>
    <xf numFmtId="1" fontId="1" fillId="4" borderId="10" xfId="0" applyNumberFormat="1" applyFont="1" applyFill="1" applyBorder="1" applyAlignment="1">
      <alignment horizontal="center" vertical="center"/>
    </xf>
    <xf numFmtId="1" fontId="1" fillId="4" borderId="37" xfId="0" applyNumberFormat="1" applyFont="1" applyFill="1" applyBorder="1" applyAlignment="1">
      <alignment horizontal="center" vertical="center"/>
    </xf>
    <xf numFmtId="3" fontId="1" fillId="0" borderId="37" xfId="56" applyNumberFormat="1" applyFont="1" applyFill="1" applyBorder="1" applyAlignment="1">
      <alignment horizontal="center" vertical="center"/>
    </xf>
    <xf numFmtId="3" fontId="1" fillId="0" borderId="12" xfId="56" applyNumberFormat="1" applyFont="1" applyFill="1" applyBorder="1" applyAlignment="1">
      <alignment horizontal="center" vertical="center"/>
    </xf>
    <xf numFmtId="1" fontId="1" fillId="0" borderId="19" xfId="0" applyNumberFormat="1" applyFont="1" applyFill="1" applyBorder="1" applyAlignment="1">
      <alignment horizontal="center" vertical="center" wrapText="1"/>
    </xf>
    <xf numFmtId="1" fontId="1" fillId="0" borderId="38"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1" fillId="0" borderId="24" xfId="0" applyFont="1" applyFill="1" applyBorder="1" applyAlignment="1">
      <alignment horizontal="center" vertical="center"/>
    </xf>
    <xf numFmtId="0" fontId="6" fillId="0" borderId="24" xfId="0" applyFont="1" applyFill="1" applyBorder="1" applyAlignment="1">
      <alignment horizontal="center"/>
    </xf>
    <xf numFmtId="0" fontId="1" fillId="0" borderId="24" xfId="0" applyFont="1" applyFill="1" applyBorder="1" applyAlignment="1">
      <alignment horizontal="center"/>
    </xf>
    <xf numFmtId="164" fontId="1" fillId="0" borderId="24" xfId="55" applyFont="1" applyFill="1" applyBorder="1" applyAlignment="1">
      <alignment horizontal="center" vertical="center"/>
    </xf>
    <xf numFmtId="164" fontId="1" fillId="0" borderId="24" xfId="55" applyFont="1" applyFill="1" applyBorder="1" applyAlignment="1">
      <alignment vertical="center"/>
    </xf>
    <xf numFmtId="0" fontId="1" fillId="4" borderId="24" xfId="0" applyFont="1" applyFill="1" applyBorder="1" applyAlignment="1">
      <alignment horizontal="center"/>
    </xf>
    <xf numFmtId="169" fontId="4" fillId="0" borderId="24" xfId="0" applyNumberFormat="1" applyFont="1" applyFill="1" applyBorder="1" applyAlignment="1">
      <alignment horizontal="center" vertical="center"/>
    </xf>
    <xf numFmtId="169" fontId="4" fillId="4" borderId="37" xfId="0" applyNumberFormat="1" applyFont="1" applyFill="1" applyBorder="1" applyAlignment="1">
      <alignment horizontal="center" vertical="center"/>
    </xf>
    <xf numFmtId="1" fontId="1" fillId="0" borderId="24"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0" fontId="1" fillId="0" borderId="37" xfId="0" applyFont="1" applyFill="1" applyBorder="1" applyAlignment="1">
      <alignment horizontal="justify" vertical="center" wrapText="1"/>
    </xf>
    <xf numFmtId="0" fontId="1" fillId="0" borderId="12" xfId="0" applyFont="1" applyFill="1" applyBorder="1" applyAlignment="1">
      <alignment horizontal="justify" vertical="center" wrapText="1"/>
    </xf>
    <xf numFmtId="164" fontId="1" fillId="0" borderId="37" xfId="0" applyNumberFormat="1" applyFont="1" applyFill="1" applyBorder="1" applyAlignment="1">
      <alignment horizontal="center" vertical="center"/>
    </xf>
    <xf numFmtId="164" fontId="1" fillId="0" borderId="12" xfId="0" applyNumberFormat="1" applyFont="1" applyFill="1" applyBorder="1" applyAlignment="1">
      <alignment horizontal="center" vertical="center"/>
    </xf>
    <xf numFmtId="0" fontId="1" fillId="0" borderId="24" xfId="0" applyFont="1" applyFill="1" applyBorder="1" applyAlignment="1">
      <alignment horizontal="justify" vertical="center"/>
    </xf>
    <xf numFmtId="169" fontId="1" fillId="0" borderId="37" xfId="0" applyNumberFormat="1" applyFont="1" applyBorder="1" applyAlignment="1">
      <alignment horizontal="center" vertical="center"/>
    </xf>
    <xf numFmtId="169" fontId="1" fillId="0" borderId="24" xfId="0" applyNumberFormat="1" applyFont="1" applyBorder="1" applyAlignment="1">
      <alignment horizontal="center" vertical="center"/>
    </xf>
    <xf numFmtId="0" fontId="1" fillId="0" borderId="24" xfId="0" applyFont="1" applyBorder="1" applyAlignment="1">
      <alignment horizontal="center" vertical="center" wrapText="1"/>
    </xf>
    <xf numFmtId="164" fontId="1" fillId="0" borderId="37" xfId="55" applyFont="1" applyBorder="1" applyAlignment="1">
      <alignment vertical="center"/>
    </xf>
    <xf numFmtId="164" fontId="1" fillId="0" borderId="24" xfId="55" applyFont="1" applyBorder="1" applyAlignment="1">
      <alignment vertical="center"/>
    </xf>
    <xf numFmtId="9" fontId="1" fillId="0" borderId="37" xfId="66" applyFont="1" applyBorder="1" applyAlignment="1">
      <alignment horizontal="center" vertical="center"/>
    </xf>
    <xf numFmtId="9" fontId="1" fillId="0" borderId="24" xfId="66" applyFont="1" applyBorder="1" applyAlignment="1">
      <alignment horizontal="center" vertical="center"/>
    </xf>
    <xf numFmtId="0" fontId="1" fillId="0" borderId="37" xfId="0" applyFont="1" applyBorder="1" applyAlignment="1">
      <alignment horizontal="center" vertical="center"/>
    </xf>
    <xf numFmtId="0" fontId="1" fillId="0" borderId="24" xfId="0" applyFont="1" applyBorder="1" applyAlignment="1">
      <alignment horizontal="center" vertical="center"/>
    </xf>
    <xf numFmtId="0" fontId="4" fillId="0" borderId="37"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37" xfId="0" applyFont="1" applyBorder="1" applyAlignment="1">
      <alignment horizontal="center"/>
    </xf>
    <xf numFmtId="0" fontId="1" fillId="0" borderId="24" xfId="0" applyFont="1" applyBorder="1" applyAlignment="1">
      <alignment horizontal="center"/>
    </xf>
    <xf numFmtId="0" fontId="6" fillId="0" borderId="37" xfId="0" applyFont="1" applyBorder="1" applyAlignment="1">
      <alignment horizontal="center"/>
    </xf>
    <xf numFmtId="0" fontId="6" fillId="0" borderId="24" xfId="0" applyFont="1" applyBorder="1" applyAlignment="1">
      <alignment horizontal="center"/>
    </xf>
    <xf numFmtId="164" fontId="1" fillId="0" borderId="37" xfId="55" applyFont="1" applyBorder="1" applyAlignment="1">
      <alignment horizontal="center" vertical="center"/>
    </xf>
    <xf numFmtId="164" fontId="1" fillId="0" borderId="24" xfId="55" applyFont="1" applyBorder="1" applyAlignment="1">
      <alignment horizontal="center" vertical="center"/>
    </xf>
    <xf numFmtId="0" fontId="6" fillId="0" borderId="37" xfId="0" applyFont="1" applyBorder="1" applyAlignment="1">
      <alignment horizontal="center" vertical="center"/>
    </xf>
    <xf numFmtId="0" fontId="6" fillId="0" borderId="24" xfId="0" applyFont="1" applyBorder="1" applyAlignment="1">
      <alignment horizontal="center" vertical="center"/>
    </xf>
    <xf numFmtId="0" fontId="6" fillId="0" borderId="24" xfId="0" applyFont="1" applyFill="1" applyBorder="1" applyAlignment="1">
      <alignment horizontal="center" vertical="center"/>
    </xf>
    <xf numFmtId="0" fontId="4" fillId="0" borderId="37" xfId="0" applyFont="1" applyFill="1" applyBorder="1" applyAlignment="1">
      <alignment horizontal="center"/>
    </xf>
    <xf numFmtId="0" fontId="4" fillId="0" borderId="24" xfId="0" applyFont="1" applyFill="1" applyBorder="1" applyAlignment="1">
      <alignment horizontal="center"/>
    </xf>
    <xf numFmtId="42" fontId="1" fillId="4" borderId="24" xfId="56" applyFont="1" applyFill="1" applyBorder="1" applyAlignment="1">
      <alignment horizontal="center" vertical="center"/>
    </xf>
    <xf numFmtId="1" fontId="1" fillId="4" borderId="10" xfId="0" applyNumberFormat="1" applyFont="1" applyFill="1" applyBorder="1" applyAlignment="1">
      <alignment horizontal="center" vertical="center" wrapText="1"/>
    </xf>
    <xf numFmtId="0" fontId="1" fillId="0" borderId="38" xfId="0" applyFont="1" applyBorder="1" applyAlignment="1">
      <alignment horizontal="justify" vertical="center" wrapText="1"/>
    </xf>
    <xf numFmtId="0" fontId="4" fillId="0" borderId="10" xfId="0" applyFont="1" applyBorder="1" applyAlignment="1">
      <alignment horizontal="center" vertical="center" wrapText="1"/>
    </xf>
    <xf numFmtId="169" fontId="1" fillId="0" borderId="10" xfId="0" applyNumberFormat="1" applyFont="1" applyBorder="1" applyAlignment="1">
      <alignment horizontal="center" vertical="center"/>
    </xf>
    <xf numFmtId="0" fontId="6" fillId="0" borderId="10" xfId="0" applyFont="1" applyBorder="1" applyAlignment="1">
      <alignment horizontal="center"/>
    </xf>
    <xf numFmtId="0" fontId="1" fillId="0" borderId="10" xfId="0" applyFont="1" applyBorder="1" applyAlignment="1">
      <alignment horizontal="center"/>
    </xf>
    <xf numFmtId="1" fontId="6" fillId="0" borderId="10" xfId="0" applyNumberFormat="1" applyFont="1" applyBorder="1" applyAlignment="1">
      <alignment horizontal="center" vertical="center" textRotation="180"/>
    </xf>
    <xf numFmtId="1" fontId="1" fillId="0" borderId="10" xfId="0" applyNumberFormat="1" applyFont="1" applyBorder="1" applyAlignment="1">
      <alignment horizontal="center" vertical="center" textRotation="180"/>
    </xf>
    <xf numFmtId="0" fontId="1" fillId="0" borderId="10" xfId="0" applyFont="1" applyBorder="1" applyAlignment="1">
      <alignment horizontal="center" vertical="center" wrapText="1"/>
    </xf>
    <xf numFmtId="0" fontId="26" fillId="4" borderId="10" xfId="0" applyFont="1" applyFill="1" applyBorder="1" applyAlignment="1">
      <alignment horizontal="center" vertical="center"/>
    </xf>
    <xf numFmtId="164" fontId="0" fillId="0" borderId="10" xfId="55" applyFont="1" applyBorder="1" applyAlignment="1">
      <alignment horizontal="center" vertical="center"/>
    </xf>
    <xf numFmtId="164" fontId="0" fillId="0" borderId="10" xfId="55" applyFont="1" applyBorder="1" applyAlignment="1">
      <alignment vertical="center"/>
    </xf>
    <xf numFmtId="9" fontId="0" fillId="4" borderId="37" xfId="0" applyNumberFormat="1" applyFont="1" applyFill="1" applyBorder="1" applyAlignment="1">
      <alignment horizontal="center" vertical="center" wrapText="1"/>
    </xf>
    <xf numFmtId="9" fontId="0" fillId="4" borderId="24"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1" fillId="4" borderId="10" xfId="0" applyFont="1" applyFill="1" applyBorder="1" applyAlignment="1">
      <alignment horizontal="center" vertical="center" wrapText="1"/>
    </xf>
    <xf numFmtId="0" fontId="1" fillId="4" borderId="10" xfId="0" applyFont="1" applyFill="1" applyBorder="1" applyAlignment="1">
      <alignment horizontal="justify" vertical="center" wrapText="1"/>
    </xf>
    <xf numFmtId="42" fontId="1" fillId="4" borderId="10" xfId="56" applyFont="1" applyFill="1" applyBorder="1" applyAlignment="1">
      <alignment horizontal="center" vertical="center"/>
    </xf>
    <xf numFmtId="0" fontId="7" fillId="4" borderId="37" xfId="0" applyFont="1" applyFill="1" applyBorder="1" applyAlignment="1">
      <alignment horizontal="center" vertical="center" textRotation="180" wrapText="1"/>
    </xf>
    <xf numFmtId="0" fontId="7" fillId="4" borderId="24" xfId="0" applyFont="1" applyFill="1" applyBorder="1" applyAlignment="1">
      <alignment horizontal="center" vertical="center" textRotation="180" wrapText="1"/>
    </xf>
    <xf numFmtId="1" fontId="4" fillId="4" borderId="10" xfId="0" applyNumberFormat="1" applyFont="1" applyFill="1" applyBorder="1" applyAlignment="1">
      <alignment horizontal="center" vertical="center" textRotation="180" wrapText="1"/>
    </xf>
    <xf numFmtId="1" fontId="6" fillId="4" borderId="10" xfId="0" applyNumberFormat="1" applyFont="1" applyFill="1" applyBorder="1" applyAlignment="1">
      <alignment horizontal="center" vertical="center" textRotation="180" wrapText="1"/>
    </xf>
    <xf numFmtId="42" fontId="1" fillId="4" borderId="37" xfId="56" applyFont="1" applyFill="1" applyBorder="1" applyAlignment="1">
      <alignment horizontal="center" vertical="center" wrapText="1"/>
    </xf>
    <xf numFmtId="42" fontId="1" fillId="4" borderId="24" xfId="56" applyFont="1" applyFill="1" applyBorder="1" applyAlignment="1">
      <alignment horizontal="center" vertical="center" wrapText="1"/>
    </xf>
    <xf numFmtId="3" fontId="1" fillId="4" borderId="24" xfId="0" applyNumberFormat="1" applyFont="1" applyFill="1" applyBorder="1" applyAlignment="1">
      <alignment horizontal="center" vertical="center" wrapText="1"/>
    </xf>
    <xf numFmtId="0" fontId="1" fillId="4"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26" fillId="4" borderId="37" xfId="0" applyFont="1" applyFill="1" applyBorder="1" applyAlignment="1">
      <alignment horizontal="center" vertical="center" wrapText="1"/>
    </xf>
    <xf numFmtId="0" fontId="26" fillId="4" borderId="24" xfId="0" applyFont="1" applyFill="1" applyBorder="1" applyAlignment="1">
      <alignment horizontal="center" vertical="center" wrapText="1"/>
    </xf>
    <xf numFmtId="164" fontId="0" fillId="4" borderId="37" xfId="55" applyFont="1" applyFill="1" applyBorder="1" applyAlignment="1">
      <alignment horizontal="center" vertical="center" wrapText="1"/>
    </xf>
    <xf numFmtId="164" fontId="0" fillId="4" borderId="24" xfId="55" applyFont="1" applyFill="1" applyBorder="1" applyAlignment="1">
      <alignment horizontal="center" vertical="center" wrapText="1"/>
    </xf>
    <xf numFmtId="164" fontId="0" fillId="4" borderId="37" xfId="55" applyFont="1" applyFill="1" applyBorder="1" applyAlignment="1">
      <alignment vertical="center" wrapText="1"/>
    </xf>
    <xf numFmtId="164" fontId="0" fillId="4" borderId="24" xfId="55" applyFont="1" applyFill="1" applyBorder="1" applyAlignment="1">
      <alignment vertical="center" wrapText="1"/>
    </xf>
    <xf numFmtId="1" fontId="0" fillId="4" borderId="37" xfId="0" applyNumberFormat="1" applyFont="1" applyFill="1" applyBorder="1" applyAlignment="1">
      <alignment horizontal="center" vertical="center" wrapText="1"/>
    </xf>
    <xf numFmtId="1" fontId="0" fillId="4" borderId="24" xfId="0" applyNumberFormat="1" applyFont="1" applyFill="1" applyBorder="1" applyAlignment="1">
      <alignment horizontal="center" vertical="center" wrapText="1"/>
    </xf>
    <xf numFmtId="0" fontId="2" fillId="4" borderId="37" xfId="0" applyFont="1" applyFill="1" applyBorder="1" applyAlignment="1">
      <alignment horizontal="center" vertical="center" textRotation="180" wrapText="1"/>
    </xf>
    <xf numFmtId="0" fontId="2" fillId="4" borderId="24" xfId="0" applyFont="1" applyFill="1" applyBorder="1" applyAlignment="1">
      <alignment horizontal="center" vertical="center" textRotation="180" wrapText="1"/>
    </xf>
    <xf numFmtId="1" fontId="1" fillId="4" borderId="10" xfId="0" applyNumberFormat="1" applyFont="1" applyFill="1" applyBorder="1" applyAlignment="1">
      <alignment horizontal="center" vertical="center" textRotation="180" wrapText="1"/>
    </xf>
    <xf numFmtId="1" fontId="1" fillId="4" borderId="37" xfId="0" applyNumberFormat="1" applyFont="1" applyFill="1" applyBorder="1" applyAlignment="1">
      <alignment horizontal="center" vertical="center" textRotation="180" wrapText="1"/>
    </xf>
    <xf numFmtId="42" fontId="6" fillId="4" borderId="37" xfId="56" applyFont="1" applyFill="1" applyBorder="1" applyAlignment="1">
      <alignment horizontal="center" vertical="center" wrapText="1"/>
    </xf>
    <xf numFmtId="42" fontId="6" fillId="4" borderId="12" xfId="56" applyFont="1" applyFill="1" applyBorder="1" applyAlignment="1">
      <alignment horizontal="center" vertical="center" wrapText="1"/>
    </xf>
    <xf numFmtId="0" fontId="1" fillId="0" borderId="16" xfId="0" applyFont="1" applyFill="1" applyBorder="1" applyAlignment="1">
      <alignment horizontal="justify" vertical="center" wrapText="1"/>
    </xf>
    <xf numFmtId="0" fontId="1" fillId="0" borderId="19" xfId="0" applyFont="1" applyFill="1" applyBorder="1" applyAlignment="1">
      <alignment horizontal="justify" vertical="center" wrapText="1"/>
    </xf>
    <xf numFmtId="1" fontId="1" fillId="4" borderId="24" xfId="0" applyNumberFormat="1" applyFont="1" applyFill="1" applyBorder="1" applyAlignment="1">
      <alignment horizontal="center" vertical="center" wrapText="1"/>
    </xf>
    <xf numFmtId="3" fontId="6" fillId="4" borderId="37" xfId="0" applyNumberFormat="1" applyFont="1" applyFill="1" applyBorder="1" applyAlignment="1">
      <alignment horizontal="center" vertical="center" wrapText="1"/>
    </xf>
    <xf numFmtId="3" fontId="6" fillId="4" borderId="24" xfId="0" applyNumberFormat="1" applyFont="1" applyFill="1" applyBorder="1" applyAlignment="1">
      <alignment horizontal="center" vertical="center" wrapText="1"/>
    </xf>
    <xf numFmtId="0" fontId="1" fillId="4" borderId="37" xfId="0" applyFont="1" applyFill="1" applyBorder="1" applyAlignment="1">
      <alignment horizontal="center" vertical="center" textRotation="1" wrapText="1"/>
    </xf>
    <xf numFmtId="0" fontId="1" fillId="4" borderId="12" xfId="0" applyFont="1" applyFill="1" applyBorder="1" applyAlignment="1">
      <alignment horizontal="center" vertical="center" textRotation="1" wrapText="1"/>
    </xf>
    <xf numFmtId="0" fontId="1" fillId="4" borderId="37" xfId="0" applyFont="1" applyFill="1" applyBorder="1" applyAlignment="1">
      <alignment horizontal="center" vertical="center" textRotation="180" wrapText="1"/>
    </xf>
    <xf numFmtId="0" fontId="1" fillId="4" borderId="12" xfId="0" applyFont="1" applyFill="1" applyBorder="1" applyAlignment="1">
      <alignment horizontal="center" vertical="center" textRotation="180" wrapText="1"/>
    </xf>
    <xf numFmtId="0" fontId="6" fillId="4" borderId="37" xfId="0" applyFont="1" applyFill="1" applyBorder="1" applyAlignment="1">
      <alignment horizontal="center" vertical="center" textRotation="180" wrapText="1"/>
    </xf>
    <xf numFmtId="0" fontId="6" fillId="4" borderId="12" xfId="0" applyFont="1" applyFill="1" applyBorder="1" applyAlignment="1">
      <alignment horizontal="center" vertical="center" textRotation="180" wrapText="1"/>
    </xf>
    <xf numFmtId="0" fontId="4" fillId="4" borderId="37" xfId="0" applyFont="1" applyFill="1" applyBorder="1" applyAlignment="1">
      <alignment horizontal="center" vertical="center" textRotation="91" wrapText="1"/>
    </xf>
    <xf numFmtId="0" fontId="4" fillId="4" borderId="12" xfId="0" applyFont="1" applyFill="1" applyBorder="1" applyAlignment="1">
      <alignment horizontal="center" vertical="center" textRotation="91" wrapText="1"/>
    </xf>
    <xf numFmtId="164" fontId="0" fillId="0" borderId="37" xfId="55" applyFont="1" applyFill="1" applyBorder="1" applyAlignment="1">
      <alignment horizontal="center" vertical="center"/>
    </xf>
    <xf numFmtId="164" fontId="0" fillId="0" borderId="12" xfId="55" applyFont="1" applyFill="1" applyBorder="1" applyAlignment="1">
      <alignment horizontal="center" vertical="center"/>
    </xf>
    <xf numFmtId="164" fontId="0" fillId="0" borderId="37" xfId="55" applyFont="1" applyFill="1" applyBorder="1" applyAlignment="1">
      <alignment vertical="center"/>
    </xf>
    <xf numFmtId="164" fontId="0" fillId="0" borderId="12" xfId="55" applyFont="1" applyFill="1" applyBorder="1" applyAlignment="1">
      <alignment vertical="center"/>
    </xf>
    <xf numFmtId="3" fontId="1" fillId="4" borderId="24" xfId="0" applyNumberFormat="1" applyFont="1" applyFill="1" applyBorder="1" applyAlignment="1">
      <alignment horizontal="center" vertical="center" textRotation="180" wrapText="1"/>
    </xf>
    <xf numFmtId="3" fontId="6" fillId="4" borderId="37" xfId="0" applyNumberFormat="1" applyFont="1" applyFill="1" applyBorder="1" applyAlignment="1">
      <alignment horizontal="center" vertical="center" textRotation="180" wrapText="1"/>
    </xf>
    <xf numFmtId="3" fontId="6" fillId="4" borderId="12" xfId="0" applyNumberFormat="1" applyFont="1" applyFill="1" applyBorder="1" applyAlignment="1">
      <alignment horizontal="center" vertical="center" textRotation="180" wrapText="1"/>
    </xf>
    <xf numFmtId="3" fontId="6" fillId="4" borderId="24" xfId="0" applyNumberFormat="1" applyFont="1" applyFill="1" applyBorder="1" applyAlignment="1">
      <alignment horizontal="center" vertical="center" textRotation="180" wrapText="1"/>
    </xf>
    <xf numFmtId="164" fontId="1" fillId="4" borderId="37" xfId="55" applyFont="1" applyFill="1" applyBorder="1" applyAlignment="1">
      <alignment vertical="center" wrapText="1"/>
    </xf>
    <xf numFmtId="164" fontId="1" fillId="4" borderId="24" xfId="55" applyFont="1" applyFill="1" applyBorder="1" applyAlignment="1">
      <alignment vertical="center" wrapText="1"/>
    </xf>
    <xf numFmtId="164" fontId="1" fillId="4" borderId="12" xfId="55" applyFont="1" applyFill="1" applyBorder="1" applyAlignment="1">
      <alignment vertical="center" wrapText="1"/>
    </xf>
    <xf numFmtId="0" fontId="2" fillId="0" borderId="37" xfId="0" applyFont="1" applyFill="1" applyBorder="1" applyAlignment="1">
      <alignment horizontal="center" vertical="center" textRotation="180" wrapText="1"/>
    </xf>
    <xf numFmtId="0" fontId="2" fillId="0" borderId="24" xfId="0" applyFont="1" applyFill="1" applyBorder="1" applyAlignment="1">
      <alignment horizontal="center" vertical="center" textRotation="180" wrapText="1"/>
    </xf>
    <xf numFmtId="0" fontId="2" fillId="0" borderId="12" xfId="0" applyFont="1" applyFill="1" applyBorder="1" applyAlignment="1">
      <alignment horizontal="center" vertical="center" textRotation="180" wrapText="1"/>
    </xf>
    <xf numFmtId="0" fontId="7" fillId="0" borderId="37" xfId="0" applyFont="1" applyFill="1" applyBorder="1" applyAlignment="1">
      <alignment horizontal="center" vertical="center" textRotation="180" wrapText="1"/>
    </xf>
    <xf numFmtId="0" fontId="7" fillId="0" borderId="24" xfId="0" applyFont="1" applyFill="1" applyBorder="1" applyAlignment="1">
      <alignment horizontal="center" vertical="center" textRotation="180" wrapText="1"/>
    </xf>
    <xf numFmtId="0" fontId="7" fillId="0" borderId="12" xfId="0" applyFont="1" applyFill="1" applyBorder="1" applyAlignment="1">
      <alignment horizontal="center" vertical="center" textRotation="180" wrapText="1"/>
    </xf>
    <xf numFmtId="9" fontId="0" fillId="0" borderId="37" xfId="0" applyNumberFormat="1" applyFont="1" applyFill="1" applyBorder="1" applyAlignment="1">
      <alignment horizontal="center" vertical="center"/>
    </xf>
    <xf numFmtId="9" fontId="0" fillId="0" borderId="12" xfId="0" applyNumberFormat="1" applyFont="1" applyFill="1" applyBorder="1" applyAlignment="1">
      <alignment horizontal="center" vertical="center"/>
    </xf>
    <xf numFmtId="164" fontId="1" fillId="4" borderId="37" xfId="55" applyFont="1" applyFill="1" applyBorder="1" applyAlignment="1">
      <alignment horizontal="center" vertical="center" wrapText="1"/>
    </xf>
    <xf numFmtId="164" fontId="1" fillId="4" borderId="24" xfId="55" applyFont="1" applyFill="1" applyBorder="1" applyAlignment="1">
      <alignment horizontal="center" vertical="center" wrapText="1"/>
    </xf>
    <xf numFmtId="164" fontId="1" fillId="4" borderId="12" xfId="55" applyFont="1" applyFill="1" applyBorder="1" applyAlignment="1">
      <alignment horizontal="center" vertical="center" wrapText="1"/>
    </xf>
    <xf numFmtId="3" fontId="6" fillId="4" borderId="10" xfId="0" applyNumberFormat="1" applyFont="1" applyFill="1" applyBorder="1" applyAlignment="1">
      <alignment horizontal="center" vertical="center" textRotation="180" wrapText="1"/>
    </xf>
    <xf numFmtId="3" fontId="1" fillId="4" borderId="10" xfId="0" applyNumberFormat="1" applyFont="1" applyFill="1" applyBorder="1" applyAlignment="1">
      <alignment horizontal="center" vertical="center" textRotation="180" wrapText="1"/>
    </xf>
    <xf numFmtId="3" fontId="1" fillId="4" borderId="37" xfId="0" applyNumberFormat="1" applyFont="1" applyFill="1" applyBorder="1" applyAlignment="1">
      <alignment horizontal="center" vertical="center" textRotation="180" wrapText="1"/>
    </xf>
    <xf numFmtId="3" fontId="1" fillId="4" borderId="12" xfId="0" applyNumberFormat="1" applyFont="1" applyFill="1" applyBorder="1" applyAlignment="1">
      <alignment horizontal="center" vertical="center" textRotation="180" wrapText="1"/>
    </xf>
    <xf numFmtId="1" fontId="6" fillId="0" borderId="37" xfId="0" applyNumberFormat="1" applyFont="1" applyFill="1" applyBorder="1" applyAlignment="1">
      <alignment horizontal="center" vertical="center" textRotation="180" wrapText="1"/>
    </xf>
    <xf numFmtId="1" fontId="6" fillId="0" borderId="24" xfId="0" applyNumberFormat="1" applyFont="1" applyFill="1" applyBorder="1" applyAlignment="1">
      <alignment horizontal="center" vertical="center" textRotation="180" wrapText="1"/>
    </xf>
    <xf numFmtId="1" fontId="6" fillId="0" borderId="12" xfId="0" applyNumberFormat="1" applyFont="1" applyFill="1" applyBorder="1" applyAlignment="1">
      <alignment horizontal="center" vertical="center" textRotation="180" wrapText="1"/>
    </xf>
    <xf numFmtId="1" fontId="1" fillId="0" borderId="37" xfId="0" applyNumberFormat="1" applyFont="1" applyFill="1" applyBorder="1" applyAlignment="1">
      <alignment horizontal="center" vertical="center" textRotation="180" wrapText="1"/>
    </xf>
    <xf numFmtId="1" fontId="1" fillId="0" borderId="24" xfId="0" applyNumberFormat="1" applyFont="1" applyFill="1" applyBorder="1" applyAlignment="1">
      <alignment horizontal="center" vertical="center" textRotation="180" wrapText="1"/>
    </xf>
    <xf numFmtId="1" fontId="1" fillId="0" borderId="12" xfId="0" applyNumberFormat="1" applyFont="1" applyFill="1" applyBorder="1" applyAlignment="1">
      <alignment horizontal="center" vertical="center" textRotation="180" wrapText="1"/>
    </xf>
    <xf numFmtId="1" fontId="1" fillId="4" borderId="69" xfId="0" applyNumberFormat="1" applyFont="1" applyFill="1" applyBorder="1" applyAlignment="1">
      <alignment horizontal="center" vertical="center" textRotation="180" wrapText="1"/>
    </xf>
    <xf numFmtId="1" fontId="1" fillId="4" borderId="24" xfId="0" applyNumberFormat="1" applyFont="1" applyFill="1" applyBorder="1" applyAlignment="1">
      <alignment horizontal="center" vertical="center" textRotation="180" wrapText="1"/>
    </xf>
    <xf numFmtId="1" fontId="1" fillId="4" borderId="51" xfId="0" applyNumberFormat="1" applyFont="1" applyFill="1" applyBorder="1" applyAlignment="1">
      <alignment horizontal="center" vertical="center" textRotation="180" wrapText="1"/>
    </xf>
    <xf numFmtId="0" fontId="7" fillId="4" borderId="12" xfId="0" applyFont="1" applyFill="1" applyBorder="1" applyAlignment="1">
      <alignment horizontal="center" vertical="center" textRotation="180" wrapText="1"/>
    </xf>
    <xf numFmtId="0" fontId="4" fillId="4" borderId="37" xfId="0" applyFont="1" applyFill="1" applyBorder="1" applyAlignment="1">
      <alignment horizontal="center" vertical="center" textRotation="1" wrapText="1"/>
    </xf>
    <xf numFmtId="0" fontId="4" fillId="4" borderId="24" xfId="0" applyFont="1" applyFill="1" applyBorder="1" applyAlignment="1">
      <alignment horizontal="center" vertical="center" textRotation="1" wrapText="1"/>
    </xf>
    <xf numFmtId="0" fontId="4" fillId="4" borderId="12" xfId="0" applyFont="1" applyFill="1" applyBorder="1" applyAlignment="1">
      <alignment horizontal="center" vertical="center" textRotation="1" wrapText="1"/>
    </xf>
    <xf numFmtId="42" fontId="1" fillId="4" borderId="12" xfId="56" applyFont="1" applyFill="1" applyBorder="1" applyAlignment="1">
      <alignment horizontal="center" vertical="center" wrapText="1"/>
    </xf>
    <xf numFmtId="0" fontId="5" fillId="9" borderId="10" xfId="0" applyFont="1" applyFill="1" applyBorder="1" applyAlignment="1">
      <alignment horizontal="center" vertical="center" wrapText="1"/>
    </xf>
    <xf numFmtId="164" fontId="2" fillId="9" borderId="10" xfId="55" applyFont="1" applyFill="1" applyBorder="1" applyAlignment="1">
      <alignment horizontal="center" vertical="center" wrapText="1"/>
    </xf>
    <xf numFmtId="164" fontId="2" fillId="9" borderId="10" xfId="55" applyFont="1" applyFill="1" applyBorder="1" applyAlignment="1">
      <alignment vertical="center" wrapText="1"/>
    </xf>
    <xf numFmtId="0" fontId="2" fillId="9" borderId="34" xfId="0" applyFont="1" applyFill="1" applyBorder="1" applyAlignment="1">
      <alignment horizontal="center" vertical="center" wrapText="1"/>
    </xf>
    <xf numFmtId="49" fontId="2" fillId="9" borderId="42" xfId="0" applyNumberFormat="1" applyFont="1" applyFill="1" applyBorder="1" applyAlignment="1">
      <alignment horizontal="center" vertical="center" wrapText="1"/>
    </xf>
    <xf numFmtId="49" fontId="2" fillId="9" borderId="19" xfId="0" applyNumberFormat="1" applyFont="1" applyFill="1" applyBorder="1" applyAlignment="1">
      <alignment horizontal="center" vertical="center" wrapText="1"/>
    </xf>
    <xf numFmtId="0" fontId="2" fillId="9" borderId="42" xfId="0" applyFont="1" applyFill="1" applyBorder="1" applyAlignment="1">
      <alignment horizontal="center" vertical="center"/>
    </xf>
    <xf numFmtId="0" fontId="2" fillId="9" borderId="14" xfId="0" applyFont="1" applyFill="1" applyBorder="1" applyAlignment="1">
      <alignment horizontal="center" vertical="center"/>
    </xf>
    <xf numFmtId="0" fontId="2" fillId="9" borderId="19" xfId="0" applyFont="1" applyFill="1" applyBorder="1" applyAlignment="1">
      <alignment horizontal="center" vertical="center"/>
    </xf>
    <xf numFmtId="0" fontId="7" fillId="9" borderId="37" xfId="0" applyFont="1" applyFill="1" applyBorder="1" applyAlignment="1">
      <alignment horizontal="center" vertical="center" wrapText="1"/>
    </xf>
    <xf numFmtId="0" fontId="7" fillId="9" borderId="12" xfId="0" applyFont="1" applyFill="1" applyBorder="1" applyAlignment="1">
      <alignment horizontal="center" vertical="center" wrapText="1"/>
    </xf>
    <xf numFmtId="9" fontId="2" fillId="9" borderId="37" xfId="67" applyFont="1" applyFill="1" applyBorder="1" applyAlignment="1">
      <alignment horizontal="center" vertical="center" wrapText="1"/>
    </xf>
    <xf numFmtId="0" fontId="5" fillId="9" borderId="37" xfId="0" applyFont="1" applyFill="1" applyBorder="1" applyAlignment="1">
      <alignment horizontal="center" vertical="center" wrapText="1"/>
    </xf>
    <xf numFmtId="0" fontId="5" fillId="9" borderId="12" xfId="0" applyFont="1" applyFill="1" applyBorder="1" applyAlignment="1">
      <alignment horizontal="center" vertical="center" wrapText="1"/>
    </xf>
    <xf numFmtId="169" fontId="4" fillId="0" borderId="10" xfId="60" applyNumberFormat="1" applyFont="1" applyFill="1" applyBorder="1" applyAlignment="1">
      <alignment horizontal="center" vertical="center" wrapText="1"/>
      <protection/>
    </xf>
    <xf numFmtId="169" fontId="4" fillId="0" borderId="37" xfId="60" applyNumberFormat="1" applyFont="1" applyFill="1" applyBorder="1" applyAlignment="1">
      <alignment horizontal="center" vertical="center" wrapText="1"/>
      <protection/>
    </xf>
    <xf numFmtId="169" fontId="6" fillId="0" borderId="37" xfId="60" applyNumberFormat="1" applyFont="1" applyFill="1" applyBorder="1" applyAlignment="1">
      <alignment horizontal="center" vertical="center" wrapText="1"/>
      <protection/>
    </xf>
    <xf numFmtId="169" fontId="6" fillId="0" borderId="24" xfId="60" applyNumberFormat="1" applyFont="1" applyFill="1" applyBorder="1" applyAlignment="1">
      <alignment horizontal="center" vertical="center" wrapText="1"/>
      <protection/>
    </xf>
    <xf numFmtId="169" fontId="6" fillId="0" borderId="12" xfId="60" applyNumberFormat="1" applyFont="1" applyFill="1" applyBorder="1" applyAlignment="1">
      <alignment horizontal="center" vertical="center" wrapText="1"/>
      <protection/>
    </xf>
    <xf numFmtId="3" fontId="4" fillId="0" borderId="27" xfId="60" applyNumberFormat="1" applyFont="1" applyFill="1" applyBorder="1" applyAlignment="1">
      <alignment horizontal="center" vertical="center" wrapText="1"/>
      <protection/>
    </xf>
    <xf numFmtId="3" fontId="4" fillId="0" borderId="55" xfId="60" applyNumberFormat="1" applyFont="1" applyFill="1" applyBorder="1" applyAlignment="1">
      <alignment horizontal="center" vertical="center" wrapText="1"/>
      <protection/>
    </xf>
    <xf numFmtId="167" fontId="2" fillId="0" borderId="77" xfId="60" applyFont="1" applyFill="1" applyBorder="1" applyAlignment="1">
      <alignment horizontal="center" vertical="center"/>
      <protection/>
    </xf>
    <xf numFmtId="167" fontId="2" fillId="0" borderId="11" xfId="60" applyFont="1" applyFill="1" applyBorder="1" applyAlignment="1">
      <alignment horizontal="center" vertical="center"/>
      <protection/>
    </xf>
    <xf numFmtId="9" fontId="4" fillId="0" borderId="37" xfId="66" applyNumberFormat="1" applyFont="1" applyFill="1" applyBorder="1" applyAlignment="1">
      <alignment horizontal="center" vertical="center" wrapText="1"/>
    </xf>
    <xf numFmtId="9" fontId="4" fillId="0" borderId="24" xfId="66" applyNumberFormat="1" applyFont="1" applyFill="1" applyBorder="1" applyAlignment="1">
      <alignment horizontal="center" vertical="center" wrapText="1"/>
    </xf>
    <xf numFmtId="9" fontId="4" fillId="0" borderId="12" xfId="66" applyNumberFormat="1" applyFont="1" applyFill="1" applyBorder="1" applyAlignment="1">
      <alignment horizontal="center" vertical="center" wrapText="1"/>
    </xf>
    <xf numFmtId="1" fontId="4" fillId="0" borderId="37" xfId="60" applyNumberFormat="1" applyFont="1" applyFill="1" applyBorder="1" applyAlignment="1">
      <alignment horizontal="center" vertical="center" wrapText="1"/>
      <protection/>
    </xf>
    <xf numFmtId="1" fontId="4" fillId="0" borderId="24" xfId="60" applyNumberFormat="1" applyFont="1" applyFill="1" applyBorder="1" applyAlignment="1">
      <alignment horizontal="center" vertical="center" wrapText="1"/>
      <protection/>
    </xf>
    <xf numFmtId="1" fontId="4" fillId="0" borderId="12" xfId="60" applyNumberFormat="1" applyFont="1" applyFill="1" applyBorder="1" applyAlignment="1">
      <alignment horizontal="center" vertical="center" wrapText="1"/>
      <protection/>
    </xf>
    <xf numFmtId="1" fontId="4" fillId="0" borderId="10" xfId="60" applyNumberFormat="1" applyFont="1" applyFill="1" applyBorder="1" applyAlignment="1">
      <alignment horizontal="center" vertical="center" textRotation="180" wrapText="1"/>
      <protection/>
    </xf>
    <xf numFmtId="1" fontId="4" fillId="0" borderId="37" xfId="60" applyNumberFormat="1" applyFont="1" applyFill="1" applyBorder="1" applyAlignment="1">
      <alignment horizontal="center" vertical="center" textRotation="180" wrapText="1"/>
      <protection/>
    </xf>
    <xf numFmtId="1" fontId="6" fillId="0" borderId="37" xfId="60" applyNumberFormat="1" applyFont="1" applyFill="1" applyBorder="1" applyAlignment="1">
      <alignment horizontal="center" vertical="center" textRotation="180" wrapText="1"/>
      <protection/>
    </xf>
    <xf numFmtId="1" fontId="6" fillId="0" borderId="24" xfId="60" applyNumberFormat="1" applyFont="1" applyFill="1" applyBorder="1" applyAlignment="1">
      <alignment horizontal="center" vertical="center" textRotation="180" wrapText="1"/>
      <protection/>
    </xf>
    <xf numFmtId="1" fontId="6" fillId="0" borderId="12" xfId="60" applyNumberFormat="1" applyFont="1" applyFill="1" applyBorder="1" applyAlignment="1">
      <alignment horizontal="center" vertical="center" textRotation="180" wrapText="1"/>
      <protection/>
    </xf>
    <xf numFmtId="176" fontId="6" fillId="0" borderId="37" xfId="48" applyNumberFormat="1" applyFont="1" applyFill="1" applyBorder="1" applyAlignment="1">
      <alignment vertical="center"/>
    </xf>
    <xf numFmtId="176" fontId="6" fillId="0" borderId="24" xfId="48" applyNumberFormat="1" applyFont="1" applyFill="1" applyBorder="1" applyAlignment="1">
      <alignment vertical="center"/>
    </xf>
    <xf numFmtId="176" fontId="6" fillId="0" borderId="12" xfId="48" applyNumberFormat="1" applyFont="1" applyFill="1" applyBorder="1" applyAlignment="1">
      <alignment vertical="center"/>
    </xf>
    <xf numFmtId="0" fontId="9" fillId="0" borderId="37" xfId="0" applyFont="1" applyBorder="1" applyAlignment="1">
      <alignment horizontal="justify" vertical="center"/>
    </xf>
    <xf numFmtId="0" fontId="9" fillId="0" borderId="24" xfId="0" applyFont="1" applyBorder="1" applyAlignment="1">
      <alignment horizontal="justify" vertical="center"/>
    </xf>
    <xf numFmtId="0" fontId="9" fillId="0" borderId="37" xfId="0" applyFont="1" applyBorder="1" applyAlignment="1">
      <alignment horizontal="center" vertical="center"/>
    </xf>
    <xf numFmtId="0" fontId="9" fillId="0" borderId="24" xfId="0" applyFont="1" applyBorder="1" applyAlignment="1">
      <alignment horizontal="center" vertical="center"/>
    </xf>
    <xf numFmtId="170" fontId="4" fillId="0" borderId="37" xfId="60" applyNumberFormat="1" applyFont="1" applyFill="1" applyBorder="1" applyAlignment="1">
      <alignment horizontal="center" vertical="center" wrapText="1"/>
      <protection/>
    </xf>
    <xf numFmtId="170" fontId="4" fillId="0" borderId="24" xfId="60" applyNumberFormat="1" applyFont="1" applyFill="1" applyBorder="1" applyAlignment="1">
      <alignment horizontal="center" vertical="center" wrapText="1"/>
      <protection/>
    </xf>
    <xf numFmtId="167" fontId="2" fillId="9" borderId="42" xfId="60" applyFont="1" applyFill="1" applyBorder="1" applyAlignment="1">
      <alignment horizontal="center" vertical="center" wrapText="1"/>
      <protection/>
    </xf>
    <xf numFmtId="167" fontId="2" fillId="9" borderId="14" xfId="60" applyFont="1" applyFill="1" applyBorder="1" applyAlignment="1">
      <alignment horizontal="center" vertical="center" wrapText="1"/>
      <protection/>
    </xf>
    <xf numFmtId="167" fontId="2" fillId="9" borderId="19" xfId="60" applyFont="1" applyFill="1" applyBorder="1" applyAlignment="1">
      <alignment horizontal="center" vertical="center" wrapText="1"/>
      <protection/>
    </xf>
    <xf numFmtId="167" fontId="2" fillId="9" borderId="26" xfId="60" applyFont="1" applyFill="1" applyBorder="1" applyAlignment="1">
      <alignment horizontal="center" vertical="center" wrapText="1"/>
      <protection/>
    </xf>
    <xf numFmtId="167" fontId="2" fillId="9" borderId="34" xfId="60" applyFont="1" applyFill="1" applyBorder="1" applyAlignment="1">
      <alignment horizontal="center" vertical="center" wrapText="1"/>
      <protection/>
    </xf>
    <xf numFmtId="167" fontId="2" fillId="9" borderId="13" xfId="60" applyFont="1" applyFill="1" applyBorder="1" applyAlignment="1">
      <alignment horizontal="center" vertical="center" wrapText="1"/>
      <protection/>
    </xf>
    <xf numFmtId="167" fontId="2" fillId="9" borderId="37" xfId="60" applyFont="1" applyFill="1" applyBorder="1" applyAlignment="1">
      <alignment horizontal="center" vertical="center" wrapText="1"/>
      <protection/>
    </xf>
    <xf numFmtId="167" fontId="2" fillId="9" borderId="24" xfId="60" applyFont="1" applyFill="1" applyBorder="1" applyAlignment="1">
      <alignment horizontal="center" vertical="center" wrapText="1"/>
      <protection/>
    </xf>
    <xf numFmtId="167" fontId="2" fillId="9" borderId="12" xfId="60" applyFont="1" applyFill="1" applyBorder="1" applyAlignment="1">
      <alignment horizontal="center" vertical="center" wrapText="1"/>
      <protection/>
    </xf>
    <xf numFmtId="167" fontId="4" fillId="0" borderId="10" xfId="60" applyFont="1" applyFill="1" applyBorder="1" applyAlignment="1">
      <alignment horizontal="justify" vertical="center" wrapText="1"/>
      <protection/>
    </xf>
    <xf numFmtId="167" fontId="4" fillId="0" borderId="37" xfId="60" applyFont="1" applyFill="1" applyBorder="1" applyAlignment="1">
      <alignment horizontal="justify" vertical="center" wrapText="1"/>
      <protection/>
    </xf>
    <xf numFmtId="0" fontId="4" fillId="0" borderId="10" xfId="60" applyNumberFormat="1" applyFont="1" applyFill="1" applyBorder="1" applyAlignment="1">
      <alignment horizontal="center" vertical="center" wrapText="1"/>
      <protection/>
    </xf>
    <xf numFmtId="0" fontId="4" fillId="0" borderId="37" xfId="60" applyNumberFormat="1" applyFont="1" applyFill="1" applyBorder="1" applyAlignment="1">
      <alignment horizontal="center" vertical="center" wrapText="1"/>
      <protection/>
    </xf>
    <xf numFmtId="167" fontId="4" fillId="0" borderId="10" xfId="60" applyFont="1" applyFill="1" applyBorder="1" applyAlignment="1">
      <alignment horizontal="center" vertical="center" wrapText="1"/>
      <protection/>
    </xf>
    <xf numFmtId="167" fontId="4" fillId="0" borderId="37" xfId="60" applyFont="1" applyFill="1" applyBorder="1" applyAlignment="1">
      <alignment horizontal="center" vertical="center" wrapText="1"/>
      <protection/>
    </xf>
    <xf numFmtId="167" fontId="2" fillId="0" borderId="28" xfId="60" applyFont="1" applyFill="1" applyBorder="1" applyAlignment="1">
      <alignment horizontal="center" vertical="center" wrapText="1"/>
      <protection/>
    </xf>
    <xf numFmtId="167" fontId="2" fillId="0" borderId="10" xfId="60" applyFont="1" applyFill="1" applyBorder="1" applyAlignment="1">
      <alignment horizontal="center" vertical="center" wrapText="1"/>
      <protection/>
    </xf>
    <xf numFmtId="167" fontId="2" fillId="0" borderId="68" xfId="60" applyFont="1" applyFill="1" applyBorder="1" applyAlignment="1">
      <alignment horizontal="center" vertical="center" wrapText="1"/>
      <protection/>
    </xf>
    <xf numFmtId="167" fontId="2" fillId="0" borderId="37" xfId="60" applyFont="1" applyFill="1" applyBorder="1" applyAlignment="1">
      <alignment horizontal="center" vertical="center" wrapText="1"/>
      <protection/>
    </xf>
    <xf numFmtId="167" fontId="2" fillId="0" borderId="42" xfId="60" applyFont="1" applyFill="1" applyBorder="1" applyAlignment="1">
      <alignment horizontal="center" vertical="center" wrapText="1"/>
      <protection/>
    </xf>
    <xf numFmtId="167" fontId="2" fillId="0" borderId="14" xfId="60" applyFont="1" applyFill="1" applyBorder="1" applyAlignment="1">
      <alignment horizontal="center" vertical="center" wrapText="1"/>
      <protection/>
    </xf>
    <xf numFmtId="167" fontId="2" fillId="0" borderId="19" xfId="60" applyFont="1" applyFill="1" applyBorder="1" applyAlignment="1">
      <alignment horizontal="center" vertical="center" wrapText="1"/>
      <protection/>
    </xf>
    <xf numFmtId="167" fontId="2" fillId="0" borderId="25" xfId="60" applyFont="1" applyFill="1" applyBorder="1" applyAlignment="1">
      <alignment horizontal="center" vertical="center" wrapText="1"/>
      <protection/>
    </xf>
    <xf numFmtId="167" fontId="2" fillId="0" borderId="0" xfId="60" applyFont="1" applyFill="1" applyBorder="1" applyAlignment="1">
      <alignment horizontal="center" vertical="center" wrapText="1"/>
      <protection/>
    </xf>
    <xf numFmtId="167" fontId="2" fillId="0" borderId="38" xfId="60" applyFont="1" applyFill="1" applyBorder="1" applyAlignment="1">
      <alignment horizontal="center" vertical="center" wrapText="1"/>
      <protection/>
    </xf>
    <xf numFmtId="167" fontId="2" fillId="0" borderId="26" xfId="60" applyFont="1" applyFill="1" applyBorder="1" applyAlignment="1">
      <alignment horizontal="center" vertical="center" wrapText="1"/>
      <protection/>
    </xf>
    <xf numFmtId="167" fontId="2" fillId="0" borderId="34" xfId="60" applyFont="1" applyFill="1" applyBorder="1" applyAlignment="1">
      <alignment horizontal="center" vertical="center" wrapText="1"/>
      <protection/>
    </xf>
    <xf numFmtId="167" fontId="2" fillId="0" borderId="13" xfId="60" applyFont="1" applyFill="1" applyBorder="1" applyAlignment="1">
      <alignment horizontal="center" vertical="center" wrapText="1"/>
      <protection/>
    </xf>
    <xf numFmtId="1" fontId="4" fillId="0" borderId="42" xfId="60" applyNumberFormat="1" applyFont="1" applyFill="1" applyBorder="1" applyAlignment="1">
      <alignment horizontal="center" vertical="center" wrapText="1"/>
      <protection/>
    </xf>
    <xf numFmtId="1" fontId="4" fillId="0" borderId="14" xfId="60" applyNumberFormat="1" applyFont="1" applyFill="1" applyBorder="1" applyAlignment="1">
      <alignment horizontal="center" vertical="center" wrapText="1"/>
      <protection/>
    </xf>
    <xf numFmtId="1" fontId="4" fillId="0" borderId="19" xfId="60" applyNumberFormat="1" applyFont="1" applyFill="1" applyBorder="1" applyAlignment="1">
      <alignment horizontal="center" vertical="center" wrapText="1"/>
      <protection/>
    </xf>
    <xf numFmtId="1" fontId="4" fillId="0" borderId="26" xfId="60" applyNumberFormat="1" applyFont="1" applyFill="1" applyBorder="1" applyAlignment="1">
      <alignment horizontal="center" vertical="center" wrapText="1"/>
      <protection/>
    </xf>
    <xf numFmtId="1" fontId="4" fillId="0" borderId="34" xfId="60" applyNumberFormat="1" applyFont="1" applyFill="1" applyBorder="1" applyAlignment="1">
      <alignment horizontal="center" vertical="center" wrapText="1"/>
      <protection/>
    </xf>
    <xf numFmtId="1" fontId="4" fillId="0" borderId="13" xfId="60" applyNumberFormat="1" applyFont="1" applyFill="1" applyBorder="1" applyAlignment="1">
      <alignment horizontal="center" vertical="center" wrapText="1"/>
      <protection/>
    </xf>
    <xf numFmtId="1" fontId="4" fillId="0" borderId="10" xfId="60" applyNumberFormat="1" applyFont="1" applyFill="1" applyBorder="1" applyAlignment="1">
      <alignment horizontal="center" vertical="center" wrapText="1"/>
      <protection/>
    </xf>
    <xf numFmtId="167" fontId="4" fillId="0" borderId="24" xfId="60" applyFont="1" applyFill="1" applyBorder="1" applyAlignment="1">
      <alignment horizontal="center" vertical="center" wrapText="1"/>
      <protection/>
    </xf>
    <xf numFmtId="167" fontId="2" fillId="9" borderId="15" xfId="60" applyFont="1" applyFill="1" applyBorder="1" applyAlignment="1">
      <alignment horizontal="center" vertical="center" wrapText="1"/>
      <protection/>
    </xf>
    <xf numFmtId="167" fontId="2" fillId="9" borderId="16" xfId="60" applyFont="1" applyFill="1" applyBorder="1" applyAlignment="1">
      <alignment horizontal="center" vertical="center" wrapText="1"/>
      <protection/>
    </xf>
    <xf numFmtId="167" fontId="2" fillId="9" borderId="15" xfId="60" applyFont="1" applyFill="1" applyBorder="1" applyAlignment="1">
      <alignment horizontal="center" vertical="center"/>
      <protection/>
    </xf>
    <xf numFmtId="167" fontId="2" fillId="9" borderId="17" xfId="60" applyFont="1" applyFill="1" applyBorder="1" applyAlignment="1">
      <alignment horizontal="center" vertical="center"/>
      <protection/>
    </xf>
    <xf numFmtId="167" fontId="2" fillId="9" borderId="16" xfId="60" applyFont="1" applyFill="1" applyBorder="1" applyAlignment="1">
      <alignment horizontal="center" vertical="center"/>
      <protection/>
    </xf>
    <xf numFmtId="167" fontId="2" fillId="0" borderId="0" xfId="60" applyFont="1" applyBorder="1" applyAlignment="1">
      <alignment horizontal="center" vertical="center" wrapText="1"/>
      <protection/>
    </xf>
    <xf numFmtId="167" fontId="2" fillId="9" borderId="68" xfId="60" applyFont="1" applyFill="1" applyBorder="1" applyAlignment="1">
      <alignment horizontal="center" vertical="center" wrapText="1"/>
      <protection/>
    </xf>
    <xf numFmtId="167" fontId="2" fillId="9" borderId="45" xfId="60" applyFont="1" applyFill="1" applyBorder="1" applyAlignment="1">
      <alignment horizontal="center" vertical="center" wrapText="1"/>
      <protection/>
    </xf>
    <xf numFmtId="167" fontId="2" fillId="9" borderId="49" xfId="60" applyFont="1" applyFill="1" applyBorder="1" applyAlignment="1">
      <alignment horizontal="center" vertical="center" wrapText="1"/>
      <protection/>
    </xf>
    <xf numFmtId="167" fontId="2" fillId="9" borderId="25" xfId="60" applyFont="1" applyFill="1" applyBorder="1" applyAlignment="1">
      <alignment horizontal="center" vertical="center" wrapText="1"/>
      <protection/>
    </xf>
    <xf numFmtId="167" fontId="2" fillId="9" borderId="38" xfId="60" applyFont="1" applyFill="1" applyBorder="1" applyAlignment="1">
      <alignment horizontal="center" vertical="center" wrapText="1"/>
      <protection/>
    </xf>
    <xf numFmtId="169" fontId="2" fillId="9" borderId="42" xfId="60" applyNumberFormat="1" applyFont="1" applyFill="1" applyBorder="1" applyAlignment="1">
      <alignment horizontal="center" vertical="center" wrapText="1"/>
      <protection/>
    </xf>
    <xf numFmtId="169" fontId="2" fillId="9" borderId="19" xfId="60" applyNumberFormat="1" applyFont="1" applyFill="1" applyBorder="1" applyAlignment="1">
      <alignment horizontal="center" vertical="center" wrapText="1"/>
      <protection/>
    </xf>
    <xf numFmtId="169" fontId="2" fillId="9" borderId="26" xfId="60" applyNumberFormat="1" applyFont="1" applyFill="1" applyBorder="1" applyAlignment="1">
      <alignment horizontal="center" vertical="center" wrapText="1"/>
      <protection/>
    </xf>
    <xf numFmtId="169" fontId="2" fillId="9" borderId="13" xfId="60" applyNumberFormat="1" applyFont="1" applyFill="1" applyBorder="1" applyAlignment="1">
      <alignment horizontal="center" vertical="center" wrapText="1"/>
      <protection/>
    </xf>
    <xf numFmtId="3" fontId="2" fillId="9" borderId="55" xfId="60" applyNumberFormat="1" applyFont="1" applyFill="1" applyBorder="1" applyAlignment="1">
      <alignment horizontal="center" vertical="center" wrapText="1"/>
      <protection/>
    </xf>
    <xf numFmtId="3" fontId="2" fillId="9" borderId="36" xfId="60" applyNumberFormat="1" applyFont="1" applyFill="1" applyBorder="1" applyAlignment="1">
      <alignment horizontal="center" vertical="center" wrapText="1"/>
      <protection/>
    </xf>
    <xf numFmtId="49" fontId="2" fillId="9" borderId="15" xfId="60" applyNumberFormat="1" applyFont="1" applyFill="1" applyBorder="1" applyAlignment="1">
      <alignment horizontal="center" vertical="center" wrapText="1"/>
      <protection/>
    </xf>
    <xf numFmtId="49" fontId="2" fillId="9" borderId="16" xfId="60" applyNumberFormat="1" applyFont="1" applyFill="1" applyBorder="1" applyAlignment="1">
      <alignment horizontal="center" vertical="center" wrapText="1"/>
      <protection/>
    </xf>
    <xf numFmtId="170" fontId="1" fillId="0" borderId="37" xfId="0" applyNumberFormat="1" applyFont="1" applyFill="1" applyBorder="1" applyAlignment="1">
      <alignment vertical="center" wrapText="1"/>
    </xf>
    <xf numFmtId="170" fontId="1" fillId="0" borderId="12" xfId="0" applyNumberFormat="1" applyFont="1" applyBorder="1" applyAlignment="1">
      <alignment vertical="center" wrapText="1"/>
    </xf>
    <xf numFmtId="0" fontId="1" fillId="0" borderId="12" xfId="0" applyFont="1" applyBorder="1" applyAlignment="1">
      <alignment horizontal="justify" vertical="center" wrapText="1"/>
    </xf>
    <xf numFmtId="0" fontId="1" fillId="0" borderId="10" xfId="0" applyFont="1" applyBorder="1" applyAlignment="1">
      <alignment horizontal="justify" vertical="center" wrapText="1"/>
    </xf>
    <xf numFmtId="3" fontId="6" fillId="0" borderId="37" xfId="0"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37"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37" xfId="0" applyFont="1" applyBorder="1" applyAlignment="1">
      <alignment horizontal="justify" vertical="center" wrapText="1"/>
    </xf>
    <xf numFmtId="170" fontId="4" fillId="0" borderId="10" xfId="0" applyNumberFormat="1" applyFont="1" applyFill="1" applyBorder="1" applyAlignment="1">
      <alignment horizontal="center" vertical="center"/>
    </xf>
    <xf numFmtId="164" fontId="6" fillId="0" borderId="10" xfId="55" applyFont="1" applyFill="1" applyBorder="1" applyAlignment="1">
      <alignment horizontal="center" vertical="center" wrapText="1"/>
    </xf>
    <xf numFmtId="164" fontId="6" fillId="0" borderId="10" xfId="55" applyFont="1" applyFill="1" applyBorder="1" applyAlignment="1">
      <alignment horizontal="center" vertical="center"/>
    </xf>
    <xf numFmtId="164" fontId="4" fillId="0" borderId="10" xfId="55" applyFont="1" applyFill="1" applyBorder="1" applyAlignment="1">
      <alignment horizontal="center" vertical="center" wrapText="1"/>
    </xf>
    <xf numFmtId="165" fontId="1" fillId="0" borderId="37" xfId="48" applyFont="1" applyFill="1" applyBorder="1" applyAlignment="1">
      <alignment horizontal="center" vertical="center" wrapText="1"/>
    </xf>
    <xf numFmtId="165" fontId="1" fillId="0" borderId="24" xfId="48" applyFont="1" applyFill="1" applyBorder="1" applyAlignment="1">
      <alignment horizontal="center" vertical="center" wrapText="1"/>
    </xf>
    <xf numFmtId="165" fontId="1" fillId="0" borderId="12" xfId="48" applyFont="1" applyFill="1" applyBorder="1" applyAlignment="1">
      <alignment horizontal="center" vertical="center" wrapText="1"/>
    </xf>
    <xf numFmtId="170" fontId="1" fillId="0" borderId="24" xfId="0" applyNumberFormat="1" applyFont="1" applyBorder="1" applyAlignment="1">
      <alignment vertical="center" wrapText="1"/>
    </xf>
    <xf numFmtId="0" fontId="1" fillId="0" borderId="24" xfId="0" applyFont="1" applyBorder="1" applyAlignment="1">
      <alignment horizontal="justify" vertical="center" wrapText="1"/>
    </xf>
    <xf numFmtId="170" fontId="1" fillId="0" borderId="37" xfId="48"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7" xfId="0" applyFont="1" applyBorder="1" applyAlignment="1">
      <alignment horizontal="justify" vertical="center" wrapText="1" readingOrder="2"/>
    </xf>
    <xf numFmtId="0" fontId="1" fillId="0" borderId="24" xfId="0" applyFont="1" applyBorder="1" applyAlignment="1">
      <alignment horizontal="justify" wrapText="1"/>
    </xf>
    <xf numFmtId="0" fontId="1" fillId="0" borderId="12" xfId="0" applyFont="1" applyBorder="1" applyAlignment="1">
      <alignment horizontal="justify" wrapText="1"/>
    </xf>
    <xf numFmtId="165" fontId="6" fillId="0" borderId="10" xfId="48" applyFont="1" applyFill="1" applyBorder="1" applyAlignment="1">
      <alignment horizontal="center" vertical="center" wrapText="1"/>
    </xf>
    <xf numFmtId="170" fontId="1" fillId="0" borderId="37" xfId="0" applyNumberFormat="1" applyFont="1" applyBorder="1" applyAlignment="1">
      <alignment vertical="center" wrapText="1"/>
    </xf>
    <xf numFmtId="0" fontId="1" fillId="0" borderId="37" xfId="0" applyFont="1" applyBorder="1" applyAlignment="1">
      <alignment horizontal="justify" vertical="center" wrapText="1" readingOrder="2"/>
    </xf>
    <xf numFmtId="0" fontId="1" fillId="0" borderId="24" xfId="0" applyFont="1" applyBorder="1" applyAlignment="1">
      <alignment horizontal="justify" vertical="center" wrapText="1" readingOrder="2"/>
    </xf>
    <xf numFmtId="0" fontId="1" fillId="0" borderId="12" xfId="0" applyFont="1" applyBorder="1" applyAlignment="1">
      <alignment horizontal="justify" vertical="center" wrapText="1" readingOrder="2"/>
    </xf>
    <xf numFmtId="0" fontId="1" fillId="0" borderId="37" xfId="0" applyFont="1" applyBorder="1" applyAlignment="1">
      <alignment horizontal="center" vertical="center" wrapText="1" readingOrder="2"/>
    </xf>
    <xf numFmtId="0" fontId="1" fillId="0" borderId="24" xfId="0" applyFont="1" applyBorder="1" applyAlignment="1">
      <alignment wrapText="1"/>
    </xf>
    <xf numFmtId="0" fontId="1" fillId="0" borderId="12" xfId="0" applyFont="1" applyBorder="1" applyAlignment="1">
      <alignment wrapText="1"/>
    </xf>
    <xf numFmtId="9" fontId="1" fillId="0" borderId="37" xfId="0" applyNumberFormat="1" applyFont="1" applyFill="1" applyBorder="1" applyAlignment="1">
      <alignment horizontal="center" vertical="center" wrapText="1"/>
    </xf>
    <xf numFmtId="9" fontId="1" fillId="0" borderId="24" xfId="0" applyNumberFormat="1" applyFont="1" applyFill="1" applyBorder="1" applyAlignment="1">
      <alignment horizontal="center" vertical="center" wrapText="1"/>
    </xf>
    <xf numFmtId="9" fontId="1" fillId="0" borderId="12" xfId="0" applyNumberFormat="1" applyFont="1" applyFill="1" applyBorder="1" applyAlignment="1">
      <alignment horizontal="center" vertical="center" wrapText="1"/>
    </xf>
    <xf numFmtId="164" fontId="4" fillId="0" borderId="37" xfId="55" applyFont="1" applyFill="1" applyBorder="1" applyAlignment="1">
      <alignment horizontal="center" vertical="center" wrapText="1"/>
    </xf>
    <xf numFmtId="164" fontId="4" fillId="0" borderId="24" xfId="55" applyFont="1" applyFill="1" applyBorder="1" applyAlignment="1">
      <alignment horizontal="center" vertical="center" wrapText="1"/>
    </xf>
    <xf numFmtId="164" fontId="4" fillId="0" borderId="12" xfId="55" applyFont="1" applyFill="1" applyBorder="1" applyAlignment="1">
      <alignment horizontal="center" vertical="center" wrapText="1"/>
    </xf>
    <xf numFmtId="164" fontId="6" fillId="0" borderId="37" xfId="55" applyFont="1" applyFill="1" applyBorder="1" applyAlignment="1">
      <alignment horizontal="center" vertical="center" wrapText="1"/>
    </xf>
    <xf numFmtId="164" fontId="6" fillId="0" borderId="24" xfId="55" applyFont="1" applyFill="1" applyBorder="1" applyAlignment="1">
      <alignment horizontal="center" vertical="center" wrapText="1"/>
    </xf>
    <xf numFmtId="164" fontId="6" fillId="0" borderId="12" xfId="55" applyFont="1" applyFill="1" applyBorder="1" applyAlignment="1">
      <alignment horizontal="center" vertical="center" wrapText="1"/>
    </xf>
    <xf numFmtId="170" fontId="1" fillId="0" borderId="24" xfId="0" applyNumberFormat="1" applyFont="1" applyFill="1" applyBorder="1" applyAlignment="1">
      <alignment vertical="center" wrapText="1"/>
    </xf>
    <xf numFmtId="170" fontId="1" fillId="0" borderId="12" xfId="0" applyNumberFormat="1" applyFont="1" applyFill="1" applyBorder="1" applyAlignment="1">
      <alignment vertical="center" wrapText="1"/>
    </xf>
    <xf numFmtId="0" fontId="2" fillId="0" borderId="26"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4" fontId="6" fillId="0" borderId="37" xfId="0" applyNumberFormat="1" applyFont="1" applyFill="1" applyBorder="1" applyAlignment="1">
      <alignment horizontal="center" vertical="center" wrapText="1"/>
    </xf>
    <xf numFmtId="4" fontId="6" fillId="0" borderId="24"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165" fontId="2" fillId="9" borderId="10" xfId="48" applyFont="1" applyFill="1" applyBorder="1" applyAlignment="1">
      <alignment horizontal="center" vertical="center" wrapText="1"/>
    </xf>
    <xf numFmtId="164" fontId="2" fillId="9" borderId="42" xfId="55" applyFont="1" applyFill="1" applyBorder="1" applyAlignment="1">
      <alignment horizontal="center" vertical="center" wrapText="1"/>
    </xf>
    <xf numFmtId="164" fontId="2" fillId="9" borderId="14" xfId="55" applyFont="1" applyFill="1" applyBorder="1" applyAlignment="1">
      <alignment horizontal="center" vertical="center" wrapText="1"/>
    </xf>
    <xf numFmtId="164" fontId="2" fillId="9" borderId="19" xfId="55" applyFont="1" applyFill="1" applyBorder="1" applyAlignment="1">
      <alignment horizontal="center" vertical="center" wrapText="1"/>
    </xf>
    <xf numFmtId="164" fontId="2" fillId="9" borderId="25" xfId="55" applyFont="1" applyFill="1" applyBorder="1" applyAlignment="1">
      <alignment horizontal="center" vertical="center" wrapText="1"/>
    </xf>
    <xf numFmtId="164" fontId="2" fillId="9" borderId="0" xfId="55" applyFont="1" applyFill="1" applyBorder="1" applyAlignment="1">
      <alignment horizontal="center" vertical="center" wrapText="1"/>
    </xf>
    <xf numFmtId="164" fontId="2" fillId="9" borderId="38" xfId="55" applyFont="1" applyFill="1" applyBorder="1" applyAlignment="1">
      <alignment horizontal="center" vertical="center" wrapText="1"/>
    </xf>
    <xf numFmtId="170" fontId="2" fillId="9" borderId="37" xfId="0" applyNumberFormat="1" applyFont="1" applyFill="1" applyBorder="1" applyAlignment="1">
      <alignment horizontal="center" vertical="center" wrapText="1"/>
    </xf>
    <xf numFmtId="170" fontId="2" fillId="9" borderId="24" xfId="0" applyNumberFormat="1" applyFont="1" applyFill="1" applyBorder="1" applyAlignment="1">
      <alignment horizontal="center" vertical="center" wrapText="1"/>
    </xf>
    <xf numFmtId="0" fontId="2" fillId="9" borderId="37" xfId="0" applyFont="1" applyFill="1" applyBorder="1" applyAlignment="1">
      <alignment horizontal="justify" vertical="center" wrapText="1"/>
    </xf>
    <xf numFmtId="0" fontId="2" fillId="9" borderId="24" xfId="0" applyFont="1" applyFill="1" applyBorder="1" applyAlignment="1">
      <alignment horizontal="justify" vertical="center" wrapText="1"/>
    </xf>
    <xf numFmtId="0" fontId="2" fillId="0" borderId="0" xfId="0" applyFont="1" applyAlignment="1">
      <alignment horizontal="center" vertical="center"/>
    </xf>
    <xf numFmtId="0" fontId="2" fillId="9" borderId="15" xfId="0" applyFont="1" applyFill="1" applyBorder="1" applyAlignment="1">
      <alignment horizontal="left" vertical="center" wrapText="1"/>
    </xf>
    <xf numFmtId="0" fontId="2" fillId="9" borderId="17" xfId="0" applyFont="1" applyFill="1" applyBorder="1" applyAlignment="1">
      <alignment horizontal="left" vertical="center" wrapText="1"/>
    </xf>
    <xf numFmtId="0" fontId="1" fillId="0" borderId="37" xfId="0" applyFont="1" applyFill="1" applyBorder="1" applyAlignment="1">
      <alignment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center" vertical="center"/>
    </xf>
    <xf numFmtId="0" fontId="1"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9" borderId="37" xfId="0" applyFont="1" applyFill="1" applyBorder="1" applyAlignment="1">
      <alignment horizontal="center" vertical="center" wrapText="1"/>
    </xf>
    <xf numFmtId="0" fontId="2" fillId="9" borderId="24" xfId="0" applyFont="1" applyFill="1" applyBorder="1" applyAlignment="1">
      <alignment horizontal="center" vertical="center" wrapText="1"/>
    </xf>
    <xf numFmtId="0" fontId="2" fillId="9" borderId="25" xfId="0" applyFont="1" applyFill="1" applyBorder="1" applyAlignment="1">
      <alignment horizontal="center" vertical="center" wrapText="1"/>
    </xf>
    <xf numFmtId="0" fontId="2" fillId="9" borderId="38"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4" xfId="0" applyFont="1" applyBorder="1" applyAlignment="1">
      <alignment horizontal="center" vertical="center" wrapText="1"/>
    </xf>
    <xf numFmtId="0" fontId="2" fillId="4" borderId="25"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13" xfId="0" applyFont="1" applyFill="1" applyBorder="1" applyAlignment="1">
      <alignment horizontal="center" vertical="center" wrapText="1"/>
    </xf>
    <xf numFmtId="3" fontId="2" fillId="9" borderId="37" xfId="0" applyNumberFormat="1" applyFont="1" applyFill="1" applyBorder="1" applyAlignment="1">
      <alignment horizontal="center" vertical="center" wrapText="1"/>
    </xf>
    <xf numFmtId="3" fontId="2" fillId="9" borderId="24" xfId="0" applyNumberFormat="1" applyFont="1" applyFill="1" applyBorder="1" applyAlignment="1">
      <alignment horizontal="center" vertical="center" wrapText="1"/>
    </xf>
    <xf numFmtId="49" fontId="2" fillId="9" borderId="42" xfId="0" applyNumberFormat="1" applyFont="1" applyFill="1" applyBorder="1" applyAlignment="1">
      <alignment horizontal="center" vertical="center" wrapText="1"/>
    </xf>
    <xf numFmtId="49" fontId="2" fillId="9" borderId="19" xfId="0" applyNumberFormat="1" applyFont="1" applyFill="1" applyBorder="1" applyAlignment="1">
      <alignment horizontal="center" vertical="center" wrapText="1"/>
    </xf>
    <xf numFmtId="170" fontId="2" fillId="9" borderId="42" xfId="0" applyNumberFormat="1" applyFont="1" applyFill="1" applyBorder="1" applyAlignment="1">
      <alignment horizontal="center" vertical="center" wrapText="1"/>
    </xf>
    <xf numFmtId="170" fontId="2" fillId="9" borderId="14" xfId="0" applyNumberFormat="1" applyFont="1" applyFill="1" applyBorder="1" applyAlignment="1">
      <alignment horizontal="center" vertical="center" wrapText="1"/>
    </xf>
    <xf numFmtId="170" fontId="2" fillId="9" borderId="19" xfId="0" applyNumberFormat="1" applyFont="1" applyFill="1" applyBorder="1" applyAlignment="1">
      <alignment horizontal="center" vertical="center" wrapText="1"/>
    </xf>
    <xf numFmtId="170" fontId="2" fillId="9" borderId="25" xfId="0" applyNumberFormat="1" applyFont="1" applyFill="1" applyBorder="1" applyAlignment="1">
      <alignment horizontal="center" vertical="center" wrapText="1"/>
    </xf>
    <xf numFmtId="170" fontId="2" fillId="9" borderId="0" xfId="0" applyNumberFormat="1" applyFont="1" applyFill="1" applyBorder="1" applyAlignment="1">
      <alignment horizontal="center" vertical="center" wrapText="1"/>
    </xf>
    <xf numFmtId="170" fontId="2" fillId="9" borderId="38" xfId="0" applyNumberFormat="1" applyFont="1" applyFill="1" applyBorder="1" applyAlignment="1">
      <alignment horizontal="center" vertical="center" wrapText="1"/>
    </xf>
    <xf numFmtId="0" fontId="2" fillId="9" borderId="15" xfId="0" applyFont="1" applyFill="1" applyBorder="1" applyAlignment="1">
      <alignment horizontal="center" vertical="center"/>
    </xf>
    <xf numFmtId="0" fontId="2" fillId="9" borderId="17" xfId="0" applyFont="1" applyFill="1" applyBorder="1" applyAlignment="1">
      <alignment horizontal="center" vertical="center"/>
    </xf>
    <xf numFmtId="0" fontId="2" fillId="9" borderId="16" xfId="0" applyFont="1" applyFill="1" applyBorder="1" applyAlignment="1">
      <alignment horizontal="center" vertical="center"/>
    </xf>
    <xf numFmtId="0" fontId="2" fillId="9" borderId="42" xfId="0" applyFont="1" applyFill="1" applyBorder="1" applyAlignment="1">
      <alignment horizontal="center" vertical="center"/>
    </xf>
    <xf numFmtId="0" fontId="2" fillId="9" borderId="14" xfId="0" applyFont="1" applyFill="1" applyBorder="1" applyAlignment="1">
      <alignment horizontal="center" vertical="center"/>
    </xf>
    <xf numFmtId="0" fontId="2" fillId="9" borderId="19" xfId="0" applyFont="1" applyFill="1" applyBorder="1" applyAlignment="1">
      <alignment horizontal="center" vertical="center"/>
    </xf>
    <xf numFmtId="194" fontId="1" fillId="4" borderId="24" xfId="0" applyNumberFormat="1" applyFont="1" applyFill="1" applyBorder="1" applyAlignment="1">
      <alignment horizontal="center" vertical="center" wrapText="1"/>
    </xf>
    <xf numFmtId="194" fontId="1" fillId="4" borderId="12" xfId="0" applyNumberFormat="1" applyFont="1" applyFill="1" applyBorder="1" applyAlignment="1">
      <alignment horizontal="center" vertical="center" wrapText="1"/>
    </xf>
    <xf numFmtId="195" fontId="1" fillId="4" borderId="37" xfId="0" applyNumberFormat="1" applyFont="1" applyFill="1" applyBorder="1" applyAlignment="1">
      <alignment horizontal="center" vertical="center" wrapText="1"/>
    </xf>
    <xf numFmtId="195" fontId="1" fillId="4" borderId="24" xfId="0" applyNumberFormat="1" applyFont="1" applyFill="1" applyBorder="1" applyAlignment="1">
      <alignment horizontal="center" vertical="center" wrapText="1"/>
    </xf>
    <xf numFmtId="195" fontId="1" fillId="4" borderId="12" xfId="0" applyNumberFormat="1" applyFont="1" applyFill="1" applyBorder="1" applyAlignment="1">
      <alignment horizontal="center" vertical="center" wrapText="1"/>
    </xf>
    <xf numFmtId="170" fontId="2" fillId="9" borderId="37" xfId="0" applyNumberFormat="1" applyFont="1" applyFill="1" applyBorder="1" applyAlignment="1">
      <alignment horizontal="center" vertical="center" wrapText="1"/>
    </xf>
    <xf numFmtId="170" fontId="2" fillId="9" borderId="24" xfId="0" applyNumberFormat="1"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37" xfId="0" applyFont="1" applyBorder="1" applyAlignment="1">
      <alignment horizontal="center" vertical="center"/>
    </xf>
    <xf numFmtId="0" fontId="21" fillId="0" borderId="12" xfId="0" applyFont="1" applyBorder="1" applyAlignment="1">
      <alignment horizontal="center" vertical="center"/>
    </xf>
    <xf numFmtId="0" fontId="1" fillId="0" borderId="12" xfId="0" applyFont="1" applyBorder="1" applyAlignment="1">
      <alignment horizontal="center"/>
    </xf>
    <xf numFmtId="0" fontId="1" fillId="4" borderId="24" xfId="0" applyFont="1" applyFill="1" applyBorder="1" applyAlignment="1">
      <alignment horizontal="justify" vertical="center" wrapText="1"/>
    </xf>
    <xf numFmtId="0" fontId="1" fillId="4" borderId="12" xfId="0" applyFont="1" applyFill="1" applyBorder="1" applyAlignment="1">
      <alignment horizontal="justify" vertical="center" wrapText="1"/>
    </xf>
    <xf numFmtId="0" fontId="21" fillId="0" borderId="10" xfId="0" applyFont="1" applyFill="1" applyBorder="1" applyAlignment="1">
      <alignment horizontal="center" vertical="center" wrapText="1"/>
    </xf>
    <xf numFmtId="170" fontId="1" fillId="4" borderId="12" xfId="0" applyNumberFormat="1" applyFont="1" applyFill="1" applyBorder="1" applyAlignment="1">
      <alignment horizontal="center" vertical="center"/>
    </xf>
    <xf numFmtId="170" fontId="1" fillId="4" borderId="10" xfId="0" applyNumberFormat="1" applyFont="1" applyFill="1" applyBorder="1" applyAlignment="1">
      <alignment horizontal="center" vertical="center"/>
    </xf>
    <xf numFmtId="0" fontId="1" fillId="4" borderId="37"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12" xfId="0" applyFont="1" applyFill="1" applyBorder="1" applyAlignment="1">
      <alignment horizontal="center" vertical="center" wrapText="1"/>
    </xf>
    <xf numFmtId="14" fontId="1" fillId="4" borderId="37" xfId="0" applyNumberFormat="1" applyFont="1" applyFill="1" applyBorder="1" applyAlignment="1">
      <alignment horizontal="center" vertical="center"/>
    </xf>
    <xf numFmtId="14" fontId="1" fillId="4" borderId="24" xfId="0" applyNumberFormat="1" applyFont="1" applyFill="1" applyBorder="1" applyAlignment="1">
      <alignment horizontal="center" vertical="center"/>
    </xf>
    <xf numFmtId="14" fontId="1" fillId="4" borderId="12" xfId="0" applyNumberFormat="1" applyFont="1" applyFill="1" applyBorder="1" applyAlignment="1">
      <alignment horizontal="center" vertical="center"/>
    </xf>
    <xf numFmtId="14" fontId="6" fillId="4" borderId="24" xfId="0" applyNumberFormat="1" applyFont="1" applyFill="1" applyBorder="1" applyAlignment="1">
      <alignment horizontal="center" vertical="center"/>
    </xf>
    <xf numFmtId="0" fontId="1" fillId="4" borderId="39" xfId="0" applyFont="1" applyFill="1" applyBorder="1" applyAlignment="1">
      <alignment horizontal="center" vertical="center" wrapText="1"/>
    </xf>
    <xf numFmtId="0" fontId="1" fillId="4" borderId="36" xfId="0" applyFont="1" applyFill="1" applyBorder="1" applyAlignment="1">
      <alignment horizontal="center" vertical="center" wrapText="1"/>
    </xf>
    <xf numFmtId="183" fontId="1" fillId="0" borderId="37" xfId="0" applyNumberFormat="1" applyFont="1" applyFill="1" applyBorder="1" applyAlignment="1">
      <alignment horizontal="center" vertical="center"/>
    </xf>
    <xf numFmtId="183" fontId="1" fillId="0" borderId="24" xfId="0" applyNumberFormat="1" applyFont="1" applyFill="1" applyBorder="1" applyAlignment="1">
      <alignment horizontal="center" vertical="center"/>
    </xf>
    <xf numFmtId="183" fontId="1" fillId="0" borderId="12" xfId="0" applyNumberFormat="1" applyFont="1" applyFill="1" applyBorder="1" applyAlignment="1">
      <alignment horizontal="center" vertical="center"/>
    </xf>
    <xf numFmtId="0" fontId="1" fillId="4" borderId="12" xfId="0" applyFont="1" applyFill="1" applyBorder="1" applyAlignment="1">
      <alignment horizontal="center" vertical="center"/>
    </xf>
    <xf numFmtId="0" fontId="6" fillId="4" borderId="10" xfId="0" applyFont="1" applyFill="1" applyBorder="1" applyAlignment="1">
      <alignment horizont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6" fillId="0" borderId="12" xfId="0" applyFont="1" applyBorder="1" applyAlignment="1">
      <alignment horizontal="center" vertical="center"/>
    </xf>
    <xf numFmtId="0" fontId="1" fillId="4" borderId="37" xfId="0" applyNumberFormat="1" applyFont="1" applyFill="1" applyBorder="1" applyAlignment="1">
      <alignment horizontal="center" vertical="center" wrapText="1"/>
    </xf>
    <xf numFmtId="0" fontId="1" fillId="4" borderId="12" xfId="0" applyNumberFormat="1" applyFont="1" applyFill="1" applyBorder="1" applyAlignment="1">
      <alignment horizontal="center" vertical="center" wrapText="1"/>
    </xf>
    <xf numFmtId="0" fontId="1" fillId="4" borderId="37" xfId="0" applyNumberFormat="1" applyFont="1" applyFill="1" applyBorder="1" applyAlignment="1">
      <alignment horizontal="justify" vertical="center" wrapText="1"/>
    </xf>
    <xf numFmtId="0" fontId="1" fillId="4" borderId="12" xfId="0" applyNumberFormat="1" applyFont="1" applyFill="1" applyBorder="1" applyAlignment="1">
      <alignment horizontal="justify" vertical="center" wrapText="1"/>
    </xf>
    <xf numFmtId="0" fontId="6" fillId="4" borderId="37" xfId="0" applyNumberFormat="1" applyFont="1" applyFill="1" applyBorder="1" applyAlignment="1">
      <alignment horizontal="center" vertical="center" wrapText="1"/>
    </xf>
    <xf numFmtId="0" fontId="6" fillId="4" borderId="12" xfId="0" applyNumberFormat="1" applyFont="1" applyFill="1" applyBorder="1" applyAlignment="1">
      <alignment horizontal="center" vertical="center" wrapText="1"/>
    </xf>
    <xf numFmtId="170" fontId="1" fillId="4" borderId="37" xfId="0" applyNumberFormat="1" applyFont="1" applyFill="1" applyBorder="1" applyAlignment="1">
      <alignment horizontal="center" vertical="center" wrapText="1"/>
    </xf>
    <xf numFmtId="170" fontId="1" fillId="4" borderId="12" xfId="0" applyNumberFormat="1" applyFont="1" applyFill="1" applyBorder="1" applyAlignment="1">
      <alignment horizontal="center" vertical="center" wrapText="1"/>
    </xf>
    <xf numFmtId="0" fontId="6" fillId="0" borderId="12" xfId="0" applyFont="1" applyBorder="1" applyAlignment="1">
      <alignment horizontal="center"/>
    </xf>
    <xf numFmtId="0" fontId="1" fillId="4" borderId="37" xfId="0" applyFont="1" applyFill="1" applyBorder="1" applyAlignment="1">
      <alignment horizontal="center"/>
    </xf>
    <xf numFmtId="0" fontId="1" fillId="4" borderId="12" xfId="0" applyFont="1" applyFill="1" applyBorder="1" applyAlignment="1">
      <alignment horizontal="center"/>
    </xf>
    <xf numFmtId="14" fontId="1" fillId="4" borderId="10" xfId="0" applyNumberFormat="1" applyFont="1" applyFill="1" applyBorder="1" applyAlignment="1">
      <alignment horizontal="center" vertical="center"/>
    </xf>
    <xf numFmtId="14" fontId="6" fillId="4" borderId="10" xfId="0" applyNumberFormat="1" applyFont="1" applyFill="1" applyBorder="1" applyAlignment="1">
      <alignment horizontal="center" vertical="center"/>
    </xf>
    <xf numFmtId="0" fontId="1" fillId="4" borderId="10" xfId="0" applyFont="1" applyFill="1" applyBorder="1" applyAlignment="1">
      <alignment horizontal="center"/>
    </xf>
    <xf numFmtId="0" fontId="1" fillId="4" borderId="27" xfId="0" applyFont="1" applyFill="1" applyBorder="1" applyAlignment="1">
      <alignment horizontal="center" vertical="center" wrapText="1"/>
    </xf>
    <xf numFmtId="0" fontId="1" fillId="4" borderId="55" xfId="0" applyFont="1" applyFill="1" applyBorder="1" applyAlignment="1">
      <alignment horizontal="center" vertical="center" wrapText="1"/>
    </xf>
    <xf numFmtId="183" fontId="1" fillId="4" borderId="37" xfId="0" applyNumberFormat="1" applyFont="1" applyFill="1" applyBorder="1" applyAlignment="1">
      <alignment horizontal="center" vertical="center"/>
    </xf>
    <xf numFmtId="183" fontId="1" fillId="4" borderId="12" xfId="0" applyNumberFormat="1" applyFont="1" applyFill="1" applyBorder="1" applyAlignment="1">
      <alignment horizontal="center" vertical="center"/>
    </xf>
    <xf numFmtId="10" fontId="1" fillId="4" borderId="37" xfId="66" applyNumberFormat="1" applyFont="1" applyFill="1" applyBorder="1" applyAlignment="1">
      <alignment horizontal="center" vertical="center"/>
    </xf>
    <xf numFmtId="10" fontId="1" fillId="4" borderId="12" xfId="66"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12" xfId="0" applyFont="1" applyFill="1" applyBorder="1" applyAlignment="1">
      <alignment horizontal="center" vertical="center"/>
    </xf>
    <xf numFmtId="194" fontId="1" fillId="4" borderId="37" xfId="0" applyNumberFormat="1" applyFont="1" applyFill="1" applyBorder="1" applyAlignment="1">
      <alignment horizontal="center" vertical="center" wrapText="1"/>
    </xf>
    <xf numFmtId="0" fontId="1" fillId="4" borderId="10" xfId="0" applyFont="1" applyFill="1" applyBorder="1" applyAlignment="1">
      <alignment horizontal="justify" vertical="center" wrapText="1"/>
    </xf>
    <xf numFmtId="0" fontId="1" fillId="4" borderId="37" xfId="0" applyFont="1" applyFill="1" applyBorder="1" applyAlignment="1">
      <alignment horizontal="justify" vertical="center" wrapText="1"/>
    </xf>
    <xf numFmtId="10" fontId="1" fillId="4" borderId="24" xfId="66" applyNumberFormat="1" applyFont="1" applyFill="1" applyBorder="1" applyAlignment="1">
      <alignment horizontal="center" vertical="center"/>
    </xf>
    <xf numFmtId="0" fontId="1" fillId="0" borderId="3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4" borderId="10" xfId="0" applyFont="1" applyFill="1" applyBorder="1" applyAlignment="1">
      <alignment horizontal="center" vertical="center"/>
    </xf>
    <xf numFmtId="183" fontId="1" fillId="4" borderId="24"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43" fontId="4" fillId="4" borderId="24" xfId="50" applyFont="1" applyFill="1" applyBorder="1" applyAlignment="1">
      <alignment horizontal="justify" vertical="center" wrapText="1"/>
    </xf>
    <xf numFmtId="43" fontId="4" fillId="4" borderId="12" xfId="50" applyFont="1" applyFill="1" applyBorder="1" applyAlignment="1">
      <alignment horizontal="justify" vertical="center" wrapText="1"/>
    </xf>
    <xf numFmtId="195" fontId="1" fillId="4" borderId="12" xfId="58" applyNumberFormat="1" applyFont="1" applyFill="1" applyBorder="1" applyAlignment="1">
      <alignment horizontal="center" vertical="center"/>
    </xf>
    <xf numFmtId="195" fontId="1" fillId="4" borderId="10" xfId="58" applyNumberFormat="1" applyFont="1" applyFill="1" applyBorder="1" applyAlignment="1">
      <alignment horizontal="center" vertical="center"/>
    </xf>
    <xf numFmtId="195" fontId="6" fillId="4" borderId="37" xfId="58" applyNumberFormat="1" applyFont="1" applyFill="1" applyBorder="1" applyAlignment="1">
      <alignment horizontal="center" vertical="center"/>
    </xf>
    <xf numFmtId="195" fontId="6" fillId="4" borderId="24" xfId="58" applyNumberFormat="1" applyFont="1" applyFill="1" applyBorder="1" applyAlignment="1">
      <alignment horizontal="center" vertical="center"/>
    </xf>
    <xf numFmtId="195" fontId="6" fillId="4" borderId="12" xfId="58" applyNumberFormat="1" applyFont="1" applyFill="1" applyBorder="1" applyAlignment="1">
      <alignment horizontal="center" vertical="center"/>
    </xf>
    <xf numFmtId="0" fontId="1" fillId="4" borderId="10" xfId="0" applyNumberFormat="1" applyFont="1" applyFill="1" applyBorder="1" applyAlignment="1">
      <alignment horizontal="center" vertical="center" wrapText="1"/>
    </xf>
    <xf numFmtId="43" fontId="4" fillId="4" borderId="37" xfId="50" applyFont="1" applyFill="1" applyBorder="1" applyAlignment="1">
      <alignment horizontal="justify" vertical="center" wrapText="1"/>
    </xf>
    <xf numFmtId="0" fontId="1" fillId="4" borderId="1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4" borderId="37" xfId="61" applyNumberFormat="1" applyFont="1" applyFill="1" applyBorder="1" applyAlignment="1">
      <alignment horizontal="justify" vertical="center" wrapText="1"/>
      <protection/>
    </xf>
    <xf numFmtId="0" fontId="4" fillId="4" borderId="24" xfId="61" applyNumberFormat="1" applyFont="1" applyFill="1" applyBorder="1" applyAlignment="1">
      <alignment horizontal="justify" vertical="center" wrapText="1"/>
      <protection/>
    </xf>
    <xf numFmtId="0" fontId="4" fillId="4" borderId="12" xfId="61" applyNumberFormat="1" applyFont="1" applyFill="1" applyBorder="1" applyAlignment="1">
      <alignment horizontal="justify" vertical="center" wrapText="1"/>
      <protection/>
    </xf>
    <xf numFmtId="0" fontId="6" fillId="4" borderId="24" xfId="0" applyNumberFormat="1"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3" xfId="0" applyFont="1" applyBorder="1" applyAlignment="1">
      <alignment horizontal="center" vertical="center" wrapText="1"/>
    </xf>
    <xf numFmtId="1" fontId="4" fillId="4" borderId="12" xfId="67" applyNumberFormat="1" applyFont="1" applyFill="1" applyBorder="1" applyAlignment="1">
      <alignment horizontal="center" vertical="center" wrapText="1"/>
    </xf>
    <xf numFmtId="1" fontId="4" fillId="4" borderId="10" xfId="67" applyNumberFormat="1" applyFont="1" applyFill="1" applyBorder="1" applyAlignment="1">
      <alignment horizontal="center" vertical="center" wrapText="1"/>
    </xf>
    <xf numFmtId="0" fontId="1" fillId="4" borderId="42" xfId="0" applyNumberFormat="1" applyFont="1" applyFill="1" applyBorder="1" applyAlignment="1">
      <alignment horizontal="center" vertical="center" wrapText="1"/>
    </xf>
    <xf numFmtId="0" fontId="1" fillId="4" borderId="19" xfId="0" applyNumberFormat="1" applyFont="1" applyFill="1" applyBorder="1" applyAlignment="1">
      <alignment horizontal="center" vertical="center" wrapText="1"/>
    </xf>
    <xf numFmtId="0" fontId="1" fillId="4" borderId="25" xfId="0" applyNumberFormat="1" applyFont="1" applyFill="1" applyBorder="1" applyAlignment="1">
      <alignment horizontal="center" vertical="center" wrapText="1"/>
    </xf>
    <xf numFmtId="0" fontId="1" fillId="4" borderId="38" xfId="0" applyNumberFormat="1" applyFont="1" applyFill="1" applyBorder="1" applyAlignment="1">
      <alignment horizontal="center" vertical="center" wrapText="1"/>
    </xf>
    <xf numFmtId="0" fontId="6" fillId="0" borderId="37"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180" fontId="6" fillId="4" borderId="37" xfId="67" applyNumberFormat="1" applyFont="1" applyFill="1" applyBorder="1" applyAlignment="1">
      <alignment horizontal="center" vertical="center" wrapText="1"/>
    </xf>
    <xf numFmtId="180" fontId="6" fillId="4" borderId="24" xfId="67" applyNumberFormat="1" applyFont="1" applyFill="1" applyBorder="1" applyAlignment="1">
      <alignment horizontal="center" vertical="center" wrapText="1"/>
    </xf>
    <xf numFmtId="180" fontId="6" fillId="4" borderId="12" xfId="67" applyNumberFormat="1" applyFont="1" applyFill="1" applyBorder="1" applyAlignment="1">
      <alignment horizontal="center" vertical="center" wrapText="1"/>
    </xf>
    <xf numFmtId="49" fontId="1" fillId="4" borderId="37" xfId="0" applyNumberFormat="1" applyFont="1" applyFill="1" applyBorder="1" applyAlignment="1">
      <alignment horizontal="left" vertical="center" wrapText="1"/>
    </xf>
    <xf numFmtId="49" fontId="1" fillId="4" borderId="12" xfId="0" applyNumberFormat="1" applyFont="1" applyFill="1" applyBorder="1" applyAlignment="1">
      <alignment horizontal="left" vertical="center" wrapText="1"/>
    </xf>
    <xf numFmtId="183" fontId="0" fillId="0" borderId="37" xfId="0" applyNumberFormat="1" applyFont="1" applyFill="1" applyBorder="1" applyAlignment="1">
      <alignment horizontal="center" vertical="center"/>
    </xf>
    <xf numFmtId="183" fontId="0" fillId="0" borderId="12" xfId="0" applyNumberFormat="1" applyFont="1" applyFill="1" applyBorder="1" applyAlignment="1">
      <alignment horizontal="center" vertical="center"/>
    </xf>
    <xf numFmtId="183" fontId="26" fillId="0" borderId="37" xfId="0" applyNumberFormat="1" applyFont="1" applyFill="1" applyBorder="1" applyAlignment="1">
      <alignment horizontal="center" vertical="center"/>
    </xf>
    <xf numFmtId="183" fontId="26" fillId="0" borderId="12" xfId="0" applyNumberFormat="1" applyFont="1" applyFill="1" applyBorder="1" applyAlignment="1">
      <alignment horizontal="center" vertical="center"/>
    </xf>
    <xf numFmtId="180" fontId="6" fillId="4" borderId="37" xfId="0" applyNumberFormat="1" applyFont="1" applyFill="1" applyBorder="1" applyAlignment="1">
      <alignment horizontal="center" vertical="center" wrapText="1"/>
    </xf>
    <xf numFmtId="180" fontId="6" fillId="4" borderId="24" xfId="0" applyNumberFormat="1" applyFont="1" applyFill="1" applyBorder="1" applyAlignment="1">
      <alignment horizontal="center" vertical="center" wrapText="1"/>
    </xf>
    <xf numFmtId="168" fontId="4" fillId="4" borderId="24" xfId="0" applyNumberFormat="1" applyFont="1" applyFill="1" applyBorder="1" applyAlignment="1">
      <alignment horizontal="center" vertical="center"/>
    </xf>
    <xf numFmtId="168" fontId="6" fillId="4" borderId="37" xfId="0" applyNumberFormat="1" applyFont="1" applyFill="1" applyBorder="1" applyAlignment="1">
      <alignment horizontal="center" vertical="center"/>
    </xf>
    <xf numFmtId="168" fontId="6" fillId="4" borderId="24" xfId="0" applyNumberFormat="1" applyFont="1" applyFill="1" applyBorder="1" applyAlignment="1">
      <alignment horizontal="center" vertical="center"/>
    </xf>
    <xf numFmtId="1" fontId="1" fillId="4" borderId="10" xfId="68" applyNumberFormat="1" applyFont="1" applyFill="1" applyBorder="1" applyAlignment="1">
      <alignment horizontal="center" vertical="center" wrapText="1"/>
    </xf>
    <xf numFmtId="180" fontId="6" fillId="4" borderId="37" xfId="68" applyNumberFormat="1" applyFont="1" applyFill="1" applyBorder="1" applyAlignment="1">
      <alignment horizontal="center" vertical="center" wrapText="1"/>
    </xf>
    <xf numFmtId="180" fontId="6" fillId="4" borderId="12" xfId="68" applyNumberFormat="1" applyFont="1" applyFill="1" applyBorder="1" applyAlignment="1">
      <alignment horizontal="center" vertical="center" wrapText="1"/>
    </xf>
    <xf numFmtId="0" fontId="1" fillId="4" borderId="24" xfId="0" applyNumberFormat="1" applyFont="1" applyFill="1" applyBorder="1" applyAlignment="1">
      <alignment horizontal="center" vertical="center" wrapText="1"/>
    </xf>
    <xf numFmtId="0" fontId="4" fillId="4" borderId="10" xfId="61" applyNumberFormat="1" applyFont="1" applyFill="1" applyBorder="1" applyAlignment="1">
      <alignment horizontal="justify" vertical="center" wrapText="1"/>
      <protection/>
    </xf>
    <xf numFmtId="180" fontId="6" fillId="4" borderId="12" xfId="0" applyNumberFormat="1" applyFont="1" applyFill="1" applyBorder="1" applyAlignment="1">
      <alignment horizontal="center" vertical="center" wrapText="1"/>
    </xf>
    <xf numFmtId="195" fontId="1" fillId="4" borderId="24" xfId="58" applyNumberFormat="1" applyFont="1" applyFill="1" applyBorder="1" applyAlignment="1">
      <alignment horizontal="center" vertical="center"/>
    </xf>
    <xf numFmtId="0" fontId="1" fillId="4" borderId="12" xfId="0" applyFont="1" applyFill="1" applyBorder="1" applyAlignment="1">
      <alignment horizontal="justify" vertical="center" wrapText="1"/>
    </xf>
    <xf numFmtId="0" fontId="1" fillId="4" borderId="10" xfId="0" applyFont="1" applyFill="1" applyBorder="1" applyAlignment="1">
      <alignment horizontal="justify" vertical="center" wrapText="1"/>
    </xf>
    <xf numFmtId="183" fontId="1" fillId="4" borderId="37" xfId="58" applyNumberFormat="1" applyFont="1" applyFill="1" applyBorder="1" applyAlignment="1">
      <alignment horizontal="center" vertical="center"/>
    </xf>
    <xf numFmtId="183" fontId="1" fillId="4" borderId="12" xfId="58" applyNumberFormat="1" applyFont="1" applyFill="1" applyBorder="1" applyAlignment="1">
      <alignment horizontal="center" vertical="center"/>
    </xf>
    <xf numFmtId="195" fontId="1" fillId="4" borderId="37" xfId="58" applyNumberFormat="1" applyFont="1" applyFill="1" applyBorder="1" applyAlignment="1">
      <alignment horizontal="center" vertical="center"/>
    </xf>
    <xf numFmtId="195" fontId="1" fillId="4" borderId="37" xfId="58" applyNumberFormat="1" applyFont="1" applyFill="1" applyBorder="1" applyAlignment="1">
      <alignment horizontal="center" vertical="center" wrapText="1"/>
    </xf>
    <xf numFmtId="195" fontId="1" fillId="4" borderId="12" xfId="58" applyNumberFormat="1" applyFont="1" applyFill="1" applyBorder="1" applyAlignment="1">
      <alignment horizontal="center" vertical="center" wrapText="1"/>
    </xf>
    <xf numFmtId="1" fontId="1" fillId="4" borderId="10" xfId="67" applyNumberFormat="1" applyFont="1" applyFill="1" applyBorder="1" applyAlignment="1">
      <alignment horizontal="center" vertical="center" wrapText="1"/>
    </xf>
    <xf numFmtId="14" fontId="1" fillId="4" borderId="37" xfId="0" applyNumberFormat="1" applyFont="1" applyFill="1" applyBorder="1" applyAlignment="1">
      <alignment horizontal="center" vertical="center" wrapText="1"/>
    </xf>
    <xf numFmtId="14" fontId="6" fillId="4" borderId="37" xfId="0" applyNumberFormat="1" applyFont="1" applyFill="1" applyBorder="1" applyAlignment="1">
      <alignment horizontal="center" vertical="center" wrapText="1"/>
    </xf>
    <xf numFmtId="171" fontId="4" fillId="4" borderId="10" xfId="45" applyFont="1" applyFill="1" applyBorder="1" applyAlignment="1">
      <alignment horizontal="justify" vertical="center" wrapText="1"/>
      <protection/>
    </xf>
    <xf numFmtId="0" fontId="1" fillId="4" borderId="26" xfId="0" applyNumberFormat="1" applyFont="1" applyFill="1" applyBorder="1" applyAlignment="1">
      <alignment horizontal="center" vertical="center" wrapText="1"/>
    </xf>
    <xf numFmtId="0" fontId="1" fillId="4" borderId="13" xfId="0" applyNumberFormat="1" applyFont="1" applyFill="1" applyBorder="1" applyAlignment="1">
      <alignment horizontal="center" vertical="center" wrapText="1"/>
    </xf>
    <xf numFmtId="3" fontId="1" fillId="4" borderId="37" xfId="0" applyNumberFormat="1" applyFont="1" applyFill="1" applyBorder="1" applyAlignment="1">
      <alignment horizontal="center" vertical="center"/>
    </xf>
    <xf numFmtId="3" fontId="1" fillId="4" borderId="12" xfId="0" applyNumberFormat="1" applyFont="1" applyFill="1" applyBorder="1" applyAlignment="1">
      <alignment horizontal="center" vertical="center"/>
    </xf>
    <xf numFmtId="3" fontId="6" fillId="4" borderId="37" xfId="0" applyNumberFormat="1" applyFont="1" applyFill="1" applyBorder="1" applyAlignment="1">
      <alignment horizontal="center" vertical="center"/>
    </xf>
    <xf numFmtId="3" fontId="6" fillId="4" borderId="12" xfId="0" applyNumberFormat="1" applyFont="1" applyFill="1" applyBorder="1" applyAlignment="1">
      <alignment horizontal="center" vertical="center"/>
    </xf>
    <xf numFmtId="0" fontId="1" fillId="4" borderId="24" xfId="0" applyFont="1" applyFill="1" applyBorder="1" applyAlignment="1">
      <alignment horizontal="center" wrapText="1"/>
    </xf>
    <xf numFmtId="0" fontId="1" fillId="4" borderId="12" xfId="0" applyFont="1" applyFill="1" applyBorder="1" applyAlignment="1">
      <alignment horizontal="center" wrapText="1"/>
    </xf>
    <xf numFmtId="0" fontId="6" fillId="4" borderId="24" xfId="0" applyFont="1" applyFill="1" applyBorder="1" applyAlignment="1">
      <alignment horizontal="center" wrapText="1"/>
    </xf>
    <xf numFmtId="0" fontId="6" fillId="4" borderId="12" xfId="0" applyFont="1" applyFill="1" applyBorder="1" applyAlignment="1">
      <alignment horizontal="center" wrapText="1"/>
    </xf>
    <xf numFmtId="3" fontId="2" fillId="4" borderId="37" xfId="0" applyNumberFormat="1" applyFont="1" applyFill="1" applyBorder="1" applyAlignment="1">
      <alignment horizontal="center" vertical="center"/>
    </xf>
    <xf numFmtId="3" fontId="2" fillId="4" borderId="24" xfId="0" applyNumberFormat="1" applyFont="1" applyFill="1" applyBorder="1" applyAlignment="1">
      <alignment horizontal="center" vertical="center"/>
    </xf>
    <xf numFmtId="3" fontId="2" fillId="4" borderId="12" xfId="0" applyNumberFormat="1" applyFont="1" applyFill="1" applyBorder="1" applyAlignment="1">
      <alignment horizontal="center" vertical="center"/>
    </xf>
    <xf numFmtId="3" fontId="7" fillId="4" borderId="37" xfId="0" applyNumberFormat="1" applyFont="1" applyFill="1" applyBorder="1" applyAlignment="1">
      <alignment horizontal="center" vertical="center"/>
    </xf>
    <xf numFmtId="3" fontId="7" fillId="4" borderId="24" xfId="0" applyNumberFormat="1" applyFont="1" applyFill="1" applyBorder="1" applyAlignment="1">
      <alignment horizontal="center" vertical="center"/>
    </xf>
    <xf numFmtId="3" fontId="7" fillId="4" borderId="12" xfId="0" applyNumberFormat="1" applyFont="1" applyFill="1" applyBorder="1" applyAlignment="1">
      <alignment horizontal="center" vertical="center"/>
    </xf>
    <xf numFmtId="3" fontId="1" fillId="4" borderId="24" xfId="0" applyNumberFormat="1" applyFont="1" applyFill="1" applyBorder="1" applyAlignment="1">
      <alignment horizontal="center" vertical="center"/>
    </xf>
    <xf numFmtId="3" fontId="6" fillId="4" borderId="24" xfId="0" applyNumberFormat="1" applyFont="1" applyFill="1" applyBorder="1" applyAlignment="1">
      <alignment horizontal="center" vertical="center"/>
    </xf>
    <xf numFmtId="0" fontId="1" fillId="4" borderId="37" xfId="51" applyNumberFormat="1" applyFont="1" applyFill="1" applyBorder="1" applyAlignment="1">
      <alignment horizontal="center" vertical="center"/>
    </xf>
    <xf numFmtId="0" fontId="1" fillId="4" borderId="24" xfId="51" applyNumberFormat="1" applyFont="1" applyFill="1" applyBorder="1" applyAlignment="1">
      <alignment horizontal="center" vertical="center"/>
    </xf>
    <xf numFmtId="0" fontId="1" fillId="4" borderId="12" xfId="51" applyNumberFormat="1" applyFont="1" applyFill="1" applyBorder="1" applyAlignment="1">
      <alignment horizontal="center" vertical="center"/>
    </xf>
    <xf numFmtId="0" fontId="1" fillId="4" borderId="35" xfId="0" applyFont="1" applyFill="1" applyBorder="1" applyAlignment="1">
      <alignment horizontal="center" vertical="center"/>
    </xf>
    <xf numFmtId="170" fontId="1" fillId="0" borderId="37" xfId="0" applyNumberFormat="1" applyFont="1" applyFill="1" applyBorder="1" applyAlignment="1">
      <alignment horizontal="center" vertical="center"/>
    </xf>
    <xf numFmtId="170" fontId="1" fillId="0" borderId="24" xfId="0" applyNumberFormat="1" applyFont="1" applyFill="1" applyBorder="1" applyAlignment="1">
      <alignment horizontal="center" vertical="center"/>
    </xf>
    <xf numFmtId="170" fontId="1" fillId="0" borderId="35" xfId="0" applyNumberFormat="1" applyFont="1" applyFill="1" applyBorder="1" applyAlignment="1">
      <alignment horizontal="center" vertical="center"/>
    </xf>
    <xf numFmtId="0" fontId="1" fillId="4" borderId="35" xfId="0" applyFont="1" applyFill="1" applyBorder="1" applyAlignment="1">
      <alignment horizontal="justify" vertical="center" wrapText="1"/>
    </xf>
    <xf numFmtId="0" fontId="1" fillId="4" borderId="35" xfId="0" applyFont="1" applyFill="1" applyBorder="1" applyAlignment="1">
      <alignment horizontal="justify" vertical="center" wrapText="1"/>
    </xf>
    <xf numFmtId="0" fontId="1" fillId="4" borderId="48" xfId="0" applyFont="1" applyFill="1" applyBorder="1" applyAlignment="1">
      <alignment horizontal="center" vertical="center" wrapText="1"/>
    </xf>
    <xf numFmtId="0" fontId="1" fillId="4" borderId="74" xfId="0" applyFont="1" applyFill="1" applyBorder="1" applyAlignment="1">
      <alignment horizontal="center" vertical="center" wrapText="1"/>
    </xf>
    <xf numFmtId="1" fontId="1" fillId="4" borderId="12" xfId="0" applyNumberFormat="1" applyFont="1" applyFill="1" applyBorder="1" applyAlignment="1">
      <alignment horizontal="center" vertical="center" wrapText="1"/>
    </xf>
    <xf numFmtId="1" fontId="1" fillId="4" borderId="10" xfId="0" applyNumberFormat="1" applyFont="1" applyFill="1" applyBorder="1" applyAlignment="1">
      <alignment horizontal="center" vertical="center" wrapText="1"/>
    </xf>
    <xf numFmtId="195" fontId="1" fillId="4" borderId="35" xfId="0" applyNumberFormat="1" applyFont="1" applyFill="1" applyBorder="1" applyAlignment="1">
      <alignment horizontal="center" vertical="center" wrapText="1"/>
    </xf>
    <xf numFmtId="0" fontId="1" fillId="4" borderId="35" xfId="0" applyFont="1" applyFill="1" applyBorder="1" applyAlignment="1">
      <alignment horizontal="center"/>
    </xf>
    <xf numFmtId="0" fontId="6" fillId="4" borderId="35" xfId="0" applyFont="1" applyFill="1" applyBorder="1" applyAlignment="1">
      <alignment horizontal="center"/>
    </xf>
    <xf numFmtId="0" fontId="6" fillId="4" borderId="35" xfId="0" applyFont="1" applyFill="1" applyBorder="1" applyAlignment="1">
      <alignment horizontal="center" vertical="center"/>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0" xfId="0" applyNumberFormat="1" applyFont="1" applyBorder="1" applyAlignment="1">
      <alignment horizontal="left" wrapText="1"/>
    </xf>
    <xf numFmtId="0" fontId="2" fillId="0" borderId="0" xfId="0" applyFont="1" applyBorder="1" applyAlignment="1">
      <alignment horizontal="left" vertical="center"/>
    </xf>
    <xf numFmtId="0" fontId="1" fillId="0" borderId="0" xfId="0" applyFont="1" applyAlignment="1">
      <alignment horizontal="left"/>
    </xf>
    <xf numFmtId="14" fontId="1" fillId="4" borderId="35" xfId="0" applyNumberFormat="1" applyFont="1" applyFill="1" applyBorder="1" applyAlignment="1">
      <alignment horizontal="center" vertical="center"/>
    </xf>
    <xf numFmtId="14" fontId="6" fillId="4" borderId="35" xfId="0" applyNumberFormat="1" applyFont="1" applyFill="1" applyBorder="1" applyAlignment="1">
      <alignment horizontal="center" vertical="center"/>
    </xf>
    <xf numFmtId="0" fontId="1" fillId="4" borderId="76" xfId="0" applyFont="1" applyFill="1" applyBorder="1" applyAlignment="1">
      <alignment horizontal="center" vertical="center" wrapText="1"/>
    </xf>
    <xf numFmtId="0" fontId="20" fillId="4" borderId="37" xfId="0" applyFont="1" applyFill="1" applyBorder="1" applyAlignment="1">
      <alignment horizontal="center" vertical="center"/>
    </xf>
    <xf numFmtId="0" fontId="20" fillId="4" borderId="24" xfId="0" applyFont="1" applyFill="1" applyBorder="1" applyAlignment="1">
      <alignment horizontal="center" vertical="center"/>
    </xf>
    <xf numFmtId="0" fontId="20" fillId="4" borderId="37" xfId="0" applyFont="1" applyFill="1" applyBorder="1" applyAlignment="1">
      <alignment horizontal="center" vertical="center" wrapText="1"/>
    </xf>
    <xf numFmtId="0" fontId="20" fillId="4" borderId="35" xfId="0" applyFont="1" applyFill="1" applyBorder="1" applyAlignment="1">
      <alignment horizontal="center" vertical="center"/>
    </xf>
    <xf numFmtId="183" fontId="1" fillId="0" borderId="35" xfId="0" applyNumberFormat="1" applyFont="1" applyFill="1" applyBorder="1" applyAlignment="1">
      <alignment horizontal="center" vertical="center"/>
    </xf>
    <xf numFmtId="190" fontId="1" fillId="4" borderId="37" xfId="66" applyNumberFormat="1" applyFont="1" applyFill="1" applyBorder="1" applyAlignment="1">
      <alignment horizontal="center" vertical="center"/>
    </xf>
    <xf numFmtId="190" fontId="1" fillId="4" borderId="24" xfId="66" applyNumberFormat="1" applyFont="1" applyFill="1" applyBorder="1" applyAlignment="1">
      <alignment horizontal="center" vertical="center"/>
    </xf>
    <xf numFmtId="190" fontId="1" fillId="4" borderId="35" xfId="66" applyNumberFormat="1" applyFont="1" applyFill="1" applyBorder="1" applyAlignment="1">
      <alignment horizontal="center" vertical="center"/>
    </xf>
    <xf numFmtId="167" fontId="2" fillId="0" borderId="0" xfId="0" applyNumberFormat="1" applyFont="1" applyFill="1" applyBorder="1" applyAlignment="1">
      <alignment horizontal="center"/>
    </xf>
    <xf numFmtId="167" fontId="1" fillId="0" borderId="0" xfId="0" applyNumberFormat="1" applyFont="1" applyFill="1" applyBorder="1" applyAlignment="1">
      <alignment horizontal="center"/>
    </xf>
    <xf numFmtId="169" fontId="1" fillId="18" borderId="10" xfId="0" applyNumberFormat="1" applyFont="1" applyFill="1" applyBorder="1" applyAlignment="1">
      <alignment horizontal="center" vertical="center" wrapText="1"/>
    </xf>
    <xf numFmtId="169" fontId="1" fillId="18" borderId="11" xfId="0" applyNumberFormat="1" applyFont="1" applyFill="1" applyBorder="1" applyAlignment="1">
      <alignment horizontal="center" vertical="center" wrapText="1"/>
    </xf>
    <xf numFmtId="169" fontId="6" fillId="18" borderId="37" xfId="0" applyNumberFormat="1" applyFont="1" applyFill="1" applyBorder="1" applyAlignment="1">
      <alignment horizontal="center" vertical="center" wrapText="1"/>
    </xf>
    <xf numFmtId="169" fontId="6" fillId="18" borderId="24" xfId="0" applyNumberFormat="1" applyFont="1" applyFill="1" applyBorder="1" applyAlignment="1">
      <alignment horizontal="center" vertical="center" wrapText="1"/>
    </xf>
    <xf numFmtId="169" fontId="6" fillId="18" borderId="35" xfId="0" applyNumberFormat="1" applyFont="1" applyFill="1" applyBorder="1" applyAlignment="1">
      <alignment horizontal="center" vertical="center" wrapText="1"/>
    </xf>
    <xf numFmtId="3" fontId="1" fillId="18" borderId="27" xfId="0" applyNumberFormat="1" applyFont="1" applyFill="1" applyBorder="1" applyAlignment="1">
      <alignment horizontal="center" vertical="center" wrapText="1"/>
    </xf>
    <xf numFmtId="3" fontId="1" fillId="18" borderId="78" xfId="0" applyNumberFormat="1" applyFont="1" applyFill="1" applyBorder="1" applyAlignment="1">
      <alignment horizontal="center" vertical="center" wrapText="1"/>
    </xf>
    <xf numFmtId="167" fontId="1" fillId="0" borderId="37" xfId="0" applyNumberFormat="1" applyFont="1" applyFill="1" applyBorder="1" applyAlignment="1">
      <alignment horizontal="justify" vertical="center" wrapText="1"/>
    </xf>
    <xf numFmtId="167" fontId="1" fillId="0" borderId="24" xfId="0" applyNumberFormat="1" applyFont="1" applyFill="1" applyBorder="1" applyAlignment="1">
      <alignment horizontal="justify" vertical="center" wrapText="1"/>
    </xf>
    <xf numFmtId="167" fontId="1" fillId="0" borderId="35" xfId="0" applyNumberFormat="1" applyFont="1" applyFill="1" applyBorder="1" applyAlignment="1">
      <alignment horizontal="justify" vertical="center" wrapText="1"/>
    </xf>
    <xf numFmtId="167" fontId="2" fillId="0" borderId="43" xfId="0" applyNumberFormat="1" applyFont="1" applyFill="1" applyBorder="1" applyAlignment="1">
      <alignment horizontal="center"/>
    </xf>
    <xf numFmtId="167" fontId="2" fillId="0" borderId="44" xfId="0" applyNumberFormat="1" applyFont="1" applyFill="1" applyBorder="1" applyAlignment="1">
      <alignment horizontal="center"/>
    </xf>
    <xf numFmtId="167" fontId="2" fillId="0" borderId="23" xfId="0" applyNumberFormat="1" applyFont="1" applyFill="1" applyBorder="1" applyAlignment="1">
      <alignment horizontal="center"/>
    </xf>
    <xf numFmtId="167" fontId="2" fillId="0" borderId="21" xfId="0" applyNumberFormat="1" applyFont="1" applyFill="1" applyBorder="1" applyAlignment="1">
      <alignment horizontal="center"/>
    </xf>
    <xf numFmtId="167" fontId="2" fillId="0" borderId="22" xfId="0" applyNumberFormat="1" applyFont="1" applyFill="1" applyBorder="1" applyAlignment="1">
      <alignment horizontal="center"/>
    </xf>
    <xf numFmtId="167" fontId="1" fillId="0" borderId="23" xfId="0" applyNumberFormat="1" applyFont="1" applyFill="1" applyBorder="1" applyAlignment="1">
      <alignment horizontal="center"/>
    </xf>
    <xf numFmtId="167" fontId="1" fillId="0" borderId="21" xfId="0" applyNumberFormat="1" applyFont="1" applyFill="1" applyBorder="1" applyAlignment="1">
      <alignment horizontal="center"/>
    </xf>
    <xf numFmtId="167" fontId="1" fillId="0" borderId="22" xfId="0" applyNumberFormat="1" applyFont="1" applyFill="1" applyBorder="1" applyAlignment="1">
      <alignment horizontal="center"/>
    </xf>
    <xf numFmtId="172" fontId="1" fillId="0" borderId="37" xfId="47" applyNumberFormat="1" applyFont="1" applyFill="1" applyBorder="1" applyAlignment="1">
      <alignment horizontal="center" vertical="center" wrapText="1"/>
    </xf>
    <xf numFmtId="172" fontId="1" fillId="0" borderId="24" xfId="47" applyNumberFormat="1" applyFont="1" applyFill="1" applyBorder="1" applyAlignment="1">
      <alignment horizontal="center" vertical="center" wrapText="1"/>
    </xf>
    <xf numFmtId="172" fontId="1" fillId="0" borderId="35" xfId="47" applyNumberFormat="1" applyFont="1" applyFill="1" applyBorder="1" applyAlignment="1">
      <alignment horizontal="center" vertical="center" wrapText="1"/>
    </xf>
    <xf numFmtId="1" fontId="1" fillId="0" borderId="37" xfId="0" applyNumberFormat="1" applyFont="1" applyFill="1" applyBorder="1" applyAlignment="1">
      <alignment horizontal="center" vertical="center" wrapText="1"/>
    </xf>
    <xf numFmtId="1" fontId="1" fillId="0" borderId="24" xfId="0" applyNumberFormat="1" applyFont="1" applyFill="1" applyBorder="1" applyAlignment="1">
      <alignment horizontal="center" vertical="center" wrapText="1"/>
    </xf>
    <xf numFmtId="1" fontId="1" fillId="0" borderId="35"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1" fontId="6" fillId="0" borderId="35"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xf>
    <xf numFmtId="1" fontId="1" fillId="0" borderId="11" xfId="0" applyNumberFormat="1" applyFont="1" applyFill="1" applyBorder="1" applyAlignment="1">
      <alignment horizontal="center" vertical="center"/>
    </xf>
    <xf numFmtId="1" fontId="6" fillId="0" borderId="35" xfId="0" applyNumberFormat="1" applyFont="1" applyFill="1" applyBorder="1" applyAlignment="1">
      <alignment horizontal="center" vertical="center"/>
    </xf>
    <xf numFmtId="3" fontId="1" fillId="18" borderId="55" xfId="0" applyNumberFormat="1" applyFont="1" applyFill="1" applyBorder="1" applyAlignment="1">
      <alignment horizontal="center" vertical="center" wrapText="1"/>
    </xf>
    <xf numFmtId="3" fontId="1" fillId="18" borderId="39" xfId="0" applyNumberFormat="1" applyFont="1" applyFill="1" applyBorder="1" applyAlignment="1">
      <alignment horizontal="center" vertical="center" wrapText="1"/>
    </xf>
    <xf numFmtId="3" fontId="1" fillId="18" borderId="36" xfId="0" applyNumberFormat="1" applyFont="1" applyFill="1" applyBorder="1" applyAlignment="1">
      <alignment horizontal="center" vertical="center" wrapText="1"/>
    </xf>
    <xf numFmtId="167" fontId="1" fillId="18" borderId="37" xfId="0" applyNumberFormat="1" applyFont="1" applyFill="1" applyBorder="1" applyAlignment="1">
      <alignment horizontal="center" vertical="center" wrapText="1"/>
    </xf>
    <xf numFmtId="167" fontId="1" fillId="18" borderId="24" xfId="0" applyNumberFormat="1" applyFont="1" applyFill="1" applyBorder="1" applyAlignment="1">
      <alignment horizontal="center" vertical="center" wrapText="1"/>
    </xf>
    <xf numFmtId="167" fontId="1" fillId="18" borderId="35" xfId="0" applyNumberFormat="1" applyFont="1" applyFill="1" applyBorder="1" applyAlignment="1">
      <alignment horizontal="center" vertical="center" wrapText="1"/>
    </xf>
    <xf numFmtId="3" fontId="1" fillId="18" borderId="37" xfId="0" applyNumberFormat="1" applyFont="1" applyFill="1" applyBorder="1" applyAlignment="1">
      <alignment horizontal="center" vertical="center" wrapText="1"/>
    </xf>
    <xf numFmtId="3" fontId="1" fillId="18" borderId="24" xfId="0" applyNumberFormat="1" applyFont="1" applyFill="1" applyBorder="1" applyAlignment="1">
      <alignment horizontal="center" vertical="center" wrapText="1"/>
    </xf>
    <xf numFmtId="3" fontId="1" fillId="18" borderId="35" xfId="0" applyNumberFormat="1" applyFont="1" applyFill="1" applyBorder="1" applyAlignment="1">
      <alignment horizontal="center" vertical="center" wrapText="1"/>
    </xf>
    <xf numFmtId="1" fontId="1" fillId="18" borderId="37" xfId="0" applyNumberFormat="1" applyFont="1" applyFill="1" applyBorder="1" applyAlignment="1">
      <alignment horizontal="center" vertical="center" wrapText="1"/>
    </xf>
    <xf numFmtId="1" fontId="1" fillId="18" borderId="24" xfId="0" applyNumberFormat="1" applyFont="1" applyFill="1" applyBorder="1" applyAlignment="1">
      <alignment horizontal="center" vertical="center" wrapText="1"/>
    </xf>
    <xf numFmtId="1" fontId="1" fillId="18" borderId="35" xfId="0" applyNumberFormat="1" applyFont="1" applyFill="1" applyBorder="1" applyAlignment="1">
      <alignment horizontal="center" vertical="center" wrapText="1"/>
    </xf>
    <xf numFmtId="170" fontId="1" fillId="0" borderId="37" xfId="0" applyNumberFormat="1" applyFont="1" applyFill="1" applyBorder="1" applyAlignment="1">
      <alignment horizontal="center" vertical="center" wrapText="1"/>
    </xf>
    <xf numFmtId="170" fontId="1" fillId="0" borderId="24" xfId="0" applyNumberFormat="1" applyFont="1" applyFill="1" applyBorder="1" applyAlignment="1">
      <alignment horizontal="center" vertical="center" wrapText="1"/>
    </xf>
    <xf numFmtId="170" fontId="1" fillId="0" borderId="35" xfId="0" applyNumberFormat="1" applyFont="1" applyFill="1" applyBorder="1" applyAlignment="1">
      <alignment horizontal="center" vertical="center" wrapText="1"/>
    </xf>
    <xf numFmtId="167" fontId="1" fillId="0" borderId="12" xfId="0" applyNumberFormat="1" applyFont="1" applyFill="1" applyBorder="1" applyAlignment="1">
      <alignment horizontal="justify" vertical="center" wrapText="1"/>
    </xf>
    <xf numFmtId="167" fontId="1" fillId="0" borderId="10" xfId="0" applyNumberFormat="1" applyFont="1" applyFill="1" applyBorder="1" applyAlignment="1">
      <alignment horizontal="justify" vertical="center" wrapText="1" readingOrder="2"/>
    </xf>
    <xf numFmtId="3" fontId="1" fillId="0" borderId="10"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69" fontId="1" fillId="18" borderId="37" xfId="0" applyNumberFormat="1" applyFont="1" applyFill="1" applyBorder="1" applyAlignment="1">
      <alignment horizontal="center" vertical="center" wrapText="1"/>
    </xf>
    <xf numFmtId="169" fontId="1" fillId="18" borderId="24" xfId="0" applyNumberFormat="1" applyFont="1" applyFill="1" applyBorder="1" applyAlignment="1">
      <alignment horizontal="center" vertical="center" wrapText="1"/>
    </xf>
    <xf numFmtId="169" fontId="1" fillId="18" borderId="12" xfId="0" applyNumberFormat="1" applyFont="1" applyFill="1" applyBorder="1" applyAlignment="1">
      <alignment horizontal="center" vertical="center" wrapText="1"/>
    </xf>
    <xf numFmtId="169" fontId="6" fillId="18" borderId="12"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43" fontId="1" fillId="0" borderId="37" xfId="51" applyFont="1" applyBorder="1" applyAlignment="1">
      <alignment horizontal="center" vertical="center"/>
    </xf>
    <xf numFmtId="43" fontId="1" fillId="0" borderId="24" xfId="51" applyFont="1" applyBorder="1" applyAlignment="1">
      <alignment horizontal="center" vertical="center"/>
    </xf>
    <xf numFmtId="43" fontId="1" fillId="0" borderId="12" xfId="51" applyFont="1" applyBorder="1" applyAlignment="1">
      <alignment horizontal="center" vertical="center"/>
    </xf>
    <xf numFmtId="9" fontId="1" fillId="0" borderId="37" xfId="66" applyFont="1" applyFill="1" applyBorder="1" applyAlignment="1">
      <alignment horizontal="center" vertical="center" wrapText="1"/>
    </xf>
    <xf numFmtId="9" fontId="1" fillId="0" borderId="24" xfId="66" applyFont="1" applyFill="1" applyBorder="1" applyAlignment="1">
      <alignment horizontal="center" vertical="center" wrapText="1"/>
    </xf>
    <xf numFmtId="9" fontId="1" fillId="0" borderId="12" xfId="66" applyFont="1" applyFill="1" applyBorder="1" applyAlignment="1">
      <alignment horizontal="center" vertical="center" wrapText="1"/>
    </xf>
    <xf numFmtId="3" fontId="1" fillId="0" borderId="37" xfId="0" applyNumberFormat="1" applyFont="1" applyFill="1" applyBorder="1" applyAlignment="1">
      <alignment horizontal="center" vertical="center" wrapText="1"/>
    </xf>
    <xf numFmtId="3" fontId="1" fillId="0" borderId="24"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167" fontId="1" fillId="0" borderId="37" xfId="0" applyNumberFormat="1" applyFont="1" applyFill="1" applyBorder="1" applyAlignment="1">
      <alignment horizontal="center" vertical="center" wrapText="1"/>
    </xf>
    <xf numFmtId="167" fontId="1" fillId="0" borderId="24" xfId="0" applyNumberFormat="1" applyFont="1" applyFill="1" applyBorder="1" applyAlignment="1">
      <alignment horizontal="center" vertical="center" wrapText="1"/>
    </xf>
    <xf numFmtId="167" fontId="1" fillId="0" borderId="12" xfId="0" applyNumberFormat="1" applyFont="1" applyFill="1" applyBorder="1" applyAlignment="1">
      <alignment horizontal="center" vertical="center" wrapText="1"/>
    </xf>
    <xf numFmtId="0" fontId="1" fillId="18" borderId="37" xfId="0" applyNumberFormat="1" applyFont="1" applyFill="1" applyBorder="1" applyAlignment="1">
      <alignment horizontal="center" vertical="center" wrapText="1"/>
    </xf>
    <xf numFmtId="0" fontId="1" fillId="18" borderId="24" xfId="0" applyNumberFormat="1" applyFont="1" applyFill="1" applyBorder="1" applyAlignment="1">
      <alignment horizontal="center" vertical="center" wrapText="1"/>
    </xf>
    <xf numFmtId="0" fontId="1" fillId="18" borderId="12" xfId="0" applyNumberFormat="1" applyFont="1" applyFill="1" applyBorder="1" applyAlignment="1">
      <alignment horizontal="center" vertical="center" wrapText="1"/>
    </xf>
    <xf numFmtId="3" fontId="1" fillId="0" borderId="35" xfId="0" applyNumberFormat="1" applyFont="1" applyFill="1" applyBorder="1" applyAlignment="1">
      <alignment horizontal="center" vertical="center" wrapText="1"/>
    </xf>
    <xf numFmtId="167" fontId="1" fillId="0" borderId="35" xfId="0" applyNumberFormat="1" applyFont="1" applyFill="1" applyBorder="1" applyAlignment="1">
      <alignment horizontal="center" vertical="center" wrapText="1"/>
    </xf>
    <xf numFmtId="1" fontId="1" fillId="0" borderId="33" xfId="0" applyNumberFormat="1" applyFont="1" applyFill="1" applyBorder="1" applyAlignment="1">
      <alignment horizontal="center" vertical="center" wrapText="1"/>
    </xf>
    <xf numFmtId="1" fontId="1" fillId="0" borderId="14" xfId="0" applyNumberFormat="1" applyFont="1" applyFill="1" applyBorder="1" applyAlignment="1">
      <alignment horizontal="center" vertical="center" wrapText="1"/>
    </xf>
    <xf numFmtId="1" fontId="1" fillId="0" borderId="43"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1" fontId="1" fillId="0" borderId="52" xfId="0" applyNumberFormat="1" applyFont="1" applyFill="1" applyBorder="1" applyAlignment="1">
      <alignment horizontal="center" vertical="center" wrapText="1"/>
    </xf>
    <xf numFmtId="1" fontId="1" fillId="0" borderId="46" xfId="0" applyNumberFormat="1" applyFont="1" applyFill="1" applyBorder="1" applyAlignment="1">
      <alignment horizontal="center" vertical="center" wrapText="1"/>
    </xf>
    <xf numFmtId="1" fontId="1" fillId="0" borderId="42" xfId="0" applyNumberFormat="1" applyFont="1" applyFill="1" applyBorder="1" applyAlignment="1">
      <alignment horizontal="center" vertical="center" wrapText="1"/>
    </xf>
    <xf numFmtId="1" fontId="1" fillId="0" borderId="19" xfId="0" applyNumberFormat="1" applyFont="1" applyFill="1" applyBorder="1" applyAlignment="1">
      <alignment horizontal="center" vertical="center" wrapText="1"/>
    </xf>
    <xf numFmtId="1" fontId="1" fillId="0" borderId="25" xfId="0" applyNumberFormat="1" applyFont="1" applyFill="1" applyBorder="1" applyAlignment="1">
      <alignment horizontal="center" vertical="center" wrapText="1"/>
    </xf>
    <xf numFmtId="1" fontId="1" fillId="0" borderId="38" xfId="0" applyNumberFormat="1" applyFont="1" applyFill="1" applyBorder="1" applyAlignment="1">
      <alignment horizontal="center" vertical="center" wrapText="1"/>
    </xf>
    <xf numFmtId="1" fontId="1" fillId="0" borderId="48" xfId="0" applyNumberFormat="1" applyFont="1" applyFill="1" applyBorder="1" applyAlignment="1">
      <alignment horizontal="center" vertical="center" wrapText="1"/>
    </xf>
    <xf numFmtId="1" fontId="1" fillId="0" borderId="74" xfId="0" applyNumberFormat="1" applyFont="1" applyFill="1" applyBorder="1" applyAlignment="1">
      <alignment horizontal="center" vertical="center" wrapText="1"/>
    </xf>
    <xf numFmtId="167" fontId="1" fillId="0" borderId="42" xfId="0" applyNumberFormat="1" applyFont="1" applyFill="1" applyBorder="1" applyAlignment="1">
      <alignment horizontal="center" vertical="center" wrapText="1"/>
    </xf>
    <xf numFmtId="167" fontId="1" fillId="0" borderId="19" xfId="0" applyNumberFormat="1" applyFont="1" applyFill="1" applyBorder="1" applyAlignment="1">
      <alignment horizontal="center" vertical="center" wrapText="1"/>
    </xf>
    <xf numFmtId="167" fontId="1" fillId="0" borderId="25" xfId="0" applyNumberFormat="1" applyFont="1" applyFill="1" applyBorder="1" applyAlignment="1">
      <alignment horizontal="center" vertical="center" wrapText="1"/>
    </xf>
    <xf numFmtId="167" fontId="1" fillId="0" borderId="38" xfId="0" applyNumberFormat="1" applyFont="1" applyFill="1" applyBorder="1" applyAlignment="1">
      <alignment horizontal="center" vertical="center" wrapText="1"/>
    </xf>
    <xf numFmtId="167" fontId="1" fillId="0" borderId="48" xfId="0" applyNumberFormat="1" applyFont="1" applyFill="1" applyBorder="1" applyAlignment="1">
      <alignment horizontal="center" vertical="center" wrapText="1"/>
    </xf>
    <xf numFmtId="167" fontId="1" fillId="0" borderId="74" xfId="0" applyNumberFormat="1" applyFont="1" applyFill="1" applyBorder="1" applyAlignment="1">
      <alignment horizontal="center" vertical="center" wrapText="1"/>
    </xf>
    <xf numFmtId="167" fontId="2" fillId="19" borderId="15" xfId="0" applyNumberFormat="1" applyFont="1" applyFill="1" applyBorder="1" applyAlignment="1">
      <alignment horizontal="center" vertical="center" wrapText="1"/>
    </xf>
    <xf numFmtId="167" fontId="2" fillId="19" borderId="16" xfId="0" applyNumberFormat="1" applyFont="1" applyFill="1" applyBorder="1" applyAlignment="1">
      <alignment horizontal="center" vertical="center" wrapText="1"/>
    </xf>
    <xf numFmtId="167" fontId="2" fillId="19" borderId="69" xfId="0" applyNumberFormat="1" applyFont="1" applyFill="1" applyBorder="1" applyAlignment="1">
      <alignment horizontal="center" vertical="center" wrapText="1"/>
    </xf>
    <xf numFmtId="167" fontId="2" fillId="19" borderId="24" xfId="0" applyNumberFormat="1" applyFont="1" applyFill="1" applyBorder="1" applyAlignment="1">
      <alignment horizontal="center" vertical="center" wrapText="1"/>
    </xf>
    <xf numFmtId="167" fontId="2" fillId="19" borderId="12" xfId="0" applyNumberFormat="1" applyFont="1" applyFill="1" applyBorder="1" applyAlignment="1">
      <alignment horizontal="center" vertical="center" wrapText="1"/>
    </xf>
    <xf numFmtId="167" fontId="2" fillId="19" borderId="42" xfId="0" applyNumberFormat="1" applyFont="1" applyFill="1" applyBorder="1" applyAlignment="1">
      <alignment horizontal="center" vertical="center" wrapText="1"/>
    </xf>
    <xf numFmtId="167" fontId="2" fillId="19" borderId="14" xfId="0" applyNumberFormat="1" applyFont="1" applyFill="1" applyBorder="1" applyAlignment="1">
      <alignment horizontal="center" vertical="center" wrapText="1"/>
    </xf>
    <xf numFmtId="167" fontId="2" fillId="19" borderId="19" xfId="0" applyNumberFormat="1" applyFont="1" applyFill="1" applyBorder="1" applyAlignment="1">
      <alignment horizontal="center" vertical="center" wrapText="1"/>
    </xf>
    <xf numFmtId="167" fontId="2" fillId="19" borderId="26" xfId="0" applyNumberFormat="1" applyFont="1" applyFill="1" applyBorder="1" applyAlignment="1">
      <alignment horizontal="center" vertical="center" wrapText="1"/>
    </xf>
    <xf numFmtId="167" fontId="2" fillId="19" borderId="34" xfId="0" applyNumberFormat="1" applyFont="1" applyFill="1" applyBorder="1" applyAlignment="1">
      <alignment horizontal="center" vertical="center" wrapText="1"/>
    </xf>
    <xf numFmtId="167" fontId="2" fillId="19" borderId="13" xfId="0" applyNumberFormat="1" applyFont="1" applyFill="1" applyBorder="1" applyAlignment="1">
      <alignment horizontal="center" vertical="center" wrapText="1"/>
    </xf>
    <xf numFmtId="170" fontId="2" fillId="19" borderId="69" xfId="0" applyNumberFormat="1" applyFont="1" applyFill="1" applyBorder="1" applyAlignment="1">
      <alignment horizontal="center" vertical="center" wrapText="1"/>
    </xf>
    <xf numFmtId="170" fontId="2" fillId="19" borderId="24" xfId="0" applyNumberFormat="1" applyFont="1" applyFill="1" applyBorder="1" applyAlignment="1">
      <alignment horizontal="center" vertical="center" wrapText="1"/>
    </xf>
    <xf numFmtId="170" fontId="2" fillId="19" borderId="12" xfId="0" applyNumberFormat="1" applyFont="1" applyFill="1" applyBorder="1" applyAlignment="1">
      <alignment horizontal="center" vertical="center" wrapText="1"/>
    </xf>
    <xf numFmtId="170" fontId="1" fillId="18" borderId="37" xfId="0" applyNumberFormat="1" applyFont="1" applyFill="1" applyBorder="1" applyAlignment="1">
      <alignment horizontal="center" vertical="center" wrapText="1"/>
    </xf>
    <xf numFmtId="170" fontId="1" fillId="18" borderId="24" xfId="0" applyNumberFormat="1" applyFont="1" applyFill="1" applyBorder="1" applyAlignment="1">
      <alignment horizontal="center" vertical="center" wrapText="1"/>
    </xf>
    <xf numFmtId="170" fontId="1" fillId="18" borderId="12" xfId="0" applyNumberFormat="1" applyFont="1" applyFill="1" applyBorder="1" applyAlignment="1">
      <alignment horizontal="center" vertical="center" wrapText="1"/>
    </xf>
    <xf numFmtId="167" fontId="1" fillId="18" borderId="42" xfId="0" applyNumberFormat="1" applyFont="1" applyFill="1" applyBorder="1" applyAlignment="1">
      <alignment horizontal="justify" vertical="center" wrapText="1"/>
    </xf>
    <xf numFmtId="167" fontId="1" fillId="18" borderId="25" xfId="0" applyNumberFormat="1" applyFont="1" applyFill="1" applyBorder="1" applyAlignment="1">
      <alignment horizontal="justify" vertical="center" wrapText="1"/>
    </xf>
    <xf numFmtId="167" fontId="1" fillId="18" borderId="26" xfId="0" applyNumberFormat="1" applyFont="1" applyFill="1" applyBorder="1" applyAlignment="1">
      <alignment horizontal="justify" vertical="center" wrapText="1"/>
    </xf>
    <xf numFmtId="167" fontId="1" fillId="18" borderId="10" xfId="0" applyNumberFormat="1" applyFont="1" applyFill="1" applyBorder="1" applyAlignment="1">
      <alignment horizontal="justify" vertical="center" wrapText="1"/>
    </xf>
    <xf numFmtId="43" fontId="6" fillId="0" borderId="37" xfId="51" applyFont="1" applyBorder="1" applyAlignment="1">
      <alignment horizontal="center" vertical="center"/>
    </xf>
    <xf numFmtId="43" fontId="6" fillId="0" borderId="24" xfId="51" applyFont="1" applyBorder="1" applyAlignment="1">
      <alignment horizontal="center" vertical="center"/>
    </xf>
    <xf numFmtId="43" fontId="6" fillId="0" borderId="12" xfId="51" applyFont="1" applyBorder="1" applyAlignment="1">
      <alignment horizontal="center" vertical="center"/>
    </xf>
    <xf numFmtId="167" fontId="2" fillId="0" borderId="0" xfId="0" applyNumberFormat="1" applyFont="1" applyFill="1" applyBorder="1" applyAlignment="1">
      <alignment horizontal="center" vertical="center"/>
    </xf>
    <xf numFmtId="167" fontId="2" fillId="0" borderId="38" xfId="0" applyNumberFormat="1" applyFont="1" applyFill="1" applyBorder="1" applyAlignment="1">
      <alignment horizontal="center" vertical="center"/>
    </xf>
    <xf numFmtId="167" fontId="2" fillId="19" borderId="72" xfId="0" applyNumberFormat="1" applyFont="1" applyFill="1" applyBorder="1" applyAlignment="1">
      <alignment horizontal="center" vertical="center" wrapText="1"/>
    </xf>
    <xf numFmtId="167" fontId="2" fillId="19" borderId="45" xfId="0" applyNumberFormat="1" applyFont="1" applyFill="1" applyBorder="1" applyAlignment="1">
      <alignment horizontal="center" vertical="center" wrapText="1"/>
    </xf>
    <xf numFmtId="167" fontId="2" fillId="19" borderId="49" xfId="0" applyNumberFormat="1" applyFont="1" applyFill="1" applyBorder="1" applyAlignment="1">
      <alignment horizontal="center" vertical="center" wrapText="1"/>
    </xf>
    <xf numFmtId="167" fontId="2" fillId="19" borderId="70" xfId="0" applyNumberFormat="1" applyFont="1" applyFill="1" applyBorder="1" applyAlignment="1">
      <alignment horizontal="center" vertical="center" wrapText="1"/>
    </xf>
    <xf numFmtId="167" fontId="2" fillId="19" borderId="71" xfId="0" applyNumberFormat="1" applyFont="1" applyFill="1" applyBorder="1" applyAlignment="1">
      <alignment horizontal="center" vertical="center" wrapText="1"/>
    </xf>
    <xf numFmtId="167" fontId="2" fillId="19" borderId="25" xfId="0" applyNumberFormat="1" applyFont="1" applyFill="1" applyBorder="1" applyAlignment="1">
      <alignment horizontal="center" vertical="center" wrapText="1"/>
    </xf>
    <xf numFmtId="167" fontId="2" fillId="19" borderId="38" xfId="0" applyNumberFormat="1" applyFont="1" applyFill="1" applyBorder="1" applyAlignment="1">
      <alignment horizontal="center" vertical="center" wrapText="1"/>
    </xf>
    <xf numFmtId="169" fontId="2" fillId="19" borderId="42" xfId="0" applyNumberFormat="1" applyFont="1" applyFill="1" applyBorder="1" applyAlignment="1">
      <alignment horizontal="center" vertical="center" wrapText="1"/>
    </xf>
    <xf numFmtId="169" fontId="2" fillId="19" borderId="19" xfId="0" applyNumberFormat="1" applyFont="1" applyFill="1" applyBorder="1" applyAlignment="1">
      <alignment horizontal="center" vertical="center" wrapText="1"/>
    </xf>
    <xf numFmtId="169" fontId="2" fillId="19" borderId="26" xfId="0" applyNumberFormat="1" applyFont="1" applyFill="1" applyBorder="1" applyAlignment="1">
      <alignment horizontal="center" vertical="center" wrapText="1"/>
    </xf>
    <xf numFmtId="169" fontId="2" fillId="19" borderId="13" xfId="0" applyNumberFormat="1" applyFont="1" applyFill="1" applyBorder="1" applyAlignment="1">
      <alignment horizontal="center" vertical="center" wrapText="1"/>
    </xf>
    <xf numFmtId="49" fontId="2" fillId="19" borderId="15" xfId="0" applyNumberFormat="1" applyFont="1" applyFill="1" applyBorder="1" applyAlignment="1">
      <alignment horizontal="center" vertical="center" wrapText="1"/>
    </xf>
    <xf numFmtId="49" fontId="2" fillId="19" borderId="16" xfId="0" applyNumberFormat="1" applyFont="1" applyFill="1" applyBorder="1" applyAlignment="1">
      <alignment horizontal="center" vertical="center" wrapText="1"/>
    </xf>
    <xf numFmtId="167" fontId="2" fillId="19" borderId="70" xfId="0" applyNumberFormat="1" applyFont="1" applyFill="1" applyBorder="1" applyAlignment="1">
      <alignment horizontal="center" vertical="center"/>
    </xf>
    <xf numFmtId="167" fontId="2" fillId="19" borderId="64" xfId="0" applyNumberFormat="1" applyFont="1" applyFill="1" applyBorder="1" applyAlignment="1">
      <alignment horizontal="center" vertical="center"/>
    </xf>
    <xf numFmtId="167" fontId="2" fillId="19" borderId="71" xfId="0" applyNumberFormat="1" applyFont="1" applyFill="1" applyBorder="1" applyAlignment="1">
      <alignment horizontal="center" vertical="center"/>
    </xf>
    <xf numFmtId="167" fontId="2" fillId="19" borderId="57" xfId="0" applyNumberFormat="1" applyFont="1" applyFill="1" applyBorder="1" applyAlignment="1">
      <alignment horizontal="center" vertical="center"/>
    </xf>
    <xf numFmtId="167" fontId="2" fillId="19" borderId="58" xfId="0" applyNumberFormat="1" applyFont="1" applyFill="1" applyBorder="1" applyAlignment="1">
      <alignment horizontal="center" vertical="center"/>
    </xf>
    <xf numFmtId="167" fontId="2" fillId="19" borderId="67" xfId="0" applyNumberFormat="1" applyFont="1" applyFill="1" applyBorder="1" applyAlignment="1">
      <alignment horizontal="center" vertical="center"/>
    </xf>
    <xf numFmtId="3" fontId="2" fillId="19" borderId="54" xfId="0" applyNumberFormat="1" applyFont="1" applyFill="1" applyBorder="1" applyAlignment="1">
      <alignment horizontal="center" vertical="center" wrapText="1"/>
    </xf>
    <xf numFmtId="3" fontId="2" fillId="19" borderId="39" xfId="0" applyNumberFormat="1" applyFont="1" applyFill="1" applyBorder="1" applyAlignment="1">
      <alignment horizontal="center" vertical="center" wrapText="1"/>
    </xf>
    <xf numFmtId="3" fontId="2" fillId="19" borderId="36" xfId="0" applyNumberFormat="1" applyFont="1" applyFill="1" applyBorder="1" applyAlignment="1">
      <alignment horizontal="center" vertical="center" wrapText="1"/>
    </xf>
    <xf numFmtId="0" fontId="21" fillId="9" borderId="37" xfId="0" applyFont="1" applyFill="1" applyBorder="1" applyAlignment="1">
      <alignment horizontal="center" vertical="center" wrapText="1"/>
    </xf>
    <xf numFmtId="0" fontId="21" fillId="9" borderId="24" xfId="0" applyFont="1" applyFill="1" applyBorder="1" applyAlignment="1">
      <alignment horizontal="center" vertical="center" wrapText="1"/>
    </xf>
    <xf numFmtId="0" fontId="10" fillId="9" borderId="37"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10" fillId="9" borderId="26"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10" fillId="9" borderId="25" xfId="0" applyFont="1" applyFill="1" applyBorder="1" applyAlignment="1">
      <alignment horizontal="center" vertical="center" wrapText="1"/>
    </xf>
    <xf numFmtId="169" fontId="10" fillId="9" borderId="10" xfId="0" applyNumberFormat="1" applyFont="1" applyFill="1" applyBorder="1" applyAlignment="1">
      <alignment horizontal="center" vertical="center" wrapText="1"/>
    </xf>
    <xf numFmtId="3" fontId="10" fillId="9" borderId="10" xfId="0" applyNumberFormat="1"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16" xfId="0" applyFont="1" applyFill="1" applyBorder="1" applyAlignment="1">
      <alignment horizontal="center" vertical="center" wrapText="1"/>
    </xf>
    <xf numFmtId="49" fontId="10" fillId="9" borderId="15" xfId="0" applyNumberFormat="1" applyFont="1" applyFill="1" applyBorder="1" applyAlignment="1">
      <alignment horizontal="center" vertical="center" wrapText="1"/>
    </xf>
    <xf numFmtId="49" fontId="10" fillId="9" borderId="16" xfId="0" applyNumberFormat="1"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0" fillId="9" borderId="34" xfId="0" applyFont="1" applyFill="1" applyBorder="1" applyAlignment="1">
      <alignment horizontal="center" vertical="center" wrapText="1"/>
    </xf>
    <xf numFmtId="164" fontId="1" fillId="4" borderId="37" xfId="0" applyNumberFormat="1" applyFont="1" applyFill="1" applyBorder="1" applyAlignment="1">
      <alignment horizontal="justify" vertical="center" wrapText="1"/>
    </xf>
    <xf numFmtId="164" fontId="1" fillId="4" borderId="24" xfId="0" applyNumberFormat="1" applyFont="1" applyFill="1" applyBorder="1" applyAlignment="1">
      <alignment horizontal="justify" vertical="center" wrapText="1"/>
    </xf>
    <xf numFmtId="164" fontId="1" fillId="4" borderId="12" xfId="0" applyNumberFormat="1" applyFont="1" applyFill="1" applyBorder="1" applyAlignment="1">
      <alignment horizontal="justify" vertical="center" wrapText="1"/>
    </xf>
    <xf numFmtId="44" fontId="10" fillId="9" borderId="10" xfId="54" applyFont="1" applyFill="1" applyBorder="1" applyAlignment="1">
      <alignment horizontal="center" vertical="center" wrapText="1"/>
    </xf>
    <xf numFmtId="9" fontId="10" fillId="9" borderId="10" xfId="66" applyFont="1" applyFill="1" applyBorder="1" applyAlignment="1">
      <alignment horizontal="center" vertical="center" wrapText="1"/>
    </xf>
    <xf numFmtId="0" fontId="10" fillId="9" borderId="15" xfId="0" applyFont="1" applyFill="1" applyBorder="1" applyAlignment="1">
      <alignment horizontal="center" vertical="center"/>
    </xf>
    <xf numFmtId="0" fontId="10" fillId="9" borderId="17" xfId="0" applyFont="1" applyFill="1" applyBorder="1" applyAlignment="1">
      <alignment horizontal="center" vertical="center"/>
    </xf>
    <xf numFmtId="0" fontId="10" fillId="9" borderId="16" xfId="0" applyFont="1" applyFill="1" applyBorder="1" applyAlignment="1">
      <alignment horizontal="center" vertical="center"/>
    </xf>
    <xf numFmtId="167" fontId="10" fillId="9" borderId="57" xfId="60" applyFont="1" applyFill="1" applyBorder="1" applyAlignment="1">
      <alignment horizontal="center" vertical="center"/>
      <protection/>
    </xf>
    <xf numFmtId="167" fontId="10" fillId="9" borderId="58" xfId="60" applyFont="1" applyFill="1" applyBorder="1" applyAlignment="1">
      <alignment horizontal="center" vertical="center"/>
      <protection/>
    </xf>
    <xf numFmtId="167" fontId="10" fillId="9" borderId="67" xfId="60" applyFont="1" applyFill="1" applyBorder="1" applyAlignment="1">
      <alignment horizontal="center" vertical="center"/>
      <protection/>
    </xf>
    <xf numFmtId="1" fontId="2" fillId="10" borderId="17" xfId="0" applyNumberFormat="1" applyFont="1" applyFill="1" applyBorder="1" applyAlignment="1">
      <alignment horizontal="center" vertical="center"/>
    </xf>
    <xf numFmtId="0" fontId="2" fillId="10" borderId="17" xfId="0" applyFont="1" applyFill="1" applyBorder="1" applyAlignment="1">
      <alignment horizontal="center" vertical="center"/>
    </xf>
    <xf numFmtId="3" fontId="1" fillId="4" borderId="10" xfId="0" applyNumberFormat="1" applyFont="1" applyFill="1" applyBorder="1" applyAlignment="1">
      <alignment horizontal="center" vertical="center" wrapText="1"/>
    </xf>
    <xf numFmtId="44" fontId="1" fillId="4" borderId="37" xfId="54" applyFont="1" applyFill="1" applyBorder="1" applyAlignment="1">
      <alignment horizontal="center" vertical="center" wrapText="1"/>
    </xf>
    <xf numFmtId="44" fontId="1" fillId="4" borderId="24" xfId="54" applyFont="1" applyFill="1" applyBorder="1" applyAlignment="1">
      <alignment horizontal="center" vertical="center" wrapText="1"/>
    </xf>
    <xf numFmtId="44" fontId="1" fillId="4" borderId="12" xfId="54" applyFont="1" applyFill="1" applyBorder="1" applyAlignment="1">
      <alignment horizontal="center" vertical="center" wrapText="1"/>
    </xf>
    <xf numFmtId="44" fontId="1" fillId="0" borderId="37" xfId="54" applyFont="1" applyFill="1" applyBorder="1" applyAlignment="1">
      <alignment horizontal="center" vertical="center" wrapText="1"/>
    </xf>
    <xf numFmtId="44" fontId="1" fillId="0" borderId="12" xfId="54" applyFont="1" applyFill="1" applyBorder="1" applyAlignment="1">
      <alignment horizontal="center" vertical="center" wrapText="1"/>
    </xf>
    <xf numFmtId="42" fontId="1" fillId="4" borderId="37" xfId="56" applyFont="1" applyFill="1" applyBorder="1" applyAlignment="1">
      <alignment horizontal="justify" vertical="center" wrapText="1"/>
    </xf>
    <xf numFmtId="42" fontId="1" fillId="4" borderId="12" xfId="56" applyFont="1" applyFill="1" applyBorder="1" applyAlignment="1">
      <alignment horizontal="justify" vertical="center" wrapText="1"/>
    </xf>
    <xf numFmtId="42" fontId="1" fillId="4" borderId="24" xfId="56" applyFont="1" applyFill="1" applyBorder="1" applyAlignment="1">
      <alignment horizontal="justify" vertical="center" wrapText="1"/>
    </xf>
    <xf numFmtId="42" fontId="4" fillId="4" borderId="37" xfId="56" applyFont="1" applyFill="1" applyBorder="1" applyAlignment="1">
      <alignment horizontal="justify" vertical="center" wrapText="1"/>
    </xf>
    <xf numFmtId="42" fontId="4" fillId="4" borderId="24" xfId="56" applyFont="1" applyFill="1" applyBorder="1" applyAlignment="1">
      <alignment horizontal="justify" vertical="center" wrapText="1"/>
    </xf>
    <xf numFmtId="42" fontId="4" fillId="4" borderId="12" xfId="56" applyFont="1" applyFill="1" applyBorder="1" applyAlignment="1">
      <alignment horizontal="justify" vertical="center" wrapText="1"/>
    </xf>
    <xf numFmtId="44" fontId="1" fillId="0" borderId="24" xfId="54" applyFont="1" applyFill="1" applyBorder="1" applyAlignment="1">
      <alignment horizontal="center" vertical="center" wrapText="1"/>
    </xf>
    <xf numFmtId="3" fontId="4" fillId="4" borderId="10" xfId="0" applyNumberFormat="1" applyFont="1" applyFill="1" applyBorder="1" applyAlignment="1">
      <alignment horizontal="center" vertical="center" wrapText="1"/>
    </xf>
    <xf numFmtId="44" fontId="4" fillId="4" borderId="37" xfId="54" applyFont="1" applyFill="1" applyBorder="1" applyAlignment="1">
      <alignment horizontal="center" vertical="center" wrapText="1"/>
    </xf>
    <xf numFmtId="44" fontId="4" fillId="4" borderId="24" xfId="54" applyFont="1" applyFill="1" applyBorder="1" applyAlignment="1">
      <alignment horizontal="center" vertical="center" wrapText="1"/>
    </xf>
    <xf numFmtId="44" fontId="4" fillId="4" borderId="12" xfId="54" applyFont="1" applyFill="1" applyBorder="1" applyAlignment="1">
      <alignment horizontal="center" vertical="center" wrapText="1"/>
    </xf>
    <xf numFmtId="0" fontId="4" fillId="4" borderId="24" xfId="66" applyNumberFormat="1" applyFont="1" applyFill="1" applyBorder="1" applyAlignment="1">
      <alignment horizontal="center" vertical="center" wrapText="1"/>
    </xf>
    <xf numFmtId="0" fontId="4" fillId="4" borderId="12" xfId="66" applyNumberFormat="1" applyFont="1" applyFill="1" applyBorder="1" applyAlignment="1">
      <alignment horizontal="center" vertical="center" wrapText="1"/>
    </xf>
    <xf numFmtId="0" fontId="1" fillId="4" borderId="12" xfId="66" applyNumberFormat="1" applyFont="1" applyFill="1" applyBorder="1" applyAlignment="1">
      <alignment horizontal="center" vertical="center" wrapText="1"/>
    </xf>
    <xf numFmtId="42" fontId="1" fillId="0" borderId="37" xfId="56" applyFont="1" applyFill="1" applyBorder="1" applyAlignment="1">
      <alignment horizontal="justify" vertical="center" wrapText="1"/>
    </xf>
    <xf numFmtId="42" fontId="1" fillId="0" borderId="24" xfId="56" applyFont="1" applyFill="1" applyBorder="1" applyAlignment="1">
      <alignment horizontal="justify" vertical="center" wrapText="1"/>
    </xf>
    <xf numFmtId="42" fontId="1" fillId="0" borderId="12" xfId="56" applyFont="1" applyFill="1" applyBorder="1" applyAlignment="1">
      <alignment horizontal="justify" vertical="center" wrapText="1"/>
    </xf>
    <xf numFmtId="0" fontId="1" fillId="4" borderId="24" xfId="66" applyNumberFormat="1" applyFont="1" applyFill="1" applyBorder="1" applyAlignment="1">
      <alignment horizontal="center" vertical="center" wrapText="1"/>
    </xf>
    <xf numFmtId="3" fontId="1" fillId="4" borderId="10" xfId="0" applyNumberFormat="1" applyFont="1" applyFill="1" applyBorder="1" applyAlignment="1">
      <alignment horizontal="justify" vertical="center" wrapText="1"/>
    </xf>
    <xf numFmtId="1" fontId="1" fillId="0" borderId="12" xfId="0" applyNumberFormat="1" applyFont="1" applyFill="1" applyBorder="1" applyAlignment="1">
      <alignment horizontal="center" vertical="center"/>
    </xf>
    <xf numFmtId="1" fontId="1" fillId="0" borderId="24"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6" xfId="0" applyFont="1" applyFill="1" applyBorder="1" applyAlignment="1">
      <alignment horizontal="center" vertical="center" wrapText="1"/>
    </xf>
    <xf numFmtId="42" fontId="1" fillId="0" borderId="10" xfId="56" applyNumberFormat="1" applyFont="1" applyFill="1" applyBorder="1" applyAlignment="1">
      <alignment horizontal="justify" vertical="center" wrapText="1"/>
    </xf>
    <xf numFmtId="169" fontId="6" fillId="4" borderId="42" xfId="0" applyNumberFormat="1" applyFont="1" applyFill="1" applyBorder="1" applyAlignment="1">
      <alignment horizontal="center" vertical="center" wrapText="1"/>
    </xf>
    <xf numFmtId="169" fontId="6" fillId="4" borderId="25" xfId="0" applyNumberFormat="1" applyFont="1" applyFill="1" applyBorder="1" applyAlignment="1">
      <alignment horizontal="center" vertical="center" wrapText="1"/>
    </xf>
    <xf numFmtId="169" fontId="6" fillId="4" borderId="26" xfId="0" applyNumberFormat="1" applyFont="1" applyFill="1" applyBorder="1" applyAlignment="1">
      <alignment horizontal="center" vertical="center" wrapText="1"/>
    </xf>
    <xf numFmtId="1" fontId="1" fillId="0" borderId="37" xfId="0" applyNumberFormat="1" applyFont="1" applyFill="1" applyBorder="1" applyAlignment="1" quotePrefix="1">
      <alignment horizontal="center" vertical="center" wrapText="1"/>
    </xf>
    <xf numFmtId="1" fontId="1" fillId="0" borderId="24" xfId="0" applyNumberFormat="1" applyFont="1" applyFill="1" applyBorder="1" applyAlignment="1" quotePrefix="1">
      <alignment horizontal="center" vertical="center" wrapText="1"/>
    </xf>
    <xf numFmtId="1" fontId="1" fillId="0" borderId="12" xfId="0" applyNumberFormat="1" applyFont="1" applyFill="1" applyBorder="1" applyAlignment="1" quotePrefix="1">
      <alignment horizontal="center" vertical="center" wrapText="1"/>
    </xf>
    <xf numFmtId="42" fontId="1" fillId="4" borderId="37" xfId="56" applyFont="1" applyFill="1" applyBorder="1" applyAlignment="1">
      <alignment horizontal="center" vertical="center"/>
    </xf>
    <xf numFmtId="42" fontId="1" fillId="4" borderId="12" xfId="56" applyFont="1" applyFill="1" applyBorder="1" applyAlignment="1">
      <alignment horizontal="center" vertical="center"/>
    </xf>
    <xf numFmtId="169" fontId="1" fillId="4" borderId="10" xfId="0" applyNumberFormat="1" applyFont="1" applyFill="1" applyBorder="1" applyAlignment="1">
      <alignment horizontal="center" vertical="center" wrapText="1"/>
    </xf>
    <xf numFmtId="169" fontId="6" fillId="4" borderId="10" xfId="0" applyNumberFormat="1" applyFont="1" applyFill="1" applyBorder="1" applyAlignment="1">
      <alignment horizontal="center" vertical="center" wrapText="1"/>
    </xf>
    <xf numFmtId="169" fontId="6" fillId="4" borderId="15" xfId="0" applyNumberFormat="1" applyFont="1" applyFill="1" applyBorder="1" applyAlignment="1">
      <alignment horizontal="center" vertical="center" wrapText="1"/>
    </xf>
    <xf numFmtId="1" fontId="1" fillId="4" borderId="37" xfId="0" applyNumberFormat="1" applyFont="1" applyFill="1" applyBorder="1" applyAlignment="1" quotePrefix="1">
      <alignment horizontal="center" vertical="center" wrapText="1"/>
    </xf>
    <xf numFmtId="0" fontId="1" fillId="0" borderId="0" xfId="0" applyFont="1" applyFill="1" applyBorder="1" applyAlignment="1">
      <alignment horizontal="center"/>
    </xf>
    <xf numFmtId="168" fontId="1" fillId="0" borderId="0" xfId="50" applyNumberFormat="1" applyFont="1" applyFill="1" applyBorder="1" applyAlignment="1">
      <alignment horizontal="center" vertical="center"/>
    </xf>
    <xf numFmtId="42" fontId="1" fillId="0" borderId="10" xfId="56" applyFont="1" applyFill="1" applyBorder="1" applyAlignment="1">
      <alignment horizontal="center" vertical="center"/>
    </xf>
    <xf numFmtId="42" fontId="6" fillId="0" borderId="10" xfId="56" applyFont="1" applyFill="1" applyBorder="1" applyAlignment="1">
      <alignment horizontal="center" vertical="center"/>
    </xf>
    <xf numFmtId="42" fontId="6" fillId="0" borderId="37" xfId="56" applyFont="1" applyFill="1" applyBorder="1" applyAlignment="1">
      <alignment horizontal="center" vertical="center" wrapText="1"/>
    </xf>
    <xf numFmtId="42" fontId="6" fillId="0" borderId="12" xfId="56" applyFont="1" applyFill="1" applyBorder="1" applyAlignment="1">
      <alignment horizontal="center" vertical="center" wrapText="1"/>
    </xf>
    <xf numFmtId="0" fontId="1" fillId="4" borderId="37"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1" fillId="4" borderId="12" xfId="0" applyFont="1" applyFill="1" applyBorder="1" applyAlignment="1">
      <alignment horizontal="left" vertical="center" wrapText="1"/>
    </xf>
    <xf numFmtId="1" fontId="6" fillId="4" borderId="10" xfId="0" applyNumberFormat="1" applyFont="1" applyFill="1" applyBorder="1" applyAlignment="1">
      <alignment horizontal="center" vertical="center" wrapText="1"/>
    </xf>
    <xf numFmtId="0" fontId="2" fillId="0" borderId="0" xfId="0" applyFont="1" applyFill="1" applyBorder="1" applyAlignment="1">
      <alignment horizontal="center"/>
    </xf>
    <xf numFmtId="0" fontId="7" fillId="0" borderId="37" xfId="0" applyFont="1" applyFill="1" applyBorder="1" applyAlignment="1">
      <alignment horizontal="center" vertical="center" wrapText="1"/>
    </xf>
    <xf numFmtId="0" fontId="7" fillId="0" borderId="12" xfId="0" applyFont="1" applyFill="1" applyBorder="1" applyAlignment="1">
      <alignment horizontal="center" vertical="center" wrapText="1"/>
    </xf>
    <xf numFmtId="164" fontId="6" fillId="0" borderId="37" xfId="55" applyFont="1" applyFill="1" applyBorder="1" applyAlignment="1">
      <alignment horizontal="center" vertical="center"/>
    </xf>
    <xf numFmtId="164" fontId="6" fillId="0" borderId="24" xfId="55" applyFont="1" applyFill="1" applyBorder="1" applyAlignment="1">
      <alignment horizontal="center" vertical="center"/>
    </xf>
    <xf numFmtId="164" fontId="6" fillId="0" borderId="12" xfId="55" applyFont="1" applyFill="1" applyBorder="1" applyAlignment="1">
      <alignment horizontal="center" vertical="center"/>
    </xf>
    <xf numFmtId="14" fontId="6" fillId="0" borderId="10"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34"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justify" vertical="center" wrapText="1"/>
    </xf>
    <xf numFmtId="0" fontId="6" fillId="0" borderId="4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7" fillId="9" borderId="37" xfId="0" applyFont="1" applyFill="1" applyBorder="1" applyAlignment="1">
      <alignment horizontal="center" vertical="center"/>
    </xf>
    <xf numFmtId="0" fontId="27" fillId="9" borderId="12" xfId="0" applyFont="1" applyFill="1" applyBorder="1" applyAlignment="1">
      <alignment horizontal="center" vertical="center"/>
    </xf>
    <xf numFmtId="0" fontId="27" fillId="9" borderId="37" xfId="0" applyFont="1" applyFill="1" applyBorder="1" applyAlignment="1">
      <alignment horizontal="center" vertical="center" wrapText="1"/>
    </xf>
    <xf numFmtId="0" fontId="27" fillId="9" borderId="12" xfId="0" applyFont="1" applyFill="1" applyBorder="1" applyAlignment="1">
      <alignment horizontal="center" vertical="center" wrapText="1"/>
    </xf>
    <xf numFmtId="164" fontId="1" fillId="0" borderId="37" xfId="55" applyFont="1" applyFill="1" applyBorder="1" applyAlignment="1">
      <alignment horizontal="center" vertical="center" wrapText="1"/>
    </xf>
    <xf numFmtId="164" fontId="1" fillId="0" borderId="24" xfId="55" applyFont="1" applyFill="1" applyBorder="1" applyAlignment="1">
      <alignment horizontal="center" vertical="center" wrapText="1"/>
    </xf>
    <xf numFmtId="164" fontId="4" fillId="0" borderId="37" xfId="55" applyFont="1" applyFill="1" applyBorder="1" applyAlignment="1">
      <alignment horizontal="right" vertical="center" wrapText="1"/>
    </xf>
    <xf numFmtId="164" fontId="4" fillId="0" borderId="24" xfId="55" applyFont="1" applyFill="1" applyBorder="1" applyAlignment="1">
      <alignment horizontal="right" vertical="center" wrapText="1"/>
    </xf>
    <xf numFmtId="164" fontId="4" fillId="0" borderId="12" xfId="55" applyFont="1" applyFill="1" applyBorder="1" applyAlignment="1">
      <alignment horizontal="right" vertical="center" wrapText="1"/>
    </xf>
    <xf numFmtId="164" fontId="4" fillId="0" borderId="10" xfId="55" applyFont="1" applyFill="1" applyBorder="1" applyAlignment="1">
      <alignment horizontal="right" vertical="center" wrapText="1"/>
    </xf>
    <xf numFmtId="9" fontId="27" fillId="9" borderId="37" xfId="0" applyNumberFormat="1" applyFont="1" applyFill="1" applyBorder="1" applyAlignment="1">
      <alignment horizontal="center" vertical="center" wrapText="1"/>
    </xf>
    <xf numFmtId="9" fontId="27" fillId="9" borderId="12" xfId="0" applyNumberFormat="1" applyFont="1" applyFill="1" applyBorder="1" applyAlignment="1">
      <alignment horizontal="center" vertical="center" wrapText="1"/>
    </xf>
    <xf numFmtId="0" fontId="27" fillId="9" borderId="15" xfId="0" applyNumberFormat="1" applyFont="1" applyFill="1" applyBorder="1" applyAlignment="1">
      <alignment horizontal="center" vertical="center" wrapText="1"/>
    </xf>
    <xf numFmtId="0" fontId="27" fillId="9" borderId="16" xfId="0" applyNumberFormat="1"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1" xfId="0" applyFont="1" applyFill="1" applyBorder="1" applyAlignment="1">
      <alignment horizontal="center" vertical="center"/>
    </xf>
    <xf numFmtId="0" fontId="6" fillId="0" borderId="37" xfId="0" applyFont="1" applyFill="1" applyBorder="1" applyAlignment="1">
      <alignment horizontal="center" wrapText="1"/>
    </xf>
    <xf numFmtId="0" fontId="6" fillId="0" borderId="24" xfId="0" applyFont="1" applyFill="1" applyBorder="1" applyAlignment="1">
      <alignment horizontal="center" wrapText="1"/>
    </xf>
    <xf numFmtId="0" fontId="6" fillId="0" borderId="12" xfId="0" applyFont="1" applyFill="1" applyBorder="1" applyAlignment="1">
      <alignment horizontal="center" wrapText="1"/>
    </xf>
    <xf numFmtId="0" fontId="1" fillId="0" borderId="10" xfId="0" applyFont="1" applyFill="1" applyBorder="1" applyAlignment="1">
      <alignment horizontal="center" wrapText="1"/>
    </xf>
    <xf numFmtId="0" fontId="1" fillId="0" borderId="42" xfId="0" applyFont="1" applyFill="1" applyBorder="1" applyAlignment="1">
      <alignment horizontal="justify" vertical="center" wrapText="1" readingOrder="2"/>
    </xf>
    <xf numFmtId="0" fontId="1" fillId="0" borderId="25" xfId="0" applyFont="1" applyFill="1" applyBorder="1" applyAlignment="1">
      <alignment horizontal="justify" vertical="center" wrapText="1" readingOrder="2"/>
    </xf>
    <xf numFmtId="0" fontId="1" fillId="0" borderId="14" xfId="0" applyFont="1" applyFill="1" applyBorder="1" applyAlignment="1">
      <alignment horizontal="justify" vertical="center" wrapText="1" readingOrder="1"/>
    </xf>
    <xf numFmtId="0" fontId="1" fillId="0" borderId="0" xfId="0" applyFont="1" applyFill="1" applyBorder="1" applyAlignment="1">
      <alignment horizontal="justify" vertical="center" wrapText="1" readingOrder="1"/>
    </xf>
    <xf numFmtId="164" fontId="1" fillId="0" borderId="10" xfId="55" applyFont="1" applyFill="1" applyBorder="1" applyAlignment="1">
      <alignment horizontal="center" vertical="center" wrapText="1"/>
    </xf>
    <xf numFmtId="0" fontId="1" fillId="0" borderId="10" xfId="0" applyFont="1" applyFill="1" applyBorder="1" applyAlignment="1">
      <alignment horizontal="justify" vertical="center" wrapText="1" readingOrder="2"/>
    </xf>
    <xf numFmtId="0" fontId="1" fillId="0" borderId="10" xfId="0" applyFont="1" applyFill="1" applyBorder="1" applyAlignment="1">
      <alignment horizontal="justify" vertical="center" wrapText="1" readingOrder="1"/>
    </xf>
    <xf numFmtId="0" fontId="1" fillId="0" borderId="10" xfId="0" applyFont="1" applyFill="1" applyBorder="1" applyAlignment="1">
      <alignment wrapText="1"/>
    </xf>
    <xf numFmtId="3" fontId="1" fillId="0" borderId="10" xfId="0" applyNumberFormat="1" applyFont="1" applyFill="1" applyBorder="1" applyAlignment="1">
      <alignment horizontal="justify" vertical="center" wrapText="1"/>
    </xf>
    <xf numFmtId="164" fontId="1" fillId="0" borderId="10" xfId="55" applyFont="1" applyFill="1" applyBorder="1" applyAlignment="1">
      <alignment horizontal="right" vertical="center" wrapText="1"/>
    </xf>
    <xf numFmtId="0" fontId="1" fillId="0" borderId="37" xfId="0" applyFont="1" applyFill="1" applyBorder="1" applyAlignment="1">
      <alignment horizontal="justify" vertical="center" wrapText="1" readingOrder="2"/>
    </xf>
    <xf numFmtId="0" fontId="1" fillId="0" borderId="12" xfId="0" applyFont="1" applyFill="1" applyBorder="1" applyAlignment="1">
      <alignment horizontal="justify" vertical="center" wrapText="1" readingOrder="2"/>
    </xf>
    <xf numFmtId="15"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181" fontId="1" fillId="0" borderId="10" xfId="0" applyNumberFormat="1" applyFont="1" applyFill="1" applyBorder="1" applyAlignment="1">
      <alignment horizontal="center" vertical="center" wrapText="1"/>
    </xf>
    <xf numFmtId="181" fontId="6" fillId="0" borderId="37" xfId="0" applyNumberFormat="1" applyFont="1" applyFill="1" applyBorder="1" applyAlignment="1">
      <alignment horizontal="center" vertical="center" wrapText="1"/>
    </xf>
    <xf numFmtId="181" fontId="6" fillId="0" borderId="24" xfId="0" applyNumberFormat="1" applyFont="1" applyFill="1" applyBorder="1" applyAlignment="1">
      <alignment horizontal="center" vertical="center" wrapText="1"/>
    </xf>
    <xf numFmtId="181" fontId="6" fillId="0" borderId="12" xfId="0" applyNumberFormat="1" applyFont="1" applyFill="1" applyBorder="1" applyAlignment="1">
      <alignment horizontal="center" vertical="center" wrapText="1"/>
    </xf>
    <xf numFmtId="181" fontId="1" fillId="0" borderId="37" xfId="0" applyNumberFormat="1" applyFont="1" applyFill="1" applyBorder="1" applyAlignment="1">
      <alignment horizontal="center" vertical="center" wrapText="1"/>
    </xf>
    <xf numFmtId="181" fontId="1" fillId="0" borderId="24" xfId="0" applyNumberFormat="1" applyFont="1" applyFill="1" applyBorder="1" applyAlignment="1">
      <alignment horizontal="center" vertical="center" wrapText="1"/>
    </xf>
    <xf numFmtId="181" fontId="1" fillId="0" borderId="12"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readingOrder="2"/>
    </xf>
    <xf numFmtId="0" fontId="1" fillId="0" borderId="10" xfId="0" applyFont="1" applyFill="1" applyBorder="1" applyAlignment="1">
      <alignment horizontal="justify" wrapText="1"/>
    </xf>
    <xf numFmtId="0" fontId="1" fillId="0" borderId="14"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2" fillId="0" borderId="10" xfId="0" applyFont="1" applyFill="1" applyBorder="1" applyAlignment="1">
      <alignment horizontal="center" vertical="center"/>
    </xf>
    <xf numFmtId="0" fontId="7" fillId="0" borderId="10" xfId="0" applyFont="1" applyFill="1" applyBorder="1" applyAlignment="1">
      <alignment horizontal="center" vertical="center"/>
    </xf>
    <xf numFmtId="3" fontId="1" fillId="0" borderId="10" xfId="0" applyNumberFormat="1" applyFont="1" applyFill="1" applyBorder="1" applyAlignment="1">
      <alignment horizont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center" wrapText="1"/>
    </xf>
    <xf numFmtId="164" fontId="1" fillId="0" borderId="42" xfId="55" applyFont="1" applyFill="1" applyBorder="1" applyAlignment="1">
      <alignment horizontal="center" vertical="center"/>
    </xf>
    <xf numFmtId="164" fontId="1" fillId="0" borderId="25" xfId="55" applyFont="1" applyFill="1" applyBorder="1" applyAlignment="1">
      <alignment horizontal="center" vertical="center"/>
    </xf>
    <xf numFmtId="164" fontId="1" fillId="0" borderId="26" xfId="55" applyFont="1" applyFill="1" applyBorder="1" applyAlignment="1">
      <alignment horizontal="center" vertical="center"/>
    </xf>
    <xf numFmtId="164" fontId="1" fillId="0" borderId="37" xfId="55" applyFont="1" applyFill="1" applyBorder="1" applyAlignment="1">
      <alignment horizontal="right" vertical="center" wrapText="1"/>
    </xf>
    <xf numFmtId="164" fontId="1" fillId="0" borderId="12" xfId="55" applyFont="1" applyFill="1" applyBorder="1" applyAlignment="1">
      <alignment horizontal="right" vertical="center" wrapText="1"/>
    </xf>
    <xf numFmtId="0" fontId="2" fillId="0" borderId="10" xfId="0" applyFont="1" applyFill="1" applyBorder="1" applyAlignment="1">
      <alignment horizontal="center" vertical="center" wrapText="1"/>
    </xf>
    <xf numFmtId="164" fontId="4" fillId="0" borderId="10" xfId="55" applyFont="1" applyFill="1" applyBorder="1" applyAlignment="1">
      <alignment horizontal="center" vertical="center"/>
    </xf>
    <xf numFmtId="181" fontId="27" fillId="9" borderId="15" xfId="0" applyNumberFormat="1" applyFont="1" applyFill="1" applyBorder="1" applyAlignment="1">
      <alignment horizontal="center" vertical="center" wrapText="1"/>
    </xf>
    <xf numFmtId="181" fontId="27" fillId="9" borderId="16" xfId="0" applyNumberFormat="1" applyFont="1" applyFill="1" applyBorder="1" applyAlignment="1">
      <alignment horizontal="center" vertical="center" wrapText="1"/>
    </xf>
    <xf numFmtId="9" fontId="10" fillId="9" borderId="12" xfId="67" applyFont="1" applyFill="1" applyBorder="1" applyAlignment="1">
      <alignment horizontal="center" vertical="center" wrapText="1"/>
    </xf>
    <xf numFmtId="0" fontId="10" fillId="9" borderId="37" xfId="0" applyFont="1" applyFill="1" applyBorder="1" applyAlignment="1">
      <alignment horizontal="justify" vertical="center" wrapText="1"/>
    </xf>
    <xf numFmtId="0" fontId="10" fillId="9" borderId="12" xfId="0" applyFont="1" applyFill="1" applyBorder="1" applyAlignment="1">
      <alignment horizontal="justify" vertical="center" wrapText="1"/>
    </xf>
    <xf numFmtId="0" fontId="27" fillId="9" borderId="15" xfId="0" applyFont="1" applyFill="1" applyBorder="1" applyAlignment="1">
      <alignment horizontal="center" vertical="center"/>
    </xf>
    <xf numFmtId="0" fontId="27" fillId="9" borderId="16" xfId="0" applyFont="1" applyFill="1" applyBorder="1" applyAlignment="1">
      <alignment horizontal="center" vertical="center"/>
    </xf>
    <xf numFmtId="0" fontId="27" fillId="9" borderId="15" xfId="0" applyFont="1" applyFill="1" applyBorder="1" applyAlignment="1">
      <alignment horizontal="center" vertical="center" textRotation="1"/>
    </xf>
    <xf numFmtId="0" fontId="27" fillId="9" borderId="16" xfId="0" applyFont="1" applyFill="1" applyBorder="1" applyAlignment="1">
      <alignment horizontal="center" vertical="center" textRotation="1"/>
    </xf>
    <xf numFmtId="0" fontId="1" fillId="0" borderId="14" xfId="0" applyFont="1" applyFill="1" applyBorder="1" applyAlignment="1">
      <alignment horizontal="center"/>
    </xf>
    <xf numFmtId="0" fontId="1" fillId="0" borderId="19" xfId="0" applyFont="1" applyFill="1" applyBorder="1" applyAlignment="1">
      <alignment horizontal="center"/>
    </xf>
    <xf numFmtId="0" fontId="1" fillId="0" borderId="38" xfId="0" applyFont="1" applyFill="1" applyBorder="1" applyAlignment="1">
      <alignment horizontal="center"/>
    </xf>
    <xf numFmtId="3" fontId="10" fillId="9" borderId="37" xfId="0" applyNumberFormat="1" applyFont="1" applyFill="1" applyBorder="1" applyAlignment="1">
      <alignment horizontal="center" vertical="center" wrapText="1"/>
    </xf>
    <xf numFmtId="3" fontId="10" fillId="9" borderId="12" xfId="0" applyNumberFormat="1" applyFont="1" applyFill="1" applyBorder="1" applyAlignment="1">
      <alignment horizontal="center" vertical="center" wrapText="1"/>
    </xf>
    <xf numFmtId="0" fontId="27" fillId="9" borderId="15" xfId="0" applyFont="1" applyFill="1" applyBorder="1" applyAlignment="1">
      <alignment horizontal="center" vertical="center" wrapText="1"/>
    </xf>
    <xf numFmtId="0" fontId="27" fillId="9" borderId="16" xfId="0" applyFont="1" applyFill="1" applyBorder="1" applyAlignment="1">
      <alignment horizontal="center" vertical="center" wrapText="1"/>
    </xf>
    <xf numFmtId="3" fontId="27" fillId="9" borderId="37" xfId="0" applyNumberFormat="1" applyFont="1" applyFill="1" applyBorder="1" applyAlignment="1">
      <alignment horizontal="center" vertical="center" wrapText="1"/>
    </xf>
    <xf numFmtId="3" fontId="27" fillId="9" borderId="12" xfId="0" applyNumberFormat="1" applyFont="1" applyFill="1" applyBorder="1" applyAlignment="1">
      <alignment horizontal="center" vertical="center" wrapText="1"/>
    </xf>
    <xf numFmtId="3" fontId="27" fillId="9" borderId="15" xfId="0" applyNumberFormat="1" applyFont="1" applyFill="1" applyBorder="1" applyAlignment="1">
      <alignment horizontal="center" vertical="center" wrapText="1"/>
    </xf>
    <xf numFmtId="3" fontId="27" fillId="9" borderId="17" xfId="0" applyNumberFormat="1" applyFont="1" applyFill="1" applyBorder="1" applyAlignment="1">
      <alignment horizontal="center" vertical="center" wrapText="1"/>
    </xf>
    <xf numFmtId="3" fontId="27" fillId="9" borderId="16" xfId="0" applyNumberFormat="1" applyFont="1" applyFill="1" applyBorder="1" applyAlignment="1">
      <alignment horizontal="center" vertical="center" wrapText="1"/>
    </xf>
    <xf numFmtId="49" fontId="27" fillId="9" borderId="15" xfId="0" applyNumberFormat="1" applyFont="1" applyFill="1" applyBorder="1" applyAlignment="1">
      <alignment horizontal="center" vertical="center"/>
    </xf>
    <xf numFmtId="49" fontId="27" fillId="9" borderId="16" xfId="0" applyNumberFormat="1" applyFont="1" applyFill="1" applyBorder="1" applyAlignment="1">
      <alignment horizontal="center" vertical="center"/>
    </xf>
    <xf numFmtId="164" fontId="1" fillId="0" borderId="12" xfId="55" applyFont="1" applyFill="1" applyBorder="1" applyAlignment="1">
      <alignment horizontal="center" vertical="center" wrapText="1"/>
    </xf>
    <xf numFmtId="164" fontId="1" fillId="0" borderId="37" xfId="55" applyFont="1" applyFill="1" applyBorder="1" applyAlignment="1">
      <alignment horizontal="justify" vertical="center" wrapText="1"/>
    </xf>
    <xf numFmtId="164" fontId="1" fillId="0" borderId="12" xfId="55" applyFont="1" applyFill="1" applyBorder="1" applyAlignment="1">
      <alignment horizontal="justify" vertical="center" wrapText="1"/>
    </xf>
    <xf numFmtId="0" fontId="1" fillId="0" borderId="10" xfId="0" applyNumberFormat="1" applyFont="1" applyFill="1" applyBorder="1" applyAlignment="1">
      <alignment horizontal="center" vertical="center"/>
    </xf>
    <xf numFmtId="9" fontId="1" fillId="0" borderId="10" xfId="66" applyFont="1" applyFill="1" applyBorder="1" applyAlignment="1">
      <alignment horizontal="center" vertical="center"/>
    </xf>
    <xf numFmtId="0" fontId="2" fillId="9" borderId="72" xfId="0" applyFont="1" applyFill="1" applyBorder="1" applyAlignment="1">
      <alignment horizontal="center" vertical="center" wrapText="1"/>
    </xf>
    <xf numFmtId="0" fontId="2" fillId="9" borderId="45" xfId="0" applyFont="1" applyFill="1" applyBorder="1" applyAlignment="1">
      <alignment horizontal="center" vertical="center" wrapText="1"/>
    </xf>
    <xf numFmtId="0" fontId="2" fillId="9" borderId="49" xfId="0" applyFont="1" applyFill="1" applyBorder="1" applyAlignment="1">
      <alignment horizontal="center" vertical="center" wrapText="1"/>
    </xf>
    <xf numFmtId="0" fontId="2" fillId="9" borderId="70" xfId="0" applyFont="1" applyFill="1" applyBorder="1" applyAlignment="1">
      <alignment horizontal="center" vertical="center" wrapText="1"/>
    </xf>
    <xf numFmtId="0" fontId="2" fillId="9" borderId="71" xfId="0" applyFont="1" applyFill="1" applyBorder="1" applyAlignment="1">
      <alignment horizontal="center" vertical="center" wrapText="1"/>
    </xf>
    <xf numFmtId="0" fontId="2" fillId="9" borderId="69" xfId="0" applyFont="1" applyFill="1" applyBorder="1" applyAlignment="1">
      <alignment horizontal="center" vertical="center" wrapText="1"/>
    </xf>
    <xf numFmtId="0" fontId="2" fillId="9" borderId="69" xfId="0" applyFont="1" applyFill="1" applyBorder="1" applyAlignment="1">
      <alignment horizontal="justify" vertical="center" wrapText="1"/>
    </xf>
    <xf numFmtId="0" fontId="2" fillId="9" borderId="12" xfId="0" applyFont="1" applyFill="1" applyBorder="1" applyAlignment="1">
      <alignment horizontal="justify" vertical="center" wrapText="1"/>
    </xf>
    <xf numFmtId="0" fontId="2" fillId="9" borderId="64"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10" borderId="42" xfId="0" applyFont="1" applyFill="1" applyBorder="1" applyAlignment="1">
      <alignment horizontal="left" vertical="center" wrapText="1"/>
    </xf>
    <xf numFmtId="0" fontId="2" fillId="10" borderId="14" xfId="0" applyFont="1" applyFill="1" applyBorder="1" applyAlignment="1">
      <alignment horizontal="left" vertical="center" wrapText="1"/>
    </xf>
    <xf numFmtId="0" fontId="2" fillId="10" borderId="17" xfId="0" applyFont="1" applyFill="1" applyBorder="1" applyAlignment="1">
      <alignment horizontal="left" vertical="center" wrapText="1"/>
    </xf>
    <xf numFmtId="0" fontId="2" fillId="10" borderId="16" xfId="0" applyFont="1" applyFill="1" applyBorder="1" applyAlignment="1">
      <alignment horizontal="left" vertical="center" wrapText="1"/>
    </xf>
    <xf numFmtId="0" fontId="2" fillId="4" borderId="42"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21" borderId="42" xfId="0" applyFont="1" applyFill="1" applyBorder="1" applyAlignment="1">
      <alignment horizontal="left" vertical="center" wrapText="1"/>
    </xf>
    <xf numFmtId="0" fontId="2" fillId="21" borderId="14" xfId="0" applyFont="1" applyFill="1" applyBorder="1" applyAlignment="1">
      <alignment horizontal="left" vertical="center" wrapText="1"/>
    </xf>
    <xf numFmtId="0" fontId="2" fillId="21" borderId="17" xfId="0" applyFont="1" applyFill="1" applyBorder="1" applyAlignment="1">
      <alignment horizontal="left" vertical="center" wrapText="1"/>
    </xf>
    <xf numFmtId="0" fontId="2" fillId="21" borderId="16" xfId="0" applyFont="1" applyFill="1" applyBorder="1" applyAlignment="1">
      <alignment horizontal="left" vertical="center" wrapText="1"/>
    </xf>
    <xf numFmtId="0" fontId="1" fillId="12" borderId="10"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2" fillId="12" borderId="17" xfId="0" applyFont="1" applyFill="1" applyBorder="1" applyAlignment="1">
      <alignment horizontal="center" vertical="center" wrapText="1"/>
    </xf>
    <xf numFmtId="0" fontId="2" fillId="12" borderId="16" xfId="0" applyFont="1" applyFill="1" applyBorder="1" applyAlignment="1">
      <alignment horizontal="center" vertical="center" wrapText="1"/>
    </xf>
    <xf numFmtId="0" fontId="2" fillId="12" borderId="42" xfId="0" applyFont="1" applyFill="1" applyBorder="1" applyAlignment="1">
      <alignment horizontal="left" vertical="center" wrapText="1"/>
    </xf>
    <xf numFmtId="0" fontId="2" fillId="12" borderId="14" xfId="0" applyFont="1" applyFill="1" applyBorder="1" applyAlignment="1">
      <alignment horizontal="left" vertical="center" wrapText="1"/>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3" fontId="1" fillId="0" borderId="38"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192" fontId="1" fillId="0" borderId="10" xfId="0" applyNumberFormat="1" applyFont="1" applyFill="1" applyBorder="1" applyAlignment="1">
      <alignment horizontal="center" vertical="center"/>
    </xf>
    <xf numFmtId="164" fontId="1" fillId="0" borderId="12" xfId="55" applyFont="1" applyFill="1" applyBorder="1" applyAlignment="1">
      <alignment horizontal="center" vertical="center"/>
    </xf>
    <xf numFmtId="192" fontId="1" fillId="0" borderId="37" xfId="0" applyNumberFormat="1" applyFont="1" applyFill="1" applyBorder="1" applyAlignment="1">
      <alignment horizontal="center" vertical="center"/>
    </xf>
    <xf numFmtId="192" fontId="1" fillId="0" borderId="12"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wrapText="1"/>
    </xf>
    <xf numFmtId="191" fontId="1" fillId="0" borderId="0" xfId="0" applyNumberFormat="1" applyFont="1" applyFill="1" applyBorder="1" applyAlignment="1">
      <alignment horizontal="center" vertical="center" wrapText="1"/>
    </xf>
    <xf numFmtId="191" fontId="1" fillId="0" borderId="34" xfId="0" applyNumberFormat="1" applyFont="1" applyFill="1" applyBorder="1" applyAlignment="1">
      <alignment horizontal="center" vertical="center" wrapText="1"/>
    </xf>
    <xf numFmtId="0" fontId="1" fillId="0" borderId="23" xfId="0" applyFont="1" applyBorder="1" applyAlignment="1">
      <alignment horizontal="center"/>
    </xf>
    <xf numFmtId="0" fontId="1" fillId="0" borderId="21" xfId="0" applyFont="1" applyBorder="1" applyAlignment="1">
      <alignment horizontal="center"/>
    </xf>
    <xf numFmtId="0" fontId="1" fillId="0" borderId="46" xfId="0" applyFont="1" applyBorder="1" applyAlignment="1">
      <alignment horizontal="center"/>
    </xf>
    <xf numFmtId="0" fontId="1" fillId="0" borderId="22" xfId="0" applyFont="1" applyBorder="1" applyAlignment="1">
      <alignment horizontal="center"/>
    </xf>
    <xf numFmtId="3" fontId="1" fillId="4" borderId="35" xfId="0" applyNumberFormat="1" applyFont="1" applyFill="1" applyBorder="1" applyAlignment="1">
      <alignment horizontal="center" vertical="center" wrapText="1"/>
    </xf>
    <xf numFmtId="185" fontId="1" fillId="4" borderId="37" xfId="0" applyNumberFormat="1" applyFont="1" applyFill="1" applyBorder="1" applyAlignment="1">
      <alignment horizontal="center" vertical="center" wrapText="1"/>
    </xf>
    <xf numFmtId="185" fontId="1" fillId="4" borderId="12" xfId="0" applyNumberFormat="1" applyFont="1" applyFill="1" applyBorder="1" applyAlignment="1">
      <alignment horizontal="center" vertical="center" wrapText="1"/>
    </xf>
    <xf numFmtId="0" fontId="2" fillId="4" borderId="35" xfId="0" applyFont="1" applyFill="1" applyBorder="1" applyAlignment="1">
      <alignment horizontal="center" vertical="center" textRotation="180" wrapText="1"/>
    </xf>
    <xf numFmtId="49" fontId="1" fillId="4" borderId="37" xfId="0" applyNumberFormat="1" applyFont="1" applyFill="1" applyBorder="1" applyAlignment="1">
      <alignment horizontal="center" vertical="center" wrapText="1"/>
    </xf>
    <xf numFmtId="49" fontId="1" fillId="4" borderId="24" xfId="0" applyNumberFormat="1" applyFont="1" applyFill="1" applyBorder="1" applyAlignment="1">
      <alignment horizontal="center" vertical="center" wrapText="1"/>
    </xf>
    <xf numFmtId="49" fontId="1" fillId="4" borderId="35" xfId="0" applyNumberFormat="1"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0" borderId="35" xfId="0" applyFont="1" applyFill="1" applyBorder="1" applyAlignment="1">
      <alignment horizontal="justify" vertical="center" wrapText="1"/>
    </xf>
    <xf numFmtId="0" fontId="1" fillId="4" borderId="35" xfId="0" applyNumberFormat="1" applyFont="1" applyFill="1" applyBorder="1" applyAlignment="1">
      <alignment horizontal="center" vertical="center" wrapText="1"/>
    </xf>
    <xf numFmtId="2" fontId="1" fillId="4" borderId="37" xfId="0" applyNumberFormat="1" applyFont="1" applyFill="1" applyBorder="1" applyAlignment="1">
      <alignment horizontal="justify" vertical="center" wrapText="1"/>
    </xf>
    <xf numFmtId="2" fontId="1" fillId="4" borderId="12" xfId="0" applyNumberFormat="1" applyFont="1" applyFill="1" applyBorder="1" applyAlignment="1">
      <alignment horizontal="justify" vertical="center" wrapText="1"/>
    </xf>
    <xf numFmtId="0" fontId="2" fillId="10" borderId="15" xfId="0" applyFont="1" applyFill="1" applyBorder="1" applyAlignment="1">
      <alignment horizontal="left" vertical="center"/>
    </xf>
    <xf numFmtId="0" fontId="2" fillId="10" borderId="17" xfId="0" applyFont="1" applyFill="1" applyBorder="1" applyAlignment="1">
      <alignment horizontal="left" vertical="center"/>
    </xf>
    <xf numFmtId="0" fontId="2" fillId="10" borderId="16" xfId="0" applyFont="1" applyFill="1" applyBorder="1" applyAlignment="1">
      <alignment horizontal="left" vertical="center"/>
    </xf>
    <xf numFmtId="0" fontId="2" fillId="0" borderId="3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21" borderId="15" xfId="0" applyFont="1" applyFill="1" applyBorder="1" applyAlignment="1">
      <alignment horizontal="left" vertical="center"/>
    </xf>
    <xf numFmtId="0" fontId="2" fillId="21" borderId="17" xfId="0" applyFont="1" applyFill="1" applyBorder="1" applyAlignment="1">
      <alignment horizontal="left" vertical="center"/>
    </xf>
    <xf numFmtId="0" fontId="2" fillId="21" borderId="16" xfId="0"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74" xfId="0" applyFont="1" applyFill="1" applyBorder="1" applyAlignment="1">
      <alignment horizontal="center" vertical="center" wrapText="1"/>
    </xf>
    <xf numFmtId="0" fontId="2" fillId="12" borderId="15" xfId="0" applyFont="1" applyFill="1" applyBorder="1" applyAlignment="1">
      <alignment horizontal="left" vertical="center" wrapText="1"/>
    </xf>
    <xf numFmtId="0" fontId="2" fillId="12" borderId="17" xfId="0" applyFont="1" applyFill="1" applyBorder="1" applyAlignment="1">
      <alignment horizontal="left" vertical="center" wrapText="1"/>
    </xf>
    <xf numFmtId="0" fontId="2" fillId="12" borderId="16" xfId="0" applyFont="1" applyFill="1" applyBorder="1" applyAlignment="1">
      <alignment horizontal="left" vertical="center" wrapText="1"/>
    </xf>
    <xf numFmtId="0" fontId="1" fillId="4" borderId="14"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0" fillId="9" borderId="24" xfId="0" applyFont="1" applyFill="1" applyBorder="1" applyAlignment="1">
      <alignment horizontal="center" vertical="center" wrapText="1"/>
    </xf>
    <xf numFmtId="3" fontId="10" fillId="9" borderId="24" xfId="0" applyNumberFormat="1" applyFont="1" applyFill="1" applyBorder="1" applyAlignment="1">
      <alignment horizontal="center" vertical="center" wrapText="1"/>
    </xf>
    <xf numFmtId="9" fontId="10" fillId="9" borderId="24" xfId="67" applyFont="1" applyFill="1" applyBorder="1" applyAlignment="1">
      <alignment horizontal="center" vertical="center" wrapText="1"/>
    </xf>
    <xf numFmtId="0" fontId="16" fillId="0" borderId="0" xfId="0" applyFont="1" applyBorder="1" applyAlignment="1">
      <alignment horizontal="center" vertical="center"/>
    </xf>
    <xf numFmtId="0" fontId="16" fillId="0" borderId="34" xfId="0" applyFont="1" applyBorder="1" applyAlignment="1">
      <alignment horizontal="center" vertical="center"/>
    </xf>
    <xf numFmtId="185" fontId="2" fillId="9" borderId="37" xfId="0" applyNumberFormat="1" applyFont="1" applyFill="1" applyBorder="1" applyAlignment="1">
      <alignment horizontal="center" vertical="center" wrapText="1"/>
    </xf>
    <xf numFmtId="185" fontId="2" fillId="9" borderId="24" xfId="0" applyNumberFormat="1" applyFont="1" applyFill="1" applyBorder="1" applyAlignment="1">
      <alignment horizontal="center" vertical="center" wrapText="1"/>
    </xf>
    <xf numFmtId="185" fontId="2" fillId="9" borderId="12" xfId="0" applyNumberFormat="1" applyFont="1" applyFill="1" applyBorder="1" applyAlignment="1">
      <alignment horizontal="center"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0] 2" xfId="49"/>
    <cellStyle name="Millares 2" xfId="50"/>
    <cellStyle name="Millares 3" xfId="51"/>
    <cellStyle name="Millares 4" xfId="52"/>
    <cellStyle name="Millares 4 2" xfId="53"/>
    <cellStyle name="Currency" xfId="54"/>
    <cellStyle name="Currency [0]" xfId="55"/>
    <cellStyle name="Moneda [0] 2" xfId="56"/>
    <cellStyle name="Moneda 2" xfId="57"/>
    <cellStyle name="Moneda 3" xfId="58"/>
    <cellStyle name="Neutral" xfId="59"/>
    <cellStyle name="Normal 2" xfId="60"/>
    <cellStyle name="Normal 2 2" xfId="61"/>
    <cellStyle name="Normal 2 2 2" xfId="62"/>
    <cellStyle name="Normal 2 3" xfId="63"/>
    <cellStyle name="Normal 3" xfId="64"/>
    <cellStyle name="Notas" xfId="65"/>
    <cellStyle name="Percent" xfId="66"/>
    <cellStyle name="Porcentaje 2" xfId="67"/>
    <cellStyle name="Porcentual 2"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161925</xdr:rowOff>
    </xdr:from>
    <xdr:to>
      <xdr:col>1</xdr:col>
      <xdr:colOff>628650</xdr:colOff>
      <xdr:row>5</xdr:row>
      <xdr:rowOff>19050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762000" y="352425"/>
          <a:ext cx="600075" cy="695325"/>
        </a:xfrm>
        <a:prstGeom prst="rect">
          <a:avLst/>
        </a:prstGeom>
        <a:noFill/>
        <a:ln w="9525" cmpd="sng">
          <a:noFill/>
        </a:ln>
      </xdr:spPr>
    </xdr:pic>
    <xdr:clientData/>
  </xdr:twoCellAnchor>
  <xdr:twoCellAnchor editAs="oneCell">
    <xdr:from>
      <xdr:col>1</xdr:col>
      <xdr:colOff>28575</xdr:colOff>
      <xdr:row>0</xdr:row>
      <xdr:rowOff>180975</xdr:rowOff>
    </xdr:from>
    <xdr:to>
      <xdr:col>2</xdr:col>
      <xdr:colOff>257175</xdr:colOff>
      <xdr:row>5</xdr:row>
      <xdr:rowOff>76200</xdr:rowOff>
    </xdr:to>
    <xdr:pic>
      <xdr:nvPicPr>
        <xdr:cNvPr id="2" name="Imagen 2" descr="C:\Users\AUXPLANEACION03\Desktop\Gobernacion_del_quindio.jpg"/>
        <xdr:cNvPicPr preferRelativeResize="1">
          <a:picLocks noChangeAspect="1"/>
        </xdr:cNvPicPr>
      </xdr:nvPicPr>
      <xdr:blipFill>
        <a:blip r:embed="rId1"/>
        <a:stretch>
          <a:fillRect/>
        </a:stretch>
      </xdr:blipFill>
      <xdr:spPr>
        <a:xfrm>
          <a:off x="762000" y="180975"/>
          <a:ext cx="990600"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161925</xdr:rowOff>
    </xdr:from>
    <xdr:to>
      <xdr:col>1</xdr:col>
      <xdr:colOff>628650</xdr:colOff>
      <xdr:row>5</xdr:row>
      <xdr:rowOff>85725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438150" y="161925"/>
          <a:ext cx="1247775" cy="1181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19050</xdr:rowOff>
    </xdr:from>
    <xdr:to>
      <xdr:col>1</xdr:col>
      <xdr:colOff>342900</xdr:colOff>
      <xdr:row>4</xdr:row>
      <xdr:rowOff>38100</xdr:rowOff>
    </xdr:to>
    <xdr:pic>
      <xdr:nvPicPr>
        <xdr:cNvPr id="1" name="Imagen 4" descr="C:\Users\AUXPLANEACION03\Desktop\Gobernacion_del_quindio.jpg"/>
        <xdr:cNvPicPr preferRelativeResize="1">
          <a:picLocks noChangeAspect="1"/>
        </xdr:cNvPicPr>
      </xdr:nvPicPr>
      <xdr:blipFill>
        <a:blip r:embed="rId1"/>
        <a:stretch>
          <a:fillRect/>
        </a:stretch>
      </xdr:blipFill>
      <xdr:spPr>
        <a:xfrm>
          <a:off x="704850" y="19050"/>
          <a:ext cx="542925" cy="781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714375</xdr:colOff>
      <xdr:row>0</xdr:row>
      <xdr:rowOff>0</xdr:rowOff>
    </xdr:from>
    <xdr:to>
      <xdr:col>2</xdr:col>
      <xdr:colOff>304800</xdr:colOff>
      <xdr:row>4</xdr:row>
      <xdr:rowOff>0</xdr:rowOff>
    </xdr:to>
    <xdr:pic>
      <xdr:nvPicPr>
        <xdr:cNvPr id="1" name="Imagen 4" descr="C:\Users\AUXPLANEACION03\Desktop\Gobernacion_del_quindio.jpg"/>
        <xdr:cNvPicPr preferRelativeResize="1">
          <a:picLocks noChangeAspect="1"/>
        </xdr:cNvPicPr>
      </xdr:nvPicPr>
      <xdr:blipFill>
        <a:blip r:embed="rId1"/>
        <a:stretch>
          <a:fillRect/>
        </a:stretch>
      </xdr:blipFill>
      <xdr:spPr>
        <a:xfrm>
          <a:off x="714375" y="0"/>
          <a:ext cx="742950" cy="1066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180975</xdr:rowOff>
    </xdr:from>
    <xdr:to>
      <xdr:col>2</xdr:col>
      <xdr:colOff>304800</xdr:colOff>
      <xdr:row>5</xdr:row>
      <xdr:rowOff>76200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009650" y="180975"/>
          <a:ext cx="990600" cy="923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95250</xdr:rowOff>
    </xdr:from>
    <xdr:to>
      <xdr:col>1</xdr:col>
      <xdr:colOff>209550</xdr:colOff>
      <xdr:row>5</xdr:row>
      <xdr:rowOff>114300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552450" y="95250"/>
          <a:ext cx="847725" cy="10477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0</xdr:row>
      <xdr:rowOff>76200</xdr:rowOff>
    </xdr:from>
    <xdr:to>
      <xdr:col>2</xdr:col>
      <xdr:colOff>1076325</xdr:colOff>
      <xdr:row>4</xdr:row>
      <xdr:rowOff>85725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362075" y="76200"/>
          <a:ext cx="828675" cy="847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276225</xdr:colOff>
      <xdr:row>0</xdr:row>
      <xdr:rowOff>85725</xdr:rowOff>
    </xdr:from>
    <xdr:to>
      <xdr:col>3</xdr:col>
      <xdr:colOff>209550</xdr:colOff>
      <xdr:row>5</xdr:row>
      <xdr:rowOff>133350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381125" y="85725"/>
          <a:ext cx="9144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0</xdr:row>
      <xdr:rowOff>0</xdr:rowOff>
    </xdr:from>
    <xdr:to>
      <xdr:col>2</xdr:col>
      <xdr:colOff>342900</xdr:colOff>
      <xdr:row>5</xdr:row>
      <xdr:rowOff>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695325" y="0"/>
          <a:ext cx="71437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0</xdr:row>
      <xdr:rowOff>95250</xdr:rowOff>
    </xdr:from>
    <xdr:to>
      <xdr:col>3</xdr:col>
      <xdr:colOff>285750</xdr:colOff>
      <xdr:row>5</xdr:row>
      <xdr:rowOff>19050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438275" y="95250"/>
          <a:ext cx="95250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390525</xdr:colOff>
      <xdr:row>0</xdr:row>
      <xdr:rowOff>85725</xdr:rowOff>
    </xdr:from>
    <xdr:to>
      <xdr:col>3</xdr:col>
      <xdr:colOff>419100</xdr:colOff>
      <xdr:row>5</xdr:row>
      <xdr:rowOff>85725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533525" y="85725"/>
          <a:ext cx="1066800" cy="1181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2</xdr:col>
      <xdr:colOff>600075</xdr:colOff>
      <xdr:row>3</xdr:row>
      <xdr:rowOff>152400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866775" y="0"/>
          <a:ext cx="838200"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95250</xdr:rowOff>
    </xdr:from>
    <xdr:to>
      <xdr:col>2</xdr:col>
      <xdr:colOff>885825</xdr:colOff>
      <xdr:row>5</xdr:row>
      <xdr:rowOff>104775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085850" y="95250"/>
          <a:ext cx="933450" cy="1266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95250</xdr:rowOff>
    </xdr:from>
    <xdr:to>
      <xdr:col>2</xdr:col>
      <xdr:colOff>704850</xdr:colOff>
      <xdr:row>4</xdr:row>
      <xdr:rowOff>114300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019175" y="95250"/>
          <a:ext cx="838200"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4</xdr:col>
      <xdr:colOff>0</xdr:colOff>
      <xdr:row>4</xdr:row>
      <xdr:rowOff>152400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523875" y="0"/>
          <a:ext cx="1143000" cy="1114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85725</xdr:rowOff>
    </xdr:from>
    <xdr:to>
      <xdr:col>2</xdr:col>
      <xdr:colOff>581025</xdr:colOff>
      <xdr:row>4</xdr:row>
      <xdr:rowOff>19050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819150" y="85725"/>
          <a:ext cx="84772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J50"/>
  <sheetViews>
    <sheetView tabSelected="1" zoomScale="55" zoomScaleNormal="55" zoomScalePageLayoutView="0" workbookViewId="0" topLeftCell="AR1">
      <pane ySplit="15" topLeftCell="A16" activePane="bottomLeft" state="frozen"/>
      <selection pane="topLeft" activeCell="A1" sqref="A1"/>
      <selection pane="bottomLeft" activeCell="BJ19" sqref="BJ19:BJ21"/>
    </sheetView>
  </sheetViews>
  <sheetFormatPr defaultColWidth="11.421875" defaultRowHeight="15"/>
  <cols>
    <col min="1" max="1" width="11.00390625" style="4" customWidth="1"/>
    <col min="2" max="2" width="11.421875" style="4" customWidth="1"/>
    <col min="3" max="3" width="6.57421875" style="4" customWidth="1"/>
    <col min="4" max="4" width="11.57421875" style="4" bestFit="1" customWidth="1"/>
    <col min="5" max="5" width="17.140625" style="4" customWidth="1"/>
    <col min="6" max="6" width="11.421875" style="4" hidden="1" customWidth="1"/>
    <col min="7" max="7" width="10.57421875" style="4" customWidth="1"/>
    <col min="8" max="8" width="18.7109375" style="4" customWidth="1"/>
    <col min="9" max="9" width="1.28515625" style="4" customWidth="1"/>
    <col min="10" max="10" width="14.421875" style="4" customWidth="1"/>
    <col min="11" max="11" width="19.00390625" style="4" customWidth="1"/>
    <col min="12" max="12" width="14.8515625" style="4" customWidth="1"/>
    <col min="13" max="13" width="12.57421875" style="4" customWidth="1"/>
    <col min="14" max="14" width="12.57421875" style="125" customWidth="1"/>
    <col min="15" max="15" width="21.421875" style="4" customWidth="1"/>
    <col min="16" max="16" width="11.7109375" style="4" customWidth="1"/>
    <col min="17" max="17" width="21.57421875" style="4" customWidth="1"/>
    <col min="18" max="18" width="11.57421875" style="4" bestFit="1" customWidth="1"/>
    <col min="19" max="19" width="18.7109375" style="4" customWidth="1"/>
    <col min="20" max="20" width="26.8515625" style="4" customWidth="1"/>
    <col min="21" max="21" width="27.421875" style="4" customWidth="1"/>
    <col min="22" max="22" width="25.00390625" style="4" customWidth="1"/>
    <col min="23" max="23" width="24.421875" style="220" customWidth="1"/>
    <col min="24" max="25" width="24.421875" style="290" customWidth="1"/>
    <col min="26" max="26" width="14.7109375" style="4" customWidth="1"/>
    <col min="27" max="27" width="16.140625" style="4" customWidth="1"/>
    <col min="28" max="28" width="12.7109375" style="4" customWidth="1"/>
    <col min="29" max="29" width="12.7109375" style="125" customWidth="1"/>
    <col min="30" max="30" width="11.421875" style="4" customWidth="1"/>
    <col min="31" max="31" width="11.421875" style="125" customWidth="1"/>
    <col min="32" max="32" width="11.57421875" style="4" bestFit="1" customWidth="1"/>
    <col min="33" max="33" width="11.57421875" style="125" customWidth="1"/>
    <col min="34" max="34" width="11.57421875" style="4" bestFit="1" customWidth="1"/>
    <col min="35" max="35" width="11.57421875" style="125" customWidth="1"/>
    <col min="36" max="36" width="11.421875" style="4" customWidth="1"/>
    <col min="37" max="37" width="11.421875" style="125" customWidth="1"/>
    <col min="38" max="38" width="11.57421875" style="4" bestFit="1" customWidth="1"/>
    <col min="39" max="39" width="11.57421875" style="125" customWidth="1"/>
    <col min="40" max="40" width="11.57421875" style="4" bestFit="1" customWidth="1"/>
    <col min="41" max="41" width="11.57421875" style="125" customWidth="1"/>
    <col min="42" max="42" width="11.57421875" style="4" bestFit="1" customWidth="1"/>
    <col min="43" max="43" width="11.57421875" style="125" customWidth="1"/>
    <col min="44" max="44" width="11.421875" style="4" customWidth="1"/>
    <col min="45" max="45" width="11.421875" style="125" customWidth="1"/>
    <col min="46" max="46" width="11.421875" style="4" customWidth="1"/>
    <col min="47" max="47" width="11.421875" style="125" customWidth="1"/>
    <col min="48" max="48" width="11.421875" style="4" customWidth="1"/>
    <col min="49" max="49" width="11.421875" style="125" customWidth="1"/>
    <col min="50" max="50" width="11.57421875" style="4" bestFit="1" customWidth="1"/>
    <col min="51" max="51" width="11.57421875" style="125" customWidth="1"/>
    <col min="52" max="57" width="21.00390625" style="4" customWidth="1"/>
    <col min="58" max="58" width="22.7109375" style="5" customWidth="1"/>
    <col min="59" max="59" width="22.7109375" style="288" customWidth="1"/>
    <col min="60" max="60" width="22.7109375" style="5" customWidth="1"/>
    <col min="61" max="61" width="22.7109375" style="288" customWidth="1"/>
    <col min="62" max="62" width="28.7109375" style="4" customWidth="1"/>
    <col min="63" max="16384" width="11.421875" style="4" customWidth="1"/>
  </cols>
  <sheetData>
    <row r="1" spans="1:62" ht="15" customHeight="1">
      <c r="A1" s="3047" t="s">
        <v>111</v>
      </c>
      <c r="B1" s="3047"/>
      <c r="C1" s="3047"/>
      <c r="D1" s="3047"/>
      <c r="E1" s="3047"/>
      <c r="F1" s="3047"/>
      <c r="G1" s="3047"/>
      <c r="H1" s="3047"/>
      <c r="I1" s="3047"/>
      <c r="J1" s="3047"/>
      <c r="K1" s="3047"/>
      <c r="L1" s="3047"/>
      <c r="M1" s="3047"/>
      <c r="N1" s="3047"/>
      <c r="O1" s="3047"/>
      <c r="P1" s="3047"/>
      <c r="Q1" s="3047"/>
      <c r="R1" s="3047"/>
      <c r="S1" s="3047"/>
      <c r="T1" s="3047"/>
      <c r="U1" s="3047"/>
      <c r="V1" s="3047"/>
      <c r="W1" s="3047"/>
      <c r="X1" s="3047"/>
      <c r="Y1" s="3047"/>
      <c r="Z1" s="3047"/>
      <c r="AA1" s="3047"/>
      <c r="AB1" s="3047"/>
      <c r="AC1" s="3047"/>
      <c r="AD1" s="3047"/>
      <c r="AE1" s="3047"/>
      <c r="AF1" s="3047"/>
      <c r="AG1" s="3047"/>
      <c r="AH1" s="3047"/>
      <c r="AI1" s="3047"/>
      <c r="AJ1" s="3047"/>
      <c r="AK1" s="3047"/>
      <c r="AL1" s="3047"/>
      <c r="AM1" s="3047"/>
      <c r="AN1" s="3047"/>
      <c r="AO1" s="3047"/>
      <c r="AP1" s="3047"/>
      <c r="AQ1" s="3047"/>
      <c r="AR1" s="3047"/>
      <c r="AS1" s="3047"/>
      <c r="AT1" s="3047"/>
      <c r="AU1" s="3047"/>
      <c r="AV1" s="3047"/>
      <c r="AW1" s="3047"/>
      <c r="AX1" s="3047"/>
      <c r="AY1" s="3047"/>
      <c r="AZ1" s="3047"/>
      <c r="BA1" s="3047"/>
      <c r="BB1" s="3047"/>
      <c r="BC1" s="3047"/>
      <c r="BD1" s="3047"/>
      <c r="BE1" s="3047"/>
      <c r="BF1" s="3047"/>
      <c r="BG1" s="2875"/>
      <c r="BH1" s="4"/>
      <c r="BI1" s="2633" t="s">
        <v>97</v>
      </c>
      <c r="BJ1" s="2633" t="s">
        <v>112</v>
      </c>
    </row>
    <row r="2" spans="1:62" ht="15">
      <c r="A2" s="3047"/>
      <c r="B2" s="3047"/>
      <c r="C2" s="3047"/>
      <c r="D2" s="3047"/>
      <c r="E2" s="3047"/>
      <c r="F2" s="3047"/>
      <c r="G2" s="3047"/>
      <c r="H2" s="3047"/>
      <c r="I2" s="3047"/>
      <c r="J2" s="3047"/>
      <c r="K2" s="3047"/>
      <c r="L2" s="3047"/>
      <c r="M2" s="3047"/>
      <c r="N2" s="3047"/>
      <c r="O2" s="3047"/>
      <c r="P2" s="3047"/>
      <c r="Q2" s="3047"/>
      <c r="R2" s="3047"/>
      <c r="S2" s="3047"/>
      <c r="T2" s="3047"/>
      <c r="U2" s="3047"/>
      <c r="V2" s="3047"/>
      <c r="W2" s="3047"/>
      <c r="X2" s="3047"/>
      <c r="Y2" s="3047"/>
      <c r="Z2" s="3047"/>
      <c r="AA2" s="3047"/>
      <c r="AB2" s="3047"/>
      <c r="AC2" s="3047"/>
      <c r="AD2" s="3047"/>
      <c r="AE2" s="3047"/>
      <c r="AF2" s="3047"/>
      <c r="AG2" s="3047"/>
      <c r="AH2" s="3047"/>
      <c r="AI2" s="3047"/>
      <c r="AJ2" s="3047"/>
      <c r="AK2" s="3047"/>
      <c r="AL2" s="3047"/>
      <c r="AM2" s="3047"/>
      <c r="AN2" s="3047"/>
      <c r="AO2" s="3047"/>
      <c r="AP2" s="3047"/>
      <c r="AQ2" s="3047"/>
      <c r="AR2" s="3047"/>
      <c r="AS2" s="3047"/>
      <c r="AT2" s="3047"/>
      <c r="AU2" s="3047"/>
      <c r="AV2" s="3047"/>
      <c r="AW2" s="3047"/>
      <c r="AX2" s="3047"/>
      <c r="AY2" s="3047"/>
      <c r="AZ2" s="3047"/>
      <c r="BA2" s="3047"/>
      <c r="BB2" s="3047"/>
      <c r="BC2" s="3047"/>
      <c r="BD2" s="3047"/>
      <c r="BE2" s="3047"/>
      <c r="BF2" s="3047"/>
      <c r="BG2" s="2875"/>
      <c r="BH2" s="4"/>
      <c r="BI2" s="2634" t="s">
        <v>98</v>
      </c>
      <c r="BJ2" s="2635">
        <v>5</v>
      </c>
    </row>
    <row r="3" spans="1:62" ht="15">
      <c r="A3" s="3047"/>
      <c r="B3" s="3047"/>
      <c r="C3" s="3047"/>
      <c r="D3" s="3047"/>
      <c r="E3" s="3047"/>
      <c r="F3" s="3047"/>
      <c r="G3" s="3047"/>
      <c r="H3" s="3047"/>
      <c r="I3" s="3047"/>
      <c r="J3" s="3047"/>
      <c r="K3" s="3047"/>
      <c r="L3" s="3047"/>
      <c r="M3" s="3047"/>
      <c r="N3" s="3047"/>
      <c r="O3" s="3047"/>
      <c r="P3" s="3047"/>
      <c r="Q3" s="3047"/>
      <c r="R3" s="3047"/>
      <c r="S3" s="3047"/>
      <c r="T3" s="3047"/>
      <c r="U3" s="3047"/>
      <c r="V3" s="3047"/>
      <c r="W3" s="3047"/>
      <c r="X3" s="3047"/>
      <c r="Y3" s="3047"/>
      <c r="Z3" s="3047"/>
      <c r="AA3" s="3047"/>
      <c r="AB3" s="3047"/>
      <c r="AC3" s="3047"/>
      <c r="AD3" s="3047"/>
      <c r="AE3" s="3047"/>
      <c r="AF3" s="3047"/>
      <c r="AG3" s="3047"/>
      <c r="AH3" s="3047"/>
      <c r="AI3" s="3047"/>
      <c r="AJ3" s="3047"/>
      <c r="AK3" s="3047"/>
      <c r="AL3" s="3047"/>
      <c r="AM3" s="3047"/>
      <c r="AN3" s="3047"/>
      <c r="AO3" s="3047"/>
      <c r="AP3" s="3047"/>
      <c r="AQ3" s="3047"/>
      <c r="AR3" s="3047"/>
      <c r="AS3" s="3047"/>
      <c r="AT3" s="3047"/>
      <c r="AU3" s="3047"/>
      <c r="AV3" s="3047"/>
      <c r="AW3" s="3047"/>
      <c r="AX3" s="3047"/>
      <c r="AY3" s="3047"/>
      <c r="AZ3" s="3047"/>
      <c r="BA3" s="3047"/>
      <c r="BB3" s="3047"/>
      <c r="BC3" s="3047"/>
      <c r="BD3" s="3047"/>
      <c r="BE3" s="3047"/>
      <c r="BF3" s="3047"/>
      <c r="BG3" s="2875"/>
      <c r="BH3" s="4"/>
      <c r="BI3" s="2633" t="s">
        <v>99</v>
      </c>
      <c r="BJ3" s="2636" t="s">
        <v>2156</v>
      </c>
    </row>
    <row r="4" spans="1:62" s="24" customFormat="1" ht="21" customHeight="1">
      <c r="A4" s="3048"/>
      <c r="B4" s="3048"/>
      <c r="C4" s="3048"/>
      <c r="D4" s="3048"/>
      <c r="E4" s="3048"/>
      <c r="F4" s="3048"/>
      <c r="G4" s="3048"/>
      <c r="H4" s="3048"/>
      <c r="I4" s="3048"/>
      <c r="J4" s="3048"/>
      <c r="K4" s="3048"/>
      <c r="L4" s="3048"/>
      <c r="M4" s="3048"/>
      <c r="N4" s="3048"/>
      <c r="O4" s="3048"/>
      <c r="P4" s="3048"/>
      <c r="Q4" s="3048"/>
      <c r="R4" s="3048"/>
      <c r="S4" s="3048"/>
      <c r="T4" s="3048"/>
      <c r="U4" s="3048"/>
      <c r="V4" s="3048"/>
      <c r="W4" s="3048"/>
      <c r="X4" s="3048"/>
      <c r="Y4" s="3048"/>
      <c r="Z4" s="3048"/>
      <c r="AA4" s="3048"/>
      <c r="AB4" s="3048"/>
      <c r="AC4" s="3048"/>
      <c r="AD4" s="3048"/>
      <c r="AE4" s="3048"/>
      <c r="AF4" s="3048"/>
      <c r="AG4" s="3048"/>
      <c r="AH4" s="3048"/>
      <c r="AI4" s="3048"/>
      <c r="AJ4" s="3048"/>
      <c r="AK4" s="3048"/>
      <c r="AL4" s="3048"/>
      <c r="AM4" s="3048"/>
      <c r="AN4" s="3048"/>
      <c r="AO4" s="3048"/>
      <c r="AP4" s="3048"/>
      <c r="AQ4" s="3048"/>
      <c r="AR4" s="3048"/>
      <c r="AS4" s="3048"/>
      <c r="AT4" s="3048"/>
      <c r="AU4" s="3048"/>
      <c r="AV4" s="3048"/>
      <c r="AW4" s="3048"/>
      <c r="AX4" s="3048"/>
      <c r="AY4" s="3048"/>
      <c r="AZ4" s="3048"/>
      <c r="BA4" s="3048"/>
      <c r="BB4" s="3048"/>
      <c r="BC4" s="3048"/>
      <c r="BD4" s="3048"/>
      <c r="BE4" s="3048"/>
      <c r="BF4" s="3048"/>
      <c r="BG4" s="2876"/>
      <c r="BI4" s="842" t="s">
        <v>100</v>
      </c>
      <c r="BJ4" s="2637" t="s">
        <v>113</v>
      </c>
    </row>
    <row r="5" spans="1:62" ht="15">
      <c r="A5" s="3049" t="s">
        <v>0</v>
      </c>
      <c r="B5" s="3049"/>
      <c r="C5" s="3049"/>
      <c r="D5" s="3049"/>
      <c r="E5" s="3049"/>
      <c r="F5" s="3049"/>
      <c r="G5" s="3049"/>
      <c r="H5" s="3049"/>
      <c r="I5" s="3049"/>
      <c r="J5" s="3049"/>
      <c r="K5" s="3049"/>
      <c r="L5" s="3049"/>
      <c r="M5" s="3049"/>
      <c r="N5" s="2877"/>
      <c r="O5" s="2877"/>
      <c r="P5" s="2877"/>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c r="BH5" s="3049"/>
      <c r="BI5" s="3049"/>
      <c r="BJ5" s="3049"/>
    </row>
    <row r="6" spans="1:62" ht="14.25" customHeight="1" thickBot="1">
      <c r="A6" s="3049"/>
      <c r="B6" s="3049"/>
      <c r="C6" s="3049"/>
      <c r="D6" s="3049"/>
      <c r="E6" s="3049"/>
      <c r="F6" s="3049"/>
      <c r="G6" s="3049"/>
      <c r="H6" s="3049"/>
      <c r="I6" s="3049"/>
      <c r="J6" s="3049"/>
      <c r="K6" s="3049"/>
      <c r="L6" s="3049"/>
      <c r="M6" s="3049"/>
      <c r="N6" s="2877"/>
      <c r="O6" s="2877"/>
      <c r="P6" s="2878"/>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2879"/>
      <c r="BA6" s="2879"/>
      <c r="BB6" s="2879"/>
      <c r="BC6" s="2879"/>
      <c r="BD6" s="2879"/>
      <c r="BE6" s="2879"/>
      <c r="BF6" s="3050"/>
      <c r="BG6" s="3051"/>
      <c r="BH6" s="3051"/>
      <c r="BI6" s="3051"/>
      <c r="BJ6" s="3052"/>
    </row>
    <row r="7" spans="1:62" ht="22.5" customHeight="1">
      <c r="A7" s="3053" t="s">
        <v>3</v>
      </c>
      <c r="B7" s="3053" t="s">
        <v>4</v>
      </c>
      <c r="C7" s="3053"/>
      <c r="D7" s="3053" t="s">
        <v>3</v>
      </c>
      <c r="E7" s="3053" t="s">
        <v>5</v>
      </c>
      <c r="F7" s="3053"/>
      <c r="G7" s="3053" t="s">
        <v>3</v>
      </c>
      <c r="H7" s="3053" t="s">
        <v>6</v>
      </c>
      <c r="I7" s="3053"/>
      <c r="J7" s="3053" t="s">
        <v>3</v>
      </c>
      <c r="K7" s="3053" t="s">
        <v>7</v>
      </c>
      <c r="L7" s="3053" t="s">
        <v>8</v>
      </c>
      <c r="M7" s="3034" t="s">
        <v>9</v>
      </c>
      <c r="N7" s="3036"/>
      <c r="O7" s="3053" t="s">
        <v>10</v>
      </c>
      <c r="P7" s="3040" t="s">
        <v>37</v>
      </c>
      <c r="Q7" s="3053" t="s">
        <v>1</v>
      </c>
      <c r="R7" s="3053" t="s">
        <v>11</v>
      </c>
      <c r="S7" s="3053" t="s">
        <v>12</v>
      </c>
      <c r="T7" s="3053" t="s">
        <v>13</v>
      </c>
      <c r="U7" s="3053" t="s">
        <v>14</v>
      </c>
      <c r="V7" s="3053" t="s">
        <v>15</v>
      </c>
      <c r="W7" s="3034" t="s">
        <v>12</v>
      </c>
      <c r="X7" s="3035"/>
      <c r="Y7" s="3036"/>
      <c r="Z7" s="3040" t="s">
        <v>3</v>
      </c>
      <c r="AA7" s="3053" t="s">
        <v>16</v>
      </c>
      <c r="AB7" s="3057" t="s">
        <v>17</v>
      </c>
      <c r="AC7" s="3058"/>
      <c r="AD7" s="3058"/>
      <c r="AE7" s="3058"/>
      <c r="AF7" s="3058"/>
      <c r="AG7" s="3058"/>
      <c r="AH7" s="3058"/>
      <c r="AI7" s="3058"/>
      <c r="AJ7" s="3058"/>
      <c r="AK7" s="3058"/>
      <c r="AL7" s="3058"/>
      <c r="AM7" s="3059"/>
      <c r="AN7" s="3057" t="s">
        <v>18</v>
      </c>
      <c r="AO7" s="3058"/>
      <c r="AP7" s="3058"/>
      <c r="AQ7" s="3058"/>
      <c r="AR7" s="3058"/>
      <c r="AS7" s="3058"/>
      <c r="AT7" s="3058"/>
      <c r="AU7" s="3058"/>
      <c r="AV7" s="3058"/>
      <c r="AW7" s="3058"/>
      <c r="AX7" s="3058"/>
      <c r="AY7" s="3059"/>
      <c r="AZ7" s="3060" t="s">
        <v>119</v>
      </c>
      <c r="BA7" s="3061"/>
      <c r="BB7" s="3061"/>
      <c r="BC7" s="3061"/>
      <c r="BD7" s="3061"/>
      <c r="BE7" s="3062"/>
      <c r="BF7" s="3043" t="s">
        <v>19</v>
      </c>
      <c r="BG7" s="3044"/>
      <c r="BH7" s="3043" t="s">
        <v>20</v>
      </c>
      <c r="BI7" s="3044"/>
      <c r="BJ7" s="3056" t="s">
        <v>21</v>
      </c>
    </row>
    <row r="8" spans="1:62" ht="31.5" customHeight="1">
      <c r="A8" s="3053"/>
      <c r="B8" s="3053"/>
      <c r="C8" s="3053"/>
      <c r="D8" s="3053"/>
      <c r="E8" s="3053"/>
      <c r="F8" s="3053"/>
      <c r="G8" s="3053"/>
      <c r="H8" s="3053"/>
      <c r="I8" s="3053"/>
      <c r="J8" s="3053"/>
      <c r="K8" s="3053"/>
      <c r="L8" s="3053"/>
      <c r="M8" s="3054"/>
      <c r="N8" s="3055"/>
      <c r="O8" s="3053"/>
      <c r="P8" s="3041"/>
      <c r="Q8" s="3053"/>
      <c r="R8" s="3053"/>
      <c r="S8" s="3053"/>
      <c r="T8" s="3053"/>
      <c r="U8" s="3053"/>
      <c r="V8" s="3053"/>
      <c r="W8" s="3037"/>
      <c r="X8" s="3038"/>
      <c r="Y8" s="3039"/>
      <c r="Z8" s="3041"/>
      <c r="AA8" s="3053"/>
      <c r="AB8" s="3029" t="s">
        <v>22</v>
      </c>
      <c r="AC8" s="3030"/>
      <c r="AD8" s="3029" t="s">
        <v>23</v>
      </c>
      <c r="AE8" s="3030"/>
      <c r="AF8" s="3029" t="s">
        <v>24</v>
      </c>
      <c r="AG8" s="3030"/>
      <c r="AH8" s="3029" t="s">
        <v>25</v>
      </c>
      <c r="AI8" s="3030"/>
      <c r="AJ8" s="3029" t="s">
        <v>26</v>
      </c>
      <c r="AK8" s="3030"/>
      <c r="AL8" s="3029" t="s">
        <v>27</v>
      </c>
      <c r="AM8" s="3030"/>
      <c r="AN8" s="3029" t="s">
        <v>28</v>
      </c>
      <c r="AO8" s="3030"/>
      <c r="AP8" s="3029" t="s">
        <v>29</v>
      </c>
      <c r="AQ8" s="3030"/>
      <c r="AR8" s="3029" t="s">
        <v>30</v>
      </c>
      <c r="AS8" s="3030"/>
      <c r="AT8" s="3029" t="s">
        <v>31</v>
      </c>
      <c r="AU8" s="3030"/>
      <c r="AV8" s="3029" t="s">
        <v>32</v>
      </c>
      <c r="AW8" s="3030"/>
      <c r="AX8" s="3029" t="s">
        <v>33</v>
      </c>
      <c r="AY8" s="3030"/>
      <c r="AZ8" s="3031" t="s">
        <v>116</v>
      </c>
      <c r="BA8" s="3032" t="s">
        <v>120</v>
      </c>
      <c r="BB8" s="3031" t="s">
        <v>121</v>
      </c>
      <c r="BC8" s="3033" t="s">
        <v>117</v>
      </c>
      <c r="BD8" s="3031" t="s">
        <v>118</v>
      </c>
      <c r="BE8" s="3026" t="s">
        <v>122</v>
      </c>
      <c r="BF8" s="3045"/>
      <c r="BG8" s="3046"/>
      <c r="BH8" s="3045"/>
      <c r="BI8" s="3046"/>
      <c r="BJ8" s="3056"/>
    </row>
    <row r="9" spans="1:62" ht="36" customHeight="1">
      <c r="A9" s="3053"/>
      <c r="B9" s="3053"/>
      <c r="C9" s="3053"/>
      <c r="D9" s="3053"/>
      <c r="E9" s="3053"/>
      <c r="F9" s="3053"/>
      <c r="G9" s="3053"/>
      <c r="H9" s="3053"/>
      <c r="I9" s="3053"/>
      <c r="J9" s="3053"/>
      <c r="K9" s="3053"/>
      <c r="L9" s="3053"/>
      <c r="M9" s="213" t="s">
        <v>106</v>
      </c>
      <c r="N9" s="92" t="s">
        <v>107</v>
      </c>
      <c r="O9" s="3053"/>
      <c r="P9" s="3042"/>
      <c r="Q9" s="3053"/>
      <c r="R9" s="3053"/>
      <c r="S9" s="3053"/>
      <c r="T9" s="3053"/>
      <c r="U9" s="3053"/>
      <c r="V9" s="3053"/>
      <c r="W9" s="213" t="s">
        <v>105</v>
      </c>
      <c r="X9" s="92" t="s">
        <v>115</v>
      </c>
      <c r="Y9" s="92" t="s">
        <v>114</v>
      </c>
      <c r="Z9" s="3042"/>
      <c r="AA9" s="3053"/>
      <c r="AB9" s="213" t="s">
        <v>106</v>
      </c>
      <c r="AC9" s="122" t="s">
        <v>107</v>
      </c>
      <c r="AD9" s="213" t="s">
        <v>106</v>
      </c>
      <c r="AE9" s="122" t="s">
        <v>107</v>
      </c>
      <c r="AF9" s="213" t="s">
        <v>106</v>
      </c>
      <c r="AG9" s="122" t="s">
        <v>107</v>
      </c>
      <c r="AH9" s="213" t="s">
        <v>106</v>
      </c>
      <c r="AI9" s="122" t="s">
        <v>107</v>
      </c>
      <c r="AJ9" s="213" t="s">
        <v>106</v>
      </c>
      <c r="AK9" s="122" t="s">
        <v>107</v>
      </c>
      <c r="AL9" s="213" t="s">
        <v>106</v>
      </c>
      <c r="AM9" s="122" t="s">
        <v>107</v>
      </c>
      <c r="AN9" s="213" t="s">
        <v>106</v>
      </c>
      <c r="AO9" s="122" t="s">
        <v>107</v>
      </c>
      <c r="AP9" s="213" t="s">
        <v>106</v>
      </c>
      <c r="AQ9" s="122" t="s">
        <v>107</v>
      </c>
      <c r="AR9" s="213" t="s">
        <v>106</v>
      </c>
      <c r="AS9" s="122" t="s">
        <v>107</v>
      </c>
      <c r="AT9" s="213" t="s">
        <v>106</v>
      </c>
      <c r="AU9" s="122" t="s">
        <v>107</v>
      </c>
      <c r="AV9" s="213" t="s">
        <v>106</v>
      </c>
      <c r="AW9" s="122" t="s">
        <v>107</v>
      </c>
      <c r="AX9" s="213" t="s">
        <v>106</v>
      </c>
      <c r="AY9" s="122" t="s">
        <v>107</v>
      </c>
      <c r="AZ9" s="3031"/>
      <c r="BA9" s="3032"/>
      <c r="BB9" s="3031"/>
      <c r="BC9" s="3033"/>
      <c r="BD9" s="3031"/>
      <c r="BE9" s="3027"/>
      <c r="BF9" s="212" t="s">
        <v>106</v>
      </c>
      <c r="BG9" s="117" t="s">
        <v>107</v>
      </c>
      <c r="BH9" s="212" t="s">
        <v>106</v>
      </c>
      <c r="BI9" s="117" t="s">
        <v>107</v>
      </c>
      <c r="BJ9" s="3056"/>
    </row>
    <row r="10" spans="1:62" ht="11.25" customHeight="1" hidden="1">
      <c r="A10" s="3053"/>
      <c r="B10" s="3053"/>
      <c r="C10" s="3053"/>
      <c r="D10" s="3053"/>
      <c r="E10" s="3053"/>
      <c r="F10" s="3053"/>
      <c r="G10" s="3053"/>
      <c r="H10" s="3053"/>
      <c r="I10" s="3053"/>
      <c r="J10" s="3053"/>
      <c r="K10" s="3053"/>
      <c r="L10" s="3053"/>
      <c r="M10" s="94"/>
      <c r="N10" s="176"/>
      <c r="O10" s="3053"/>
      <c r="P10" s="213"/>
      <c r="Q10" s="3053"/>
      <c r="R10" s="3053"/>
      <c r="S10" s="3053"/>
      <c r="T10" s="3053"/>
      <c r="U10" s="3053"/>
      <c r="V10" s="3053"/>
      <c r="W10" s="213"/>
      <c r="X10" s="92"/>
      <c r="Y10" s="92"/>
      <c r="Z10" s="213"/>
      <c r="AA10" s="3053"/>
      <c r="AB10" s="93"/>
      <c r="AC10" s="117"/>
      <c r="AD10" s="93"/>
      <c r="AE10" s="248"/>
      <c r="AF10" s="93"/>
      <c r="AG10" s="117"/>
      <c r="AH10" s="93"/>
      <c r="AI10" s="248"/>
      <c r="AJ10" s="93"/>
      <c r="AK10" s="117"/>
      <c r="AL10" s="93"/>
      <c r="AM10" s="117"/>
      <c r="AN10" s="93"/>
      <c r="AO10" s="248"/>
      <c r="AP10" s="93"/>
      <c r="AQ10" s="117"/>
      <c r="AR10" s="93"/>
      <c r="AS10" s="248"/>
      <c r="AT10" s="93"/>
      <c r="AU10" s="117"/>
      <c r="AV10" s="93"/>
      <c r="AW10" s="248"/>
      <c r="AX10" s="93"/>
      <c r="AY10" s="117"/>
      <c r="AZ10" s="212"/>
      <c r="BA10" s="212"/>
      <c r="BB10" s="212"/>
      <c r="BC10" s="212"/>
      <c r="BD10" s="212"/>
      <c r="BE10" s="212"/>
      <c r="BF10" s="212"/>
      <c r="BG10" s="117"/>
      <c r="BH10" s="212"/>
      <c r="BI10" s="117"/>
      <c r="BJ10" s="3056"/>
    </row>
    <row r="11" spans="1:62" ht="27.75" customHeight="1" hidden="1">
      <c r="A11" s="3053"/>
      <c r="B11" s="3053"/>
      <c r="C11" s="3053"/>
      <c r="D11" s="3053"/>
      <c r="E11" s="3053"/>
      <c r="F11" s="3053"/>
      <c r="G11" s="3053"/>
      <c r="H11" s="3053"/>
      <c r="I11" s="3053"/>
      <c r="J11" s="3053"/>
      <c r="K11" s="3053"/>
      <c r="L11" s="3053"/>
      <c r="M11" s="94"/>
      <c r="N11" s="176"/>
      <c r="O11" s="3053"/>
      <c r="P11" s="213"/>
      <c r="Q11" s="3053"/>
      <c r="R11" s="3053"/>
      <c r="S11" s="3053"/>
      <c r="T11" s="3053"/>
      <c r="U11" s="3053"/>
      <c r="V11" s="3053"/>
      <c r="W11" s="213"/>
      <c r="X11" s="92"/>
      <c r="Y11" s="92"/>
      <c r="Z11" s="213"/>
      <c r="AA11" s="3053"/>
      <c r="AB11" s="93"/>
      <c r="AC11" s="117"/>
      <c r="AD11" s="93"/>
      <c r="AE11" s="248"/>
      <c r="AF11" s="93"/>
      <c r="AG11" s="117"/>
      <c r="AH11" s="93"/>
      <c r="AI11" s="248"/>
      <c r="AJ11" s="93"/>
      <c r="AK11" s="117"/>
      <c r="AL11" s="93"/>
      <c r="AM11" s="117"/>
      <c r="AN11" s="93"/>
      <c r="AO11" s="248"/>
      <c r="AP11" s="93"/>
      <c r="AQ11" s="117"/>
      <c r="AR11" s="93"/>
      <c r="AS11" s="248"/>
      <c r="AT11" s="93"/>
      <c r="AU11" s="117"/>
      <c r="AV11" s="93"/>
      <c r="AW11" s="248"/>
      <c r="AX11" s="93"/>
      <c r="AY11" s="117"/>
      <c r="AZ11" s="212"/>
      <c r="BA11" s="212"/>
      <c r="BB11" s="212"/>
      <c r="BC11" s="212"/>
      <c r="BD11" s="212"/>
      <c r="BE11" s="212"/>
      <c r="BF11" s="212"/>
      <c r="BG11" s="117"/>
      <c r="BH11" s="212"/>
      <c r="BI11" s="117"/>
      <c r="BJ11" s="3056"/>
    </row>
    <row r="12" spans="1:62" ht="5.25" customHeight="1" hidden="1">
      <c r="A12" s="3053"/>
      <c r="B12" s="3053"/>
      <c r="C12" s="3053"/>
      <c r="D12" s="3053"/>
      <c r="E12" s="3053"/>
      <c r="F12" s="3053"/>
      <c r="G12" s="3053"/>
      <c r="H12" s="3053"/>
      <c r="I12" s="3053"/>
      <c r="J12" s="3053"/>
      <c r="K12" s="3053"/>
      <c r="L12" s="3053"/>
      <c r="M12" s="94"/>
      <c r="N12" s="176"/>
      <c r="O12" s="3053"/>
      <c r="P12" s="213"/>
      <c r="Q12" s="3053"/>
      <c r="R12" s="3053"/>
      <c r="S12" s="3053"/>
      <c r="T12" s="3053"/>
      <c r="U12" s="3053"/>
      <c r="V12" s="3053"/>
      <c r="W12" s="213"/>
      <c r="X12" s="92"/>
      <c r="Y12" s="92"/>
      <c r="Z12" s="213"/>
      <c r="AA12" s="3053"/>
      <c r="AB12" s="93"/>
      <c r="AC12" s="117"/>
      <c r="AD12" s="93"/>
      <c r="AE12" s="248"/>
      <c r="AF12" s="93"/>
      <c r="AG12" s="117"/>
      <c r="AH12" s="93"/>
      <c r="AI12" s="248"/>
      <c r="AJ12" s="93"/>
      <c r="AK12" s="117"/>
      <c r="AL12" s="93"/>
      <c r="AM12" s="117"/>
      <c r="AN12" s="93"/>
      <c r="AO12" s="248"/>
      <c r="AP12" s="93"/>
      <c r="AQ12" s="117"/>
      <c r="AR12" s="93"/>
      <c r="AS12" s="248"/>
      <c r="AT12" s="93"/>
      <c r="AU12" s="117"/>
      <c r="AV12" s="93"/>
      <c r="AW12" s="248"/>
      <c r="AX12" s="93"/>
      <c r="AY12" s="117"/>
      <c r="AZ12" s="212"/>
      <c r="BA12" s="212"/>
      <c r="BB12" s="212"/>
      <c r="BC12" s="212"/>
      <c r="BD12" s="212"/>
      <c r="BE12" s="212"/>
      <c r="BF12" s="212"/>
      <c r="BG12" s="117"/>
      <c r="BH12" s="212"/>
      <c r="BI12" s="117"/>
      <c r="BJ12" s="3056"/>
    </row>
    <row r="13" spans="1:62" ht="6" customHeight="1" hidden="1">
      <c r="A13" s="3053"/>
      <c r="B13" s="3053"/>
      <c r="C13" s="3053"/>
      <c r="D13" s="3053"/>
      <c r="E13" s="3053"/>
      <c r="F13" s="3053"/>
      <c r="G13" s="3053"/>
      <c r="H13" s="3053"/>
      <c r="I13" s="3053"/>
      <c r="J13" s="3053"/>
      <c r="K13" s="3053"/>
      <c r="L13" s="3053"/>
      <c r="M13" s="94"/>
      <c r="N13" s="176"/>
      <c r="O13" s="3053"/>
      <c r="P13" s="213"/>
      <c r="Q13" s="3053"/>
      <c r="R13" s="3053"/>
      <c r="S13" s="3053"/>
      <c r="T13" s="3053"/>
      <c r="U13" s="3053"/>
      <c r="V13" s="3053"/>
      <c r="W13" s="213"/>
      <c r="X13" s="92"/>
      <c r="Y13" s="92"/>
      <c r="Z13" s="213"/>
      <c r="AA13" s="3053"/>
      <c r="AB13" s="93"/>
      <c r="AC13" s="117"/>
      <c r="AD13" s="93"/>
      <c r="AE13" s="248"/>
      <c r="AF13" s="93"/>
      <c r="AG13" s="117"/>
      <c r="AH13" s="93"/>
      <c r="AI13" s="248"/>
      <c r="AJ13" s="93"/>
      <c r="AK13" s="117"/>
      <c r="AL13" s="93"/>
      <c r="AM13" s="117"/>
      <c r="AN13" s="93"/>
      <c r="AO13" s="248"/>
      <c r="AP13" s="93"/>
      <c r="AQ13" s="117"/>
      <c r="AR13" s="93"/>
      <c r="AS13" s="248"/>
      <c r="AT13" s="93"/>
      <c r="AU13" s="117"/>
      <c r="AV13" s="93"/>
      <c r="AW13" s="248"/>
      <c r="AX13" s="93"/>
      <c r="AY13" s="117"/>
      <c r="AZ13" s="212"/>
      <c r="BA13" s="212"/>
      <c r="BB13" s="212"/>
      <c r="BC13" s="212"/>
      <c r="BD13" s="212"/>
      <c r="BE13" s="212"/>
      <c r="BF13" s="212"/>
      <c r="BG13" s="117"/>
      <c r="BH13" s="212"/>
      <c r="BI13" s="117"/>
      <c r="BJ13" s="3056"/>
    </row>
    <row r="14" spans="1:62" ht="15" customHeight="1" hidden="1">
      <c r="A14" s="3053"/>
      <c r="B14" s="3053"/>
      <c r="C14" s="3053"/>
      <c r="D14" s="3053"/>
      <c r="E14" s="3053"/>
      <c r="F14" s="3053"/>
      <c r="G14" s="3053"/>
      <c r="H14" s="3053"/>
      <c r="I14" s="3053"/>
      <c r="J14" s="3053"/>
      <c r="K14" s="3053"/>
      <c r="L14" s="3053"/>
      <c r="M14" s="94"/>
      <c r="N14" s="176"/>
      <c r="O14" s="3053"/>
      <c r="P14" s="213"/>
      <c r="Q14" s="3053"/>
      <c r="R14" s="3053"/>
      <c r="S14" s="3053"/>
      <c r="T14" s="3053"/>
      <c r="U14" s="3053"/>
      <c r="V14" s="3053"/>
      <c r="W14" s="213"/>
      <c r="X14" s="92"/>
      <c r="Y14" s="92"/>
      <c r="Z14" s="213"/>
      <c r="AA14" s="3053"/>
      <c r="AB14" s="93"/>
      <c r="AC14" s="117"/>
      <c r="AD14" s="93"/>
      <c r="AE14" s="248"/>
      <c r="AF14" s="93"/>
      <c r="AG14" s="117"/>
      <c r="AH14" s="93"/>
      <c r="AI14" s="248"/>
      <c r="AJ14" s="93"/>
      <c r="AK14" s="117"/>
      <c r="AL14" s="93"/>
      <c r="AM14" s="117"/>
      <c r="AN14" s="93"/>
      <c r="AO14" s="248"/>
      <c r="AP14" s="93"/>
      <c r="AQ14" s="117"/>
      <c r="AR14" s="93"/>
      <c r="AS14" s="248"/>
      <c r="AT14" s="93"/>
      <c r="AU14" s="117"/>
      <c r="AV14" s="93"/>
      <c r="AW14" s="248"/>
      <c r="AX14" s="93"/>
      <c r="AY14" s="117"/>
      <c r="AZ14" s="212"/>
      <c r="BA14" s="212"/>
      <c r="BB14" s="212"/>
      <c r="BC14" s="212"/>
      <c r="BD14" s="212"/>
      <c r="BE14" s="212"/>
      <c r="BF14" s="212"/>
      <c r="BG14" s="117"/>
      <c r="BH14" s="212"/>
      <c r="BI14" s="117"/>
      <c r="BJ14" s="3056"/>
    </row>
    <row r="15" spans="1:62" ht="0.75" customHeight="1">
      <c r="A15" s="3053"/>
      <c r="B15" s="3053"/>
      <c r="C15" s="3053"/>
      <c r="D15" s="3053"/>
      <c r="E15" s="3053"/>
      <c r="F15" s="3053"/>
      <c r="G15" s="3053"/>
      <c r="H15" s="3053"/>
      <c r="I15" s="3053"/>
      <c r="J15" s="3053"/>
      <c r="K15" s="3053"/>
      <c r="L15" s="3053"/>
      <c r="M15" s="95"/>
      <c r="N15" s="177"/>
      <c r="O15" s="3053"/>
      <c r="P15" s="213"/>
      <c r="Q15" s="3053"/>
      <c r="R15" s="3053"/>
      <c r="S15" s="3053"/>
      <c r="T15" s="3053"/>
      <c r="U15" s="3053"/>
      <c r="V15" s="3053"/>
      <c r="W15" s="213"/>
      <c r="X15" s="92"/>
      <c r="Y15" s="92"/>
      <c r="Z15" s="213"/>
      <c r="AA15" s="3053"/>
      <c r="AB15" s="93"/>
      <c r="AC15" s="117"/>
      <c r="AD15" s="93"/>
      <c r="AE15" s="248"/>
      <c r="AF15" s="93"/>
      <c r="AG15" s="117"/>
      <c r="AH15" s="93"/>
      <c r="AI15" s="248"/>
      <c r="AJ15" s="93"/>
      <c r="AK15" s="117"/>
      <c r="AL15" s="93"/>
      <c r="AM15" s="117"/>
      <c r="AN15" s="93"/>
      <c r="AO15" s="248"/>
      <c r="AP15" s="93"/>
      <c r="AQ15" s="117"/>
      <c r="AR15" s="93"/>
      <c r="AS15" s="248"/>
      <c r="AT15" s="93"/>
      <c r="AU15" s="117"/>
      <c r="AV15" s="93"/>
      <c r="AW15" s="248"/>
      <c r="AX15" s="93"/>
      <c r="AY15" s="117"/>
      <c r="AZ15" s="212"/>
      <c r="BA15" s="212"/>
      <c r="BB15" s="212"/>
      <c r="BC15" s="212"/>
      <c r="BD15" s="212"/>
      <c r="BE15" s="212"/>
      <c r="BF15" s="212"/>
      <c r="BG15" s="117"/>
      <c r="BH15" s="212"/>
      <c r="BI15" s="117"/>
      <c r="BJ15" s="3056"/>
    </row>
    <row r="16" spans="1:62" ht="20.25" customHeight="1">
      <c r="A16" s="41">
        <v>5</v>
      </c>
      <c r="B16" s="210" t="s">
        <v>34</v>
      </c>
      <c r="C16" s="211"/>
      <c r="D16" s="211"/>
      <c r="E16" s="211"/>
      <c r="F16" s="249"/>
      <c r="G16" s="249"/>
      <c r="H16" s="249"/>
      <c r="I16" s="249"/>
      <c r="J16" s="249"/>
      <c r="K16" s="249"/>
      <c r="L16" s="249"/>
      <c r="M16" s="249"/>
      <c r="N16" s="250"/>
      <c r="O16" s="249"/>
      <c r="P16" s="249"/>
      <c r="Q16" s="249"/>
      <c r="R16" s="249"/>
      <c r="S16" s="249"/>
      <c r="T16" s="249"/>
      <c r="U16" s="249"/>
      <c r="V16" s="249"/>
      <c r="W16" s="251"/>
      <c r="X16" s="252"/>
      <c r="Y16" s="252"/>
      <c r="Z16" s="249"/>
      <c r="AA16" s="249"/>
      <c r="AB16" s="249"/>
      <c r="AC16" s="250"/>
      <c r="AD16" s="249"/>
      <c r="AE16" s="250"/>
      <c r="AF16" s="249"/>
      <c r="AG16" s="250"/>
      <c r="AH16" s="249"/>
      <c r="AI16" s="250"/>
      <c r="AJ16" s="249"/>
      <c r="AK16" s="250"/>
      <c r="AL16" s="249"/>
      <c r="AM16" s="250"/>
      <c r="AN16" s="249"/>
      <c r="AO16" s="250"/>
      <c r="AP16" s="249"/>
      <c r="AQ16" s="250"/>
      <c r="AR16" s="249"/>
      <c r="AS16" s="250"/>
      <c r="AT16" s="249"/>
      <c r="AU16" s="250"/>
      <c r="AV16" s="249"/>
      <c r="AW16" s="250"/>
      <c r="AX16" s="249"/>
      <c r="AY16" s="250"/>
      <c r="AZ16" s="249"/>
      <c r="BA16" s="249"/>
      <c r="BB16" s="249"/>
      <c r="BC16" s="249"/>
      <c r="BD16" s="249"/>
      <c r="BE16" s="249"/>
      <c r="BF16" s="251"/>
      <c r="BG16" s="252"/>
      <c r="BH16" s="251"/>
      <c r="BI16" s="252"/>
      <c r="BJ16" s="253"/>
    </row>
    <row r="17" spans="1:62" ht="23.25" customHeight="1">
      <c r="A17" s="3012"/>
      <c r="B17" s="3028"/>
      <c r="C17" s="3028"/>
      <c r="D17" s="254">
        <v>28</v>
      </c>
      <c r="E17" s="225" t="s">
        <v>39</v>
      </c>
      <c r="F17" s="255"/>
      <c r="G17" s="256"/>
      <c r="H17" s="255"/>
      <c r="I17" s="255"/>
      <c r="J17" s="255"/>
      <c r="K17" s="255"/>
      <c r="L17" s="255"/>
      <c r="M17" s="255"/>
      <c r="N17" s="257"/>
      <c r="O17" s="255"/>
      <c r="P17" s="255"/>
      <c r="Q17" s="255"/>
      <c r="R17" s="255"/>
      <c r="S17" s="255"/>
      <c r="T17" s="255"/>
      <c r="U17" s="255"/>
      <c r="V17" s="255"/>
      <c r="W17" s="258"/>
      <c r="X17" s="259"/>
      <c r="Y17" s="259"/>
      <c r="Z17" s="255"/>
      <c r="AA17" s="255"/>
      <c r="AB17" s="255"/>
      <c r="AC17" s="257"/>
      <c r="AD17" s="255"/>
      <c r="AE17" s="257"/>
      <c r="AF17" s="255"/>
      <c r="AG17" s="257"/>
      <c r="AH17" s="255"/>
      <c r="AI17" s="257"/>
      <c r="AJ17" s="255"/>
      <c r="AK17" s="257"/>
      <c r="AL17" s="255"/>
      <c r="AM17" s="257"/>
      <c r="AN17" s="255"/>
      <c r="AO17" s="257"/>
      <c r="AP17" s="255"/>
      <c r="AQ17" s="257"/>
      <c r="AR17" s="255"/>
      <c r="AS17" s="257"/>
      <c r="AT17" s="255"/>
      <c r="AU17" s="257"/>
      <c r="AV17" s="255"/>
      <c r="AW17" s="257"/>
      <c r="AX17" s="255"/>
      <c r="AY17" s="257"/>
      <c r="AZ17" s="255"/>
      <c r="BA17" s="255"/>
      <c r="BB17" s="255"/>
      <c r="BC17" s="255"/>
      <c r="BD17" s="255"/>
      <c r="BE17" s="255"/>
      <c r="BF17" s="258"/>
      <c r="BG17" s="259"/>
      <c r="BH17" s="258"/>
      <c r="BI17" s="259"/>
      <c r="BJ17" s="260"/>
    </row>
    <row r="18" spans="1:62" ht="25.5" customHeight="1">
      <c r="A18" s="3013"/>
      <c r="B18" s="3028"/>
      <c r="C18" s="3028"/>
      <c r="D18" s="3028"/>
      <c r="E18" s="3028"/>
      <c r="F18" s="3028"/>
      <c r="G18" s="261">
        <v>89</v>
      </c>
      <c r="H18" s="51" t="s">
        <v>129</v>
      </c>
      <c r="I18" s="44"/>
      <c r="J18" s="262"/>
      <c r="K18" s="262"/>
      <c r="L18" s="262"/>
      <c r="M18" s="262"/>
      <c r="N18" s="263"/>
      <c r="O18" s="262"/>
      <c r="P18" s="262"/>
      <c r="Q18" s="262"/>
      <c r="R18" s="262"/>
      <c r="S18" s="262"/>
      <c r="T18" s="262"/>
      <c r="U18" s="262"/>
      <c r="V18" s="262"/>
      <c r="W18" s="264"/>
      <c r="X18" s="265"/>
      <c r="Y18" s="265"/>
      <c r="Z18" s="262"/>
      <c r="AA18" s="262"/>
      <c r="AB18" s="262"/>
      <c r="AC18" s="263"/>
      <c r="AD18" s="262"/>
      <c r="AE18" s="263"/>
      <c r="AF18" s="262"/>
      <c r="AG18" s="263"/>
      <c r="AH18" s="262"/>
      <c r="AI18" s="263"/>
      <c r="AJ18" s="262"/>
      <c r="AK18" s="263"/>
      <c r="AL18" s="262"/>
      <c r="AM18" s="263"/>
      <c r="AN18" s="262"/>
      <c r="AO18" s="263"/>
      <c r="AP18" s="262"/>
      <c r="AQ18" s="263"/>
      <c r="AR18" s="262"/>
      <c r="AS18" s="263"/>
      <c r="AT18" s="262"/>
      <c r="AU18" s="263"/>
      <c r="AV18" s="262"/>
      <c r="AW18" s="263"/>
      <c r="AX18" s="262"/>
      <c r="AY18" s="263"/>
      <c r="AZ18" s="262"/>
      <c r="BA18" s="262"/>
      <c r="BB18" s="262"/>
      <c r="BC18" s="262"/>
      <c r="BD18" s="262"/>
      <c r="BE18" s="262"/>
      <c r="BF18" s="264"/>
      <c r="BG18" s="265"/>
      <c r="BH18" s="264"/>
      <c r="BI18" s="265"/>
      <c r="BJ18" s="44"/>
    </row>
    <row r="19" spans="1:62" s="134" customFormat="1" ht="75" customHeight="1">
      <c r="A19" s="3013"/>
      <c r="B19" s="3028"/>
      <c r="C19" s="3028"/>
      <c r="D19" s="3028"/>
      <c r="E19" s="3028"/>
      <c r="F19" s="3028"/>
      <c r="G19" s="3028"/>
      <c r="H19" s="3028"/>
      <c r="I19" s="3028"/>
      <c r="J19" s="2988">
        <v>282</v>
      </c>
      <c r="K19" s="2982" t="s">
        <v>130</v>
      </c>
      <c r="L19" s="2988" t="s">
        <v>65</v>
      </c>
      <c r="M19" s="2988">
        <v>2</v>
      </c>
      <c r="N19" s="2977">
        <v>2</v>
      </c>
      <c r="O19" s="2905" t="s">
        <v>131</v>
      </c>
      <c r="P19" s="2886">
        <v>1</v>
      </c>
      <c r="Q19" s="2982" t="s">
        <v>132</v>
      </c>
      <c r="R19" s="3025">
        <v>1</v>
      </c>
      <c r="S19" s="2942">
        <v>70000000</v>
      </c>
      <c r="T19" s="3021" t="s">
        <v>133</v>
      </c>
      <c r="U19" s="2982" t="s">
        <v>134</v>
      </c>
      <c r="V19" s="215" t="s">
        <v>135</v>
      </c>
      <c r="W19" s="266">
        <v>0</v>
      </c>
      <c r="X19" s="234">
        <v>0</v>
      </c>
      <c r="Y19" s="234">
        <v>0</v>
      </c>
      <c r="Z19" s="3022">
        <v>20</v>
      </c>
      <c r="AA19" s="2886" t="s">
        <v>136</v>
      </c>
      <c r="AB19" s="3018">
        <v>64149</v>
      </c>
      <c r="AC19" s="3015">
        <v>64149</v>
      </c>
      <c r="AD19" s="3018">
        <v>72224</v>
      </c>
      <c r="AE19" s="3015">
        <v>72224</v>
      </c>
      <c r="AF19" s="3018">
        <v>27477</v>
      </c>
      <c r="AG19" s="3015">
        <v>27477</v>
      </c>
      <c r="AH19" s="3018">
        <v>86843</v>
      </c>
      <c r="AI19" s="3015">
        <v>86843</v>
      </c>
      <c r="AJ19" s="3018">
        <v>236429</v>
      </c>
      <c r="AK19" s="3015">
        <v>236429</v>
      </c>
      <c r="AL19" s="3018">
        <v>81384</v>
      </c>
      <c r="AM19" s="3015">
        <v>81384</v>
      </c>
      <c r="AN19" s="2952"/>
      <c r="AO19" s="2903"/>
      <c r="AP19" s="2952"/>
      <c r="AQ19" s="2903"/>
      <c r="AR19" s="2952"/>
      <c r="AS19" s="2903"/>
      <c r="AT19" s="2952"/>
      <c r="AU19" s="2903"/>
      <c r="AV19" s="2952"/>
      <c r="AW19" s="2903"/>
      <c r="AX19" s="2952"/>
      <c r="AY19" s="2903"/>
      <c r="AZ19" s="2886">
        <v>2</v>
      </c>
      <c r="BA19" s="2943">
        <f>+X19+X20+X21</f>
        <v>69900000</v>
      </c>
      <c r="BB19" s="2943">
        <v>69900000</v>
      </c>
      <c r="BC19" s="2892">
        <f>+BB19/BA19</f>
        <v>1</v>
      </c>
      <c r="BD19" s="2886" t="s">
        <v>128</v>
      </c>
      <c r="BE19" s="2886" t="s">
        <v>138</v>
      </c>
      <c r="BF19" s="2934">
        <v>42585</v>
      </c>
      <c r="BG19" s="2918">
        <v>42692</v>
      </c>
      <c r="BH19" s="2934">
        <v>42735</v>
      </c>
      <c r="BI19" s="2918">
        <v>42735</v>
      </c>
      <c r="BJ19" s="2983" t="s">
        <v>139</v>
      </c>
    </row>
    <row r="20" spans="1:62" s="134" customFormat="1" ht="75" customHeight="1">
      <c r="A20" s="3013"/>
      <c r="B20" s="3028"/>
      <c r="C20" s="3028"/>
      <c r="D20" s="3028"/>
      <c r="E20" s="3028"/>
      <c r="F20" s="3028"/>
      <c r="G20" s="3028"/>
      <c r="H20" s="3028"/>
      <c r="I20" s="3028"/>
      <c r="J20" s="2988"/>
      <c r="K20" s="2982"/>
      <c r="L20" s="2988"/>
      <c r="M20" s="2988"/>
      <c r="N20" s="2978"/>
      <c r="O20" s="2906"/>
      <c r="P20" s="2887"/>
      <c r="Q20" s="2982"/>
      <c r="R20" s="2988"/>
      <c r="S20" s="2942"/>
      <c r="T20" s="3021"/>
      <c r="U20" s="2982"/>
      <c r="V20" s="215" t="s">
        <v>140</v>
      </c>
      <c r="W20" s="266">
        <v>0</v>
      </c>
      <c r="X20" s="234">
        <v>0</v>
      </c>
      <c r="Y20" s="234">
        <v>0</v>
      </c>
      <c r="Z20" s="3023"/>
      <c r="AA20" s="2887"/>
      <c r="AB20" s="3019"/>
      <c r="AC20" s="3016"/>
      <c r="AD20" s="3019"/>
      <c r="AE20" s="3016"/>
      <c r="AF20" s="3019"/>
      <c r="AG20" s="3016"/>
      <c r="AH20" s="3019"/>
      <c r="AI20" s="3016"/>
      <c r="AJ20" s="3019"/>
      <c r="AK20" s="3016"/>
      <c r="AL20" s="3019"/>
      <c r="AM20" s="3016"/>
      <c r="AN20" s="2953"/>
      <c r="AO20" s="2904"/>
      <c r="AP20" s="2953"/>
      <c r="AQ20" s="2904"/>
      <c r="AR20" s="2953"/>
      <c r="AS20" s="2904"/>
      <c r="AT20" s="2953"/>
      <c r="AU20" s="2904"/>
      <c r="AV20" s="2953"/>
      <c r="AW20" s="2904"/>
      <c r="AX20" s="2953"/>
      <c r="AY20" s="2904"/>
      <c r="AZ20" s="2887"/>
      <c r="BA20" s="2887"/>
      <c r="BB20" s="2944"/>
      <c r="BC20" s="2893"/>
      <c r="BD20" s="2887"/>
      <c r="BE20" s="2887"/>
      <c r="BF20" s="2935"/>
      <c r="BG20" s="2919"/>
      <c r="BH20" s="2935"/>
      <c r="BI20" s="2919"/>
      <c r="BJ20" s="2983"/>
    </row>
    <row r="21" spans="1:62" s="134" customFormat="1" ht="75" customHeight="1">
      <c r="A21" s="3013"/>
      <c r="B21" s="3028"/>
      <c r="C21" s="3028"/>
      <c r="D21" s="3028"/>
      <c r="E21" s="3028"/>
      <c r="F21" s="3028"/>
      <c r="G21" s="3028"/>
      <c r="H21" s="3028"/>
      <c r="I21" s="3028"/>
      <c r="J21" s="2988"/>
      <c r="K21" s="2982"/>
      <c r="L21" s="2988"/>
      <c r="M21" s="2988"/>
      <c r="N21" s="2979"/>
      <c r="O21" s="2941"/>
      <c r="P21" s="2888"/>
      <c r="Q21" s="2982"/>
      <c r="R21" s="2988"/>
      <c r="S21" s="2942"/>
      <c r="T21" s="3021"/>
      <c r="U21" s="2982"/>
      <c r="V21" s="215" t="s">
        <v>141</v>
      </c>
      <c r="W21" s="266">
        <v>70000000</v>
      </c>
      <c r="X21" s="234">
        <v>69900000</v>
      </c>
      <c r="Y21" s="234">
        <v>69900000</v>
      </c>
      <c r="Z21" s="3024"/>
      <c r="AA21" s="2888"/>
      <c r="AB21" s="3020"/>
      <c r="AC21" s="3017"/>
      <c r="AD21" s="3020"/>
      <c r="AE21" s="3017"/>
      <c r="AF21" s="3020"/>
      <c r="AG21" s="3017"/>
      <c r="AH21" s="3020"/>
      <c r="AI21" s="3017"/>
      <c r="AJ21" s="3020"/>
      <c r="AK21" s="3017"/>
      <c r="AL21" s="3020"/>
      <c r="AM21" s="3017"/>
      <c r="AN21" s="2954"/>
      <c r="AO21" s="2955"/>
      <c r="AP21" s="2954"/>
      <c r="AQ21" s="2955"/>
      <c r="AR21" s="2954"/>
      <c r="AS21" s="2955"/>
      <c r="AT21" s="2954"/>
      <c r="AU21" s="2955"/>
      <c r="AV21" s="2954"/>
      <c r="AW21" s="2955"/>
      <c r="AX21" s="2954"/>
      <c r="AY21" s="2955"/>
      <c r="AZ21" s="2887"/>
      <c r="BA21" s="2888"/>
      <c r="BB21" s="2945"/>
      <c r="BC21" s="2894"/>
      <c r="BD21" s="2888"/>
      <c r="BE21" s="2888"/>
      <c r="BF21" s="2936"/>
      <c r="BG21" s="2937"/>
      <c r="BH21" s="2936"/>
      <c r="BI21" s="2937"/>
      <c r="BJ21" s="2983"/>
    </row>
    <row r="22" spans="1:62" s="131" customFormat="1" ht="63" customHeight="1">
      <c r="A22" s="3013"/>
      <c r="B22" s="3028"/>
      <c r="C22" s="3028"/>
      <c r="D22" s="3028"/>
      <c r="E22" s="3028"/>
      <c r="F22" s="3028"/>
      <c r="G22" s="3028"/>
      <c r="H22" s="3028"/>
      <c r="I22" s="3028"/>
      <c r="J22" s="2988">
        <v>283</v>
      </c>
      <c r="K22" s="2982" t="s">
        <v>142</v>
      </c>
      <c r="L22" s="3008" t="s">
        <v>65</v>
      </c>
      <c r="M22" s="3008">
        <v>1</v>
      </c>
      <c r="N22" s="3009">
        <v>0.95</v>
      </c>
      <c r="O22" s="3012" t="s">
        <v>143</v>
      </c>
      <c r="P22" s="2949">
        <v>2</v>
      </c>
      <c r="Q22" s="2982" t="s">
        <v>144</v>
      </c>
      <c r="R22" s="3004">
        <v>1</v>
      </c>
      <c r="S22" s="2942">
        <v>128268225</v>
      </c>
      <c r="T22" s="2987" t="s">
        <v>145</v>
      </c>
      <c r="U22" s="162" t="s">
        <v>146</v>
      </c>
      <c r="V22" s="162" t="s">
        <v>147</v>
      </c>
      <c r="W22" s="130">
        <v>100000000</v>
      </c>
      <c r="X22" s="172">
        <v>89724476</v>
      </c>
      <c r="Y22" s="172">
        <v>89724476</v>
      </c>
      <c r="Z22" s="3005">
        <v>20</v>
      </c>
      <c r="AA22" s="2949" t="s">
        <v>136</v>
      </c>
      <c r="AB22" s="2995"/>
      <c r="AC22" s="2989"/>
      <c r="AD22" s="2995"/>
      <c r="AE22" s="2989"/>
      <c r="AF22" s="2995"/>
      <c r="AG22" s="2989"/>
      <c r="AH22" s="3001">
        <v>450</v>
      </c>
      <c r="AI22" s="2998">
        <v>150</v>
      </c>
      <c r="AJ22" s="3001">
        <v>500</v>
      </c>
      <c r="AK22" s="2998">
        <v>200</v>
      </c>
      <c r="AL22" s="3001">
        <v>50</v>
      </c>
      <c r="AM22" s="2998">
        <v>30</v>
      </c>
      <c r="AN22" s="2995"/>
      <c r="AO22" s="2989"/>
      <c r="AP22" s="2995"/>
      <c r="AQ22" s="2989"/>
      <c r="AR22" s="2995"/>
      <c r="AS22" s="2989"/>
      <c r="AT22" s="2995"/>
      <c r="AU22" s="2989"/>
      <c r="AV22" s="2995"/>
      <c r="AW22" s="2989"/>
      <c r="AX22" s="2995"/>
      <c r="AY22" s="2989"/>
      <c r="AZ22" s="2886">
        <v>4</v>
      </c>
      <c r="BA22" s="2889">
        <v>97220070</v>
      </c>
      <c r="BB22" s="2889">
        <v>97220070</v>
      </c>
      <c r="BC22" s="2892">
        <f>+BB22/BA22</f>
        <v>1</v>
      </c>
      <c r="BD22" s="2886" t="s">
        <v>128</v>
      </c>
      <c r="BE22" s="2886" t="s">
        <v>148</v>
      </c>
      <c r="BF22" s="2992">
        <v>42585</v>
      </c>
      <c r="BG22" s="2883">
        <v>42655</v>
      </c>
      <c r="BH22" s="2992">
        <v>42735</v>
      </c>
      <c r="BI22" s="2883">
        <v>42735</v>
      </c>
      <c r="BJ22" s="2984" t="s">
        <v>139</v>
      </c>
    </row>
    <row r="23" spans="1:62" s="131" customFormat="1" ht="89.25" customHeight="1">
      <c r="A23" s="3013"/>
      <c r="B23" s="3028"/>
      <c r="C23" s="3028"/>
      <c r="D23" s="3028"/>
      <c r="E23" s="3028"/>
      <c r="F23" s="3028"/>
      <c r="G23" s="3028"/>
      <c r="H23" s="3028"/>
      <c r="I23" s="3028"/>
      <c r="J23" s="2988"/>
      <c r="K23" s="2982"/>
      <c r="L23" s="3008"/>
      <c r="M23" s="3008"/>
      <c r="N23" s="3010"/>
      <c r="O23" s="3013"/>
      <c r="P23" s="2950"/>
      <c r="Q23" s="2982"/>
      <c r="R23" s="3004"/>
      <c r="S23" s="2942"/>
      <c r="T23" s="2987"/>
      <c r="U23" s="2987" t="s">
        <v>149</v>
      </c>
      <c r="V23" s="215" t="s">
        <v>150</v>
      </c>
      <c r="W23" s="130">
        <v>100000</v>
      </c>
      <c r="X23" s="172">
        <v>0</v>
      </c>
      <c r="Y23" s="172">
        <v>0</v>
      </c>
      <c r="Z23" s="3006"/>
      <c r="AA23" s="2950"/>
      <c r="AB23" s="2996"/>
      <c r="AC23" s="2990"/>
      <c r="AD23" s="2996"/>
      <c r="AE23" s="2990"/>
      <c r="AF23" s="2996"/>
      <c r="AG23" s="2990"/>
      <c r="AH23" s="3002"/>
      <c r="AI23" s="2999"/>
      <c r="AJ23" s="3002"/>
      <c r="AK23" s="2999"/>
      <c r="AL23" s="3002"/>
      <c r="AM23" s="2999"/>
      <c r="AN23" s="2996"/>
      <c r="AO23" s="2990"/>
      <c r="AP23" s="2996"/>
      <c r="AQ23" s="2990"/>
      <c r="AR23" s="2996"/>
      <c r="AS23" s="2990"/>
      <c r="AT23" s="2996"/>
      <c r="AU23" s="2990"/>
      <c r="AV23" s="2996"/>
      <c r="AW23" s="2990"/>
      <c r="AX23" s="2996"/>
      <c r="AY23" s="2990"/>
      <c r="AZ23" s="2887"/>
      <c r="BA23" s="2890"/>
      <c r="BB23" s="2890"/>
      <c r="BC23" s="2893"/>
      <c r="BD23" s="2887"/>
      <c r="BE23" s="2887"/>
      <c r="BF23" s="2993"/>
      <c r="BG23" s="2884"/>
      <c r="BH23" s="2993"/>
      <c r="BI23" s="2884"/>
      <c r="BJ23" s="2985"/>
    </row>
    <row r="24" spans="1:62" s="131" customFormat="1" ht="57">
      <c r="A24" s="3013"/>
      <c r="B24" s="3028"/>
      <c r="C24" s="3028"/>
      <c r="D24" s="3028"/>
      <c r="E24" s="3028"/>
      <c r="F24" s="3028"/>
      <c r="G24" s="3028"/>
      <c r="H24" s="3028"/>
      <c r="I24" s="3028"/>
      <c r="J24" s="2988"/>
      <c r="K24" s="2982"/>
      <c r="L24" s="3008"/>
      <c r="M24" s="3008"/>
      <c r="N24" s="3010"/>
      <c r="O24" s="3013"/>
      <c r="P24" s="2950"/>
      <c r="Q24" s="2982"/>
      <c r="R24" s="3004"/>
      <c r="S24" s="2942"/>
      <c r="T24" s="2987"/>
      <c r="U24" s="2987"/>
      <c r="V24" s="215" t="s">
        <v>151</v>
      </c>
      <c r="W24" s="130">
        <v>12400000</v>
      </c>
      <c r="X24" s="172">
        <v>0</v>
      </c>
      <c r="Y24" s="172">
        <v>0</v>
      </c>
      <c r="Z24" s="3006"/>
      <c r="AA24" s="2950"/>
      <c r="AB24" s="2996"/>
      <c r="AC24" s="2990"/>
      <c r="AD24" s="2996"/>
      <c r="AE24" s="2990"/>
      <c r="AF24" s="2996"/>
      <c r="AG24" s="2990"/>
      <c r="AH24" s="3002"/>
      <c r="AI24" s="2999"/>
      <c r="AJ24" s="3002"/>
      <c r="AK24" s="2999"/>
      <c r="AL24" s="3002"/>
      <c r="AM24" s="2999"/>
      <c r="AN24" s="2996"/>
      <c r="AO24" s="2990"/>
      <c r="AP24" s="2996"/>
      <c r="AQ24" s="2990"/>
      <c r="AR24" s="2996"/>
      <c r="AS24" s="2990"/>
      <c r="AT24" s="2996"/>
      <c r="AU24" s="2990"/>
      <c r="AV24" s="2996"/>
      <c r="AW24" s="2990"/>
      <c r="AX24" s="2996"/>
      <c r="AY24" s="2990"/>
      <c r="AZ24" s="2887"/>
      <c r="BA24" s="2890"/>
      <c r="BB24" s="2890"/>
      <c r="BC24" s="2893"/>
      <c r="BD24" s="2887"/>
      <c r="BE24" s="2887"/>
      <c r="BF24" s="2993"/>
      <c r="BG24" s="2884"/>
      <c r="BH24" s="2993"/>
      <c r="BI24" s="2884"/>
      <c r="BJ24" s="2985"/>
    </row>
    <row r="25" spans="1:62" s="131" customFormat="1" ht="42.75">
      <c r="A25" s="3013"/>
      <c r="B25" s="3028"/>
      <c r="C25" s="3028"/>
      <c r="D25" s="3028"/>
      <c r="E25" s="3028"/>
      <c r="F25" s="3028"/>
      <c r="G25" s="3028"/>
      <c r="H25" s="3028"/>
      <c r="I25" s="3028"/>
      <c r="J25" s="2988"/>
      <c r="K25" s="2982"/>
      <c r="L25" s="3008"/>
      <c r="M25" s="3008"/>
      <c r="N25" s="3011"/>
      <c r="O25" s="3014"/>
      <c r="P25" s="2951"/>
      <c r="Q25" s="2982"/>
      <c r="R25" s="3004"/>
      <c r="S25" s="2942"/>
      <c r="T25" s="2987"/>
      <c r="U25" s="162" t="s">
        <v>152</v>
      </c>
      <c r="V25" s="162" t="s">
        <v>153</v>
      </c>
      <c r="W25" s="130">
        <v>15768225</v>
      </c>
      <c r="X25" s="172">
        <v>7495594</v>
      </c>
      <c r="Y25" s="172">
        <v>7495594</v>
      </c>
      <c r="Z25" s="3007"/>
      <c r="AA25" s="2951"/>
      <c r="AB25" s="2997"/>
      <c r="AC25" s="2991"/>
      <c r="AD25" s="2997"/>
      <c r="AE25" s="2991"/>
      <c r="AF25" s="2997"/>
      <c r="AG25" s="2991"/>
      <c r="AH25" s="3003"/>
      <c r="AI25" s="3000"/>
      <c r="AJ25" s="3003"/>
      <c r="AK25" s="3000"/>
      <c r="AL25" s="3003"/>
      <c r="AM25" s="3000"/>
      <c r="AN25" s="2997"/>
      <c r="AO25" s="2991"/>
      <c r="AP25" s="2997"/>
      <c r="AQ25" s="2991"/>
      <c r="AR25" s="2997"/>
      <c r="AS25" s="2991"/>
      <c r="AT25" s="2997"/>
      <c r="AU25" s="2991"/>
      <c r="AV25" s="2997"/>
      <c r="AW25" s="2991"/>
      <c r="AX25" s="2997"/>
      <c r="AY25" s="2991"/>
      <c r="AZ25" s="2888"/>
      <c r="BA25" s="2891"/>
      <c r="BB25" s="2891"/>
      <c r="BC25" s="2894"/>
      <c r="BD25" s="2888"/>
      <c r="BE25" s="2888"/>
      <c r="BF25" s="2994"/>
      <c r="BG25" s="2885"/>
      <c r="BH25" s="2994"/>
      <c r="BI25" s="2885"/>
      <c r="BJ25" s="2986"/>
    </row>
    <row r="26" spans="1:62" s="134" customFormat="1" ht="69.75" customHeight="1">
      <c r="A26" s="3013"/>
      <c r="B26" s="3028"/>
      <c r="C26" s="3028"/>
      <c r="D26" s="3028"/>
      <c r="E26" s="3028"/>
      <c r="F26" s="3028"/>
      <c r="G26" s="3028"/>
      <c r="H26" s="3028"/>
      <c r="I26" s="3028"/>
      <c r="J26" s="2988">
        <v>284</v>
      </c>
      <c r="K26" s="2982" t="s">
        <v>154</v>
      </c>
      <c r="L26" s="2988" t="s">
        <v>65</v>
      </c>
      <c r="M26" s="2988">
        <v>1</v>
      </c>
      <c r="N26" s="2977">
        <v>1</v>
      </c>
      <c r="O26" s="2905" t="s">
        <v>155</v>
      </c>
      <c r="P26" s="2886">
        <v>3</v>
      </c>
      <c r="Q26" s="2982" t="s">
        <v>156</v>
      </c>
      <c r="R26" s="2981">
        <v>1</v>
      </c>
      <c r="S26" s="2942">
        <v>42471099</v>
      </c>
      <c r="T26" s="2982" t="s">
        <v>157</v>
      </c>
      <c r="U26" s="2971" t="s">
        <v>158</v>
      </c>
      <c r="V26" s="215" t="s">
        <v>159</v>
      </c>
      <c r="W26" s="266">
        <v>0</v>
      </c>
      <c r="X26" s="234">
        <v>0</v>
      </c>
      <c r="Y26" s="234">
        <v>0</v>
      </c>
      <c r="Z26" s="2968">
        <v>20</v>
      </c>
      <c r="AA26" s="2886" t="s">
        <v>136</v>
      </c>
      <c r="AB26" s="2956">
        <v>64149</v>
      </c>
      <c r="AC26" s="2959">
        <f>+AB26*$BC$26</f>
        <v>64149</v>
      </c>
      <c r="AD26" s="2980">
        <v>72224</v>
      </c>
      <c r="AE26" s="2959">
        <f>+AD26*$BC$26</f>
        <v>72224</v>
      </c>
      <c r="AF26" s="2956">
        <v>27477</v>
      </c>
      <c r="AG26" s="2959">
        <f>+AF26*$BC$26</f>
        <v>27477</v>
      </c>
      <c r="AH26" s="2956">
        <v>86843</v>
      </c>
      <c r="AI26" s="2959">
        <f>+AH26*$BC$26</f>
        <v>86843</v>
      </c>
      <c r="AJ26" s="2956">
        <v>236429</v>
      </c>
      <c r="AK26" s="2959">
        <f>+AJ26*$BC$26</f>
        <v>236429</v>
      </c>
      <c r="AL26" s="2956">
        <v>81384</v>
      </c>
      <c r="AM26" s="2959">
        <f>+AL26*$BC$26</f>
        <v>81384</v>
      </c>
      <c r="AN26" s="2952"/>
      <c r="AO26" s="2903"/>
      <c r="AP26" s="2952"/>
      <c r="AQ26" s="2903"/>
      <c r="AR26" s="2952"/>
      <c r="AS26" s="2903"/>
      <c r="AT26" s="2952"/>
      <c r="AU26" s="2903"/>
      <c r="AV26" s="2952"/>
      <c r="AW26" s="2903"/>
      <c r="AX26" s="2952"/>
      <c r="AY26" s="2903"/>
      <c r="AZ26" s="2886">
        <v>2</v>
      </c>
      <c r="BA26" s="2943">
        <v>91710005</v>
      </c>
      <c r="BB26" s="2943">
        <v>91710005</v>
      </c>
      <c r="BC26" s="2946">
        <f>+BB26/BA26</f>
        <v>1</v>
      </c>
      <c r="BD26" s="2949" t="s">
        <v>128</v>
      </c>
      <c r="BE26" s="2886" t="s">
        <v>160</v>
      </c>
      <c r="BF26" s="2934">
        <v>42373</v>
      </c>
      <c r="BG26" s="2918">
        <v>42473</v>
      </c>
      <c r="BH26" s="2934">
        <v>42735</v>
      </c>
      <c r="BI26" s="2918">
        <v>42735</v>
      </c>
      <c r="BJ26" s="2983" t="s">
        <v>139</v>
      </c>
    </row>
    <row r="27" spans="1:62" s="134" customFormat="1" ht="69.75" customHeight="1">
      <c r="A27" s="3013"/>
      <c r="B27" s="3028"/>
      <c r="C27" s="3028"/>
      <c r="D27" s="3028"/>
      <c r="E27" s="3028"/>
      <c r="F27" s="3028"/>
      <c r="G27" s="3028"/>
      <c r="H27" s="3028"/>
      <c r="I27" s="3028"/>
      <c r="J27" s="2988"/>
      <c r="K27" s="2982"/>
      <c r="L27" s="2988"/>
      <c r="M27" s="2988"/>
      <c r="N27" s="2978"/>
      <c r="O27" s="2906"/>
      <c r="P27" s="2887"/>
      <c r="Q27" s="2982"/>
      <c r="R27" s="2981"/>
      <c r="S27" s="2942"/>
      <c r="T27" s="2982"/>
      <c r="U27" s="2973"/>
      <c r="V27" s="215" t="s">
        <v>135</v>
      </c>
      <c r="W27" s="266">
        <v>92471099</v>
      </c>
      <c r="X27" s="234">
        <f>49238906+42471099</f>
        <v>91710005</v>
      </c>
      <c r="Y27" s="234">
        <v>42471099</v>
      </c>
      <c r="Z27" s="2969"/>
      <c r="AA27" s="2887"/>
      <c r="AB27" s="2957"/>
      <c r="AC27" s="2960"/>
      <c r="AD27" s="2957"/>
      <c r="AE27" s="2960"/>
      <c r="AF27" s="2957"/>
      <c r="AG27" s="2960"/>
      <c r="AH27" s="2957"/>
      <c r="AI27" s="2960"/>
      <c r="AJ27" s="2957"/>
      <c r="AK27" s="2960"/>
      <c r="AL27" s="2957"/>
      <c r="AM27" s="2960"/>
      <c r="AN27" s="2953"/>
      <c r="AO27" s="2904"/>
      <c r="AP27" s="2953"/>
      <c r="AQ27" s="2904"/>
      <c r="AR27" s="2953"/>
      <c r="AS27" s="2904"/>
      <c r="AT27" s="2953"/>
      <c r="AU27" s="2904"/>
      <c r="AV27" s="2953"/>
      <c r="AW27" s="2904"/>
      <c r="AX27" s="2953"/>
      <c r="AY27" s="2904"/>
      <c r="AZ27" s="2887"/>
      <c r="BA27" s="2887"/>
      <c r="BB27" s="2944"/>
      <c r="BC27" s="2947"/>
      <c r="BD27" s="2950"/>
      <c r="BE27" s="2887"/>
      <c r="BF27" s="2935"/>
      <c r="BG27" s="2919"/>
      <c r="BH27" s="2935"/>
      <c r="BI27" s="2919"/>
      <c r="BJ27" s="2983"/>
    </row>
    <row r="28" spans="1:62" s="134" customFormat="1" ht="69.75" customHeight="1">
      <c r="A28" s="3013"/>
      <c r="B28" s="3028"/>
      <c r="C28" s="3028"/>
      <c r="D28" s="3028"/>
      <c r="E28" s="3028"/>
      <c r="F28" s="3028"/>
      <c r="G28" s="3028"/>
      <c r="H28" s="3028"/>
      <c r="I28" s="3028"/>
      <c r="J28" s="2988"/>
      <c r="K28" s="2982"/>
      <c r="L28" s="2988"/>
      <c r="M28" s="2988"/>
      <c r="N28" s="2978"/>
      <c r="O28" s="2905" t="s">
        <v>161</v>
      </c>
      <c r="P28" s="2887"/>
      <c r="Q28" s="2982"/>
      <c r="R28" s="2981"/>
      <c r="S28" s="2942">
        <v>50000000</v>
      </c>
      <c r="T28" s="2982"/>
      <c r="U28" s="2971" t="s">
        <v>162</v>
      </c>
      <c r="V28" s="215" t="s">
        <v>163</v>
      </c>
      <c r="W28" s="266">
        <v>0</v>
      </c>
      <c r="X28" s="234">
        <v>0</v>
      </c>
      <c r="Y28" s="234">
        <v>0</v>
      </c>
      <c r="Z28" s="2969"/>
      <c r="AA28" s="2887"/>
      <c r="AB28" s="2957"/>
      <c r="AC28" s="2960"/>
      <c r="AD28" s="2957"/>
      <c r="AE28" s="2960"/>
      <c r="AF28" s="2957"/>
      <c r="AG28" s="2960"/>
      <c r="AH28" s="2957"/>
      <c r="AI28" s="2960"/>
      <c r="AJ28" s="2957"/>
      <c r="AK28" s="2960"/>
      <c r="AL28" s="2957"/>
      <c r="AM28" s="2960"/>
      <c r="AN28" s="2953"/>
      <c r="AO28" s="2904"/>
      <c r="AP28" s="2953"/>
      <c r="AQ28" s="2904"/>
      <c r="AR28" s="2953"/>
      <c r="AS28" s="2904"/>
      <c r="AT28" s="2953"/>
      <c r="AU28" s="2904"/>
      <c r="AV28" s="2953"/>
      <c r="AW28" s="2904"/>
      <c r="AX28" s="2953"/>
      <c r="AY28" s="2904"/>
      <c r="AZ28" s="2887"/>
      <c r="BA28" s="2887"/>
      <c r="BB28" s="2944"/>
      <c r="BC28" s="2947"/>
      <c r="BD28" s="2950"/>
      <c r="BE28" s="2887"/>
      <c r="BF28" s="2935"/>
      <c r="BG28" s="2919"/>
      <c r="BH28" s="2935"/>
      <c r="BI28" s="2919"/>
      <c r="BJ28" s="2983"/>
    </row>
    <row r="29" spans="1:62" s="134" customFormat="1" ht="69.75" customHeight="1">
      <c r="A29" s="3013"/>
      <c r="B29" s="3028"/>
      <c r="C29" s="3028"/>
      <c r="D29" s="3028"/>
      <c r="E29" s="3028"/>
      <c r="F29" s="3028"/>
      <c r="G29" s="3028"/>
      <c r="H29" s="3028"/>
      <c r="I29" s="3028"/>
      <c r="J29" s="2988"/>
      <c r="K29" s="2982"/>
      <c r="L29" s="2988"/>
      <c r="M29" s="2988"/>
      <c r="N29" s="2979"/>
      <c r="O29" s="2906"/>
      <c r="P29" s="2888"/>
      <c r="Q29" s="2982"/>
      <c r="R29" s="2981"/>
      <c r="S29" s="2942"/>
      <c r="T29" s="2982"/>
      <c r="U29" s="2973"/>
      <c r="V29" s="215" t="s">
        <v>140</v>
      </c>
      <c r="W29" s="266">
        <v>0</v>
      </c>
      <c r="X29" s="234">
        <v>0</v>
      </c>
      <c r="Y29" s="234">
        <v>0</v>
      </c>
      <c r="Z29" s="2970"/>
      <c r="AA29" s="2888"/>
      <c r="AB29" s="2958"/>
      <c r="AC29" s="2961"/>
      <c r="AD29" s="2958"/>
      <c r="AE29" s="2961"/>
      <c r="AF29" s="2958"/>
      <c r="AG29" s="2961"/>
      <c r="AH29" s="2958"/>
      <c r="AI29" s="2961"/>
      <c r="AJ29" s="2958"/>
      <c r="AK29" s="2961"/>
      <c r="AL29" s="2958"/>
      <c r="AM29" s="2961"/>
      <c r="AN29" s="2954"/>
      <c r="AO29" s="2955"/>
      <c r="AP29" s="2954"/>
      <c r="AQ29" s="2955"/>
      <c r="AR29" s="2954"/>
      <c r="AS29" s="2955"/>
      <c r="AT29" s="2954"/>
      <c r="AU29" s="2955"/>
      <c r="AV29" s="2954"/>
      <c r="AW29" s="2955"/>
      <c r="AX29" s="2954"/>
      <c r="AY29" s="2955"/>
      <c r="AZ29" s="2888"/>
      <c r="BA29" s="2888"/>
      <c r="BB29" s="2945"/>
      <c r="BC29" s="2948"/>
      <c r="BD29" s="2951"/>
      <c r="BE29" s="2888"/>
      <c r="BF29" s="2936"/>
      <c r="BG29" s="2937"/>
      <c r="BH29" s="2936"/>
      <c r="BI29" s="2937"/>
      <c r="BJ29" s="2983"/>
    </row>
    <row r="30" spans="1:62" s="134" customFormat="1" ht="47.25" customHeight="1">
      <c r="A30" s="3013"/>
      <c r="B30" s="3028"/>
      <c r="C30" s="3028"/>
      <c r="D30" s="3028"/>
      <c r="E30" s="3028"/>
      <c r="F30" s="3028"/>
      <c r="G30" s="3028"/>
      <c r="H30" s="3028"/>
      <c r="I30" s="3028"/>
      <c r="J30" s="2886">
        <v>285</v>
      </c>
      <c r="K30" s="2971" t="s">
        <v>164</v>
      </c>
      <c r="L30" s="2886" t="s">
        <v>65</v>
      </c>
      <c r="M30" s="2886">
        <v>1</v>
      </c>
      <c r="N30" s="2977">
        <v>1</v>
      </c>
      <c r="O30" s="2905" t="s">
        <v>165</v>
      </c>
      <c r="P30" s="2886">
        <v>4</v>
      </c>
      <c r="Q30" s="2971" t="s">
        <v>166</v>
      </c>
      <c r="R30" s="2974">
        <v>1</v>
      </c>
      <c r="S30" s="2942">
        <v>113137656</v>
      </c>
      <c r="T30" s="2971" t="s">
        <v>167</v>
      </c>
      <c r="U30" s="2971" t="s">
        <v>168</v>
      </c>
      <c r="V30" s="215" t="s">
        <v>159</v>
      </c>
      <c r="W30" s="266">
        <v>23137656</v>
      </c>
      <c r="X30" s="2962">
        <v>113137656</v>
      </c>
      <c r="Y30" s="2965">
        <v>113137656</v>
      </c>
      <c r="Z30" s="2968">
        <v>20</v>
      </c>
      <c r="AA30" s="2886" t="s">
        <v>136</v>
      </c>
      <c r="AB30" s="2956">
        <v>64149</v>
      </c>
      <c r="AC30" s="2959">
        <f>+AB30*BC30</f>
        <v>64149</v>
      </c>
      <c r="AD30" s="2956" t="s">
        <v>137</v>
      </c>
      <c r="AE30" s="2959">
        <f>+AD30*BC30</f>
        <v>72224</v>
      </c>
      <c r="AF30" s="2956">
        <v>27477</v>
      </c>
      <c r="AG30" s="2959">
        <f>+AF30*BC30</f>
        <v>27477</v>
      </c>
      <c r="AH30" s="2956">
        <v>86843</v>
      </c>
      <c r="AI30" s="2959">
        <f>+AH30*BC30</f>
        <v>86843</v>
      </c>
      <c r="AJ30" s="2956">
        <v>236429</v>
      </c>
      <c r="AK30" s="2959">
        <f>+AJ30*BC30</f>
        <v>236429</v>
      </c>
      <c r="AL30" s="2956">
        <v>81384</v>
      </c>
      <c r="AM30" s="2959">
        <f>+AL30*BC30</f>
        <v>81384</v>
      </c>
      <c r="AN30" s="2952"/>
      <c r="AO30" s="2903"/>
      <c r="AP30" s="2952"/>
      <c r="AQ30" s="2903"/>
      <c r="AR30" s="2952"/>
      <c r="AS30" s="2903"/>
      <c r="AT30" s="2952"/>
      <c r="AU30" s="2903"/>
      <c r="AV30" s="2952"/>
      <c r="AW30" s="2903"/>
      <c r="AX30" s="2952"/>
      <c r="AY30" s="2903"/>
      <c r="AZ30" s="2886">
        <v>3</v>
      </c>
      <c r="BA30" s="2943">
        <v>118063105</v>
      </c>
      <c r="BB30" s="2943">
        <v>118063105</v>
      </c>
      <c r="BC30" s="2946">
        <f>+BB30/BA30</f>
        <v>1</v>
      </c>
      <c r="BD30" s="2949" t="s">
        <v>128</v>
      </c>
      <c r="BE30" s="2886" t="s">
        <v>138</v>
      </c>
      <c r="BF30" s="2934">
        <v>42373</v>
      </c>
      <c r="BG30" s="2918">
        <v>42424</v>
      </c>
      <c r="BH30" s="2934">
        <v>42735</v>
      </c>
      <c r="BI30" s="2918">
        <v>42735</v>
      </c>
      <c r="BJ30" s="2938" t="s">
        <v>169</v>
      </c>
    </row>
    <row r="31" spans="1:62" s="134" customFormat="1" ht="47.25" customHeight="1">
      <c r="A31" s="3013"/>
      <c r="B31" s="3028"/>
      <c r="C31" s="3028"/>
      <c r="D31" s="3028"/>
      <c r="E31" s="3028"/>
      <c r="F31" s="3028"/>
      <c r="G31" s="3028"/>
      <c r="H31" s="3028"/>
      <c r="I31" s="3028"/>
      <c r="J31" s="2887"/>
      <c r="K31" s="2972"/>
      <c r="L31" s="2887"/>
      <c r="M31" s="2887"/>
      <c r="N31" s="2978"/>
      <c r="O31" s="2906"/>
      <c r="P31" s="2887"/>
      <c r="Q31" s="2972"/>
      <c r="R31" s="2975"/>
      <c r="S31" s="2942"/>
      <c r="T31" s="2972"/>
      <c r="U31" s="2972"/>
      <c r="V31" s="215" t="s">
        <v>135</v>
      </c>
      <c r="W31" s="268">
        <v>90000000</v>
      </c>
      <c r="X31" s="2963"/>
      <c r="Y31" s="2966"/>
      <c r="Z31" s="2969"/>
      <c r="AA31" s="2887"/>
      <c r="AB31" s="2957"/>
      <c r="AC31" s="2960"/>
      <c r="AD31" s="2957"/>
      <c r="AE31" s="2960"/>
      <c r="AF31" s="2957"/>
      <c r="AG31" s="2960"/>
      <c r="AH31" s="2957"/>
      <c r="AI31" s="2960"/>
      <c r="AJ31" s="2957"/>
      <c r="AK31" s="2960"/>
      <c r="AL31" s="2957"/>
      <c r="AM31" s="2960"/>
      <c r="AN31" s="2953"/>
      <c r="AO31" s="2904"/>
      <c r="AP31" s="2953"/>
      <c r="AQ31" s="2904"/>
      <c r="AR31" s="2953"/>
      <c r="AS31" s="2904"/>
      <c r="AT31" s="2953"/>
      <c r="AU31" s="2904"/>
      <c r="AV31" s="2953"/>
      <c r="AW31" s="2904"/>
      <c r="AX31" s="2953"/>
      <c r="AY31" s="2904"/>
      <c r="AZ31" s="2887"/>
      <c r="BA31" s="2887"/>
      <c r="BB31" s="2944"/>
      <c r="BC31" s="2947"/>
      <c r="BD31" s="2950"/>
      <c r="BE31" s="2887"/>
      <c r="BF31" s="2935"/>
      <c r="BG31" s="2919"/>
      <c r="BH31" s="2935"/>
      <c r="BI31" s="2919"/>
      <c r="BJ31" s="2939"/>
    </row>
    <row r="32" spans="1:62" s="134" customFormat="1" ht="47.25" customHeight="1">
      <c r="A32" s="3013"/>
      <c r="B32" s="3028"/>
      <c r="C32" s="3028"/>
      <c r="D32" s="3028"/>
      <c r="E32" s="3028"/>
      <c r="F32" s="3028"/>
      <c r="G32" s="3028"/>
      <c r="H32" s="3028"/>
      <c r="I32" s="3028"/>
      <c r="J32" s="2887"/>
      <c r="K32" s="2972"/>
      <c r="L32" s="2887"/>
      <c r="M32" s="2887"/>
      <c r="N32" s="2978"/>
      <c r="O32" s="2905" t="s">
        <v>170</v>
      </c>
      <c r="P32" s="2887"/>
      <c r="Q32" s="2972"/>
      <c r="R32" s="2975"/>
      <c r="S32" s="2942">
        <v>7500000</v>
      </c>
      <c r="T32" s="2972"/>
      <c r="U32" s="2972"/>
      <c r="V32" s="215" t="s">
        <v>163</v>
      </c>
      <c r="W32" s="266">
        <v>0</v>
      </c>
      <c r="X32" s="2964"/>
      <c r="Y32" s="2967"/>
      <c r="Z32" s="2969"/>
      <c r="AA32" s="2887"/>
      <c r="AB32" s="2957"/>
      <c r="AC32" s="2960"/>
      <c r="AD32" s="2957"/>
      <c r="AE32" s="2960"/>
      <c r="AF32" s="2957"/>
      <c r="AG32" s="2960"/>
      <c r="AH32" s="2957"/>
      <c r="AI32" s="2960"/>
      <c r="AJ32" s="2957"/>
      <c r="AK32" s="2960"/>
      <c r="AL32" s="2957"/>
      <c r="AM32" s="2960"/>
      <c r="AN32" s="2953"/>
      <c r="AO32" s="2904"/>
      <c r="AP32" s="2953"/>
      <c r="AQ32" s="2904"/>
      <c r="AR32" s="2953"/>
      <c r="AS32" s="2904"/>
      <c r="AT32" s="2953"/>
      <c r="AU32" s="2904"/>
      <c r="AV32" s="2953"/>
      <c r="AW32" s="2904"/>
      <c r="AX32" s="2953"/>
      <c r="AY32" s="2904"/>
      <c r="AZ32" s="2887"/>
      <c r="BA32" s="2887"/>
      <c r="BB32" s="2944"/>
      <c r="BC32" s="2947"/>
      <c r="BD32" s="2950"/>
      <c r="BE32" s="2887"/>
      <c r="BF32" s="2935"/>
      <c r="BG32" s="2919"/>
      <c r="BH32" s="2935"/>
      <c r="BI32" s="2919"/>
      <c r="BJ32" s="2939"/>
    </row>
    <row r="33" spans="1:62" s="134" customFormat="1" ht="47.25" customHeight="1">
      <c r="A33" s="3013"/>
      <c r="B33" s="3028"/>
      <c r="C33" s="3028"/>
      <c r="D33" s="3028"/>
      <c r="E33" s="3028"/>
      <c r="F33" s="3028"/>
      <c r="G33" s="3028"/>
      <c r="H33" s="3028"/>
      <c r="I33" s="3028"/>
      <c r="J33" s="2888"/>
      <c r="K33" s="2973"/>
      <c r="L33" s="2888"/>
      <c r="M33" s="2888"/>
      <c r="N33" s="2979"/>
      <c r="O33" s="2941"/>
      <c r="P33" s="2888"/>
      <c r="Q33" s="2973"/>
      <c r="R33" s="2976"/>
      <c r="S33" s="2942"/>
      <c r="T33" s="2973"/>
      <c r="U33" s="2973"/>
      <c r="V33" s="215" t="s">
        <v>140</v>
      </c>
      <c r="W33" s="266">
        <v>7500000</v>
      </c>
      <c r="X33" s="234">
        <v>4925449</v>
      </c>
      <c r="Y33" s="234">
        <v>4925449</v>
      </c>
      <c r="Z33" s="2970"/>
      <c r="AA33" s="2888"/>
      <c r="AB33" s="2958"/>
      <c r="AC33" s="2961"/>
      <c r="AD33" s="2958"/>
      <c r="AE33" s="2961"/>
      <c r="AF33" s="2958"/>
      <c r="AG33" s="2961"/>
      <c r="AH33" s="2958"/>
      <c r="AI33" s="2961"/>
      <c r="AJ33" s="2958"/>
      <c r="AK33" s="2961"/>
      <c r="AL33" s="2958"/>
      <c r="AM33" s="2961"/>
      <c r="AN33" s="2954"/>
      <c r="AO33" s="2955"/>
      <c r="AP33" s="2954"/>
      <c r="AQ33" s="2955"/>
      <c r="AR33" s="2954"/>
      <c r="AS33" s="2955"/>
      <c r="AT33" s="2954"/>
      <c r="AU33" s="2955"/>
      <c r="AV33" s="2954"/>
      <c r="AW33" s="2955"/>
      <c r="AX33" s="2954"/>
      <c r="AY33" s="2955"/>
      <c r="AZ33" s="2888"/>
      <c r="BA33" s="2888"/>
      <c r="BB33" s="2945"/>
      <c r="BC33" s="2948"/>
      <c r="BD33" s="2951"/>
      <c r="BE33" s="2888"/>
      <c r="BF33" s="2936"/>
      <c r="BG33" s="2937"/>
      <c r="BH33" s="2936"/>
      <c r="BI33" s="2937"/>
      <c r="BJ33" s="2940"/>
    </row>
    <row r="34" spans="1:62" s="134" customFormat="1" ht="114.75" customHeight="1">
      <c r="A34" s="3013"/>
      <c r="B34" s="3028"/>
      <c r="C34" s="3028"/>
      <c r="D34" s="3028"/>
      <c r="E34" s="3028"/>
      <c r="F34" s="3028"/>
      <c r="G34" s="3028"/>
      <c r="H34" s="3028"/>
      <c r="I34" s="3028"/>
      <c r="J34" s="2929">
        <v>287</v>
      </c>
      <c r="K34" s="2909" t="s">
        <v>171</v>
      </c>
      <c r="L34" s="2931" t="s">
        <v>65</v>
      </c>
      <c r="M34" s="2929">
        <v>1</v>
      </c>
      <c r="N34" s="2932">
        <v>0.5</v>
      </c>
      <c r="O34" s="2905" t="s">
        <v>172</v>
      </c>
      <c r="P34" s="2905">
        <v>5</v>
      </c>
      <c r="Q34" s="2909" t="s">
        <v>173</v>
      </c>
      <c r="R34" s="2924">
        <v>1</v>
      </c>
      <c r="S34" s="2926">
        <v>131500000</v>
      </c>
      <c r="T34" s="2909" t="s">
        <v>174</v>
      </c>
      <c r="U34" s="215" t="s">
        <v>175</v>
      </c>
      <c r="V34" s="215" t="s">
        <v>176</v>
      </c>
      <c r="W34" s="266">
        <v>10050000</v>
      </c>
      <c r="X34" s="234">
        <v>10050000</v>
      </c>
      <c r="Y34" s="234">
        <v>10050000</v>
      </c>
      <c r="Z34" s="2927">
        <v>20</v>
      </c>
      <c r="AA34" s="2905" t="s">
        <v>136</v>
      </c>
      <c r="AB34" s="2900">
        <v>45983</v>
      </c>
      <c r="AC34" s="2902">
        <v>45983</v>
      </c>
      <c r="AD34" s="2900" t="s">
        <v>177</v>
      </c>
      <c r="AE34" s="2902" t="s">
        <v>177</v>
      </c>
      <c r="AF34" s="2900">
        <v>46444</v>
      </c>
      <c r="AG34" s="2902">
        <v>46444</v>
      </c>
      <c r="AH34" s="2900"/>
      <c r="AI34" s="2903"/>
      <c r="AJ34" s="2900">
        <v>93752</v>
      </c>
      <c r="AK34" s="2902">
        <v>93752</v>
      </c>
      <c r="AL34" s="2900">
        <v>81384</v>
      </c>
      <c r="AM34" s="2902">
        <v>81384</v>
      </c>
      <c r="AN34" s="2900">
        <v>12278</v>
      </c>
      <c r="AO34" s="2902">
        <v>12278</v>
      </c>
      <c r="AP34" s="2901">
        <v>2145</v>
      </c>
      <c r="AQ34" s="2903">
        <v>2145</v>
      </c>
      <c r="AR34" s="2900"/>
      <c r="AS34" s="2903"/>
      <c r="AT34" s="2900"/>
      <c r="AU34" s="2903"/>
      <c r="AV34" s="2900"/>
      <c r="AW34" s="2903"/>
      <c r="AX34" s="2900">
        <v>81384</v>
      </c>
      <c r="AY34" s="2902">
        <v>81384</v>
      </c>
      <c r="AZ34" s="2905">
        <v>2</v>
      </c>
      <c r="BA34" s="2895">
        <v>41500000</v>
      </c>
      <c r="BB34" s="2895">
        <v>41500000</v>
      </c>
      <c r="BC34" s="2915">
        <f>+BB34/BA34</f>
        <v>1</v>
      </c>
      <c r="BD34" s="2905" t="s">
        <v>128</v>
      </c>
      <c r="BE34" s="2905" t="s">
        <v>178</v>
      </c>
      <c r="BF34" s="2898">
        <v>42616</v>
      </c>
      <c r="BG34" s="2918">
        <v>42636</v>
      </c>
      <c r="BH34" s="2898">
        <v>42735</v>
      </c>
      <c r="BI34" s="2918">
        <v>42735</v>
      </c>
      <c r="BJ34" s="2907" t="s">
        <v>179</v>
      </c>
    </row>
    <row r="35" spans="1:62" s="134" customFormat="1" ht="28.5">
      <c r="A35" s="3013"/>
      <c r="B35" s="3028"/>
      <c r="C35" s="3028"/>
      <c r="D35" s="3028"/>
      <c r="E35" s="3028"/>
      <c r="F35" s="3028"/>
      <c r="G35" s="3028"/>
      <c r="H35" s="3028"/>
      <c r="I35" s="3028"/>
      <c r="J35" s="2929"/>
      <c r="K35" s="2909"/>
      <c r="L35" s="2931"/>
      <c r="M35" s="2929"/>
      <c r="N35" s="2933"/>
      <c r="O35" s="2906"/>
      <c r="P35" s="2906"/>
      <c r="Q35" s="2909"/>
      <c r="R35" s="2924"/>
      <c r="S35" s="2926"/>
      <c r="T35" s="2909"/>
      <c r="U35" s="2909" t="s">
        <v>180</v>
      </c>
      <c r="V35" s="215" t="s">
        <v>181</v>
      </c>
      <c r="W35" s="266">
        <v>5275000</v>
      </c>
      <c r="X35" s="234">
        <v>5275000</v>
      </c>
      <c r="Y35" s="234">
        <v>5275000</v>
      </c>
      <c r="Z35" s="2928"/>
      <c r="AA35" s="2906"/>
      <c r="AB35" s="2900"/>
      <c r="AC35" s="2902"/>
      <c r="AD35" s="2900"/>
      <c r="AE35" s="2902"/>
      <c r="AF35" s="2900"/>
      <c r="AG35" s="2902"/>
      <c r="AH35" s="2900"/>
      <c r="AI35" s="2904"/>
      <c r="AJ35" s="2900"/>
      <c r="AK35" s="2902"/>
      <c r="AL35" s="2900"/>
      <c r="AM35" s="2902"/>
      <c r="AN35" s="2900"/>
      <c r="AO35" s="2902"/>
      <c r="AP35" s="2921"/>
      <c r="AQ35" s="2904"/>
      <c r="AR35" s="2900"/>
      <c r="AS35" s="2904"/>
      <c r="AT35" s="2900"/>
      <c r="AU35" s="2904"/>
      <c r="AV35" s="2900"/>
      <c r="AW35" s="2904"/>
      <c r="AX35" s="2900"/>
      <c r="AY35" s="2902"/>
      <c r="AZ35" s="2906"/>
      <c r="BA35" s="2896"/>
      <c r="BB35" s="2896"/>
      <c r="BC35" s="2916"/>
      <c r="BD35" s="2906"/>
      <c r="BE35" s="2906"/>
      <c r="BF35" s="2899"/>
      <c r="BG35" s="2919"/>
      <c r="BH35" s="2899"/>
      <c r="BI35" s="2919"/>
      <c r="BJ35" s="2908"/>
    </row>
    <row r="36" spans="1:62" s="134" customFormat="1" ht="28.5">
      <c r="A36" s="3013"/>
      <c r="B36" s="3028"/>
      <c r="C36" s="3028"/>
      <c r="D36" s="3028"/>
      <c r="E36" s="3028"/>
      <c r="F36" s="3028"/>
      <c r="G36" s="3028"/>
      <c r="H36" s="3028"/>
      <c r="I36" s="3028"/>
      <c r="J36" s="2929"/>
      <c r="K36" s="2909"/>
      <c r="L36" s="2931"/>
      <c r="M36" s="2929"/>
      <c r="N36" s="2933"/>
      <c r="O36" s="2906"/>
      <c r="P36" s="2906"/>
      <c r="Q36" s="2909"/>
      <c r="R36" s="2924"/>
      <c r="S36" s="2926"/>
      <c r="T36" s="2909"/>
      <c r="U36" s="2909"/>
      <c r="V36" s="215" t="s">
        <v>182</v>
      </c>
      <c r="W36" s="266">
        <v>5025000</v>
      </c>
      <c r="X36" s="234">
        <v>5025000</v>
      </c>
      <c r="Y36" s="234">
        <v>5025000</v>
      </c>
      <c r="Z36" s="2928"/>
      <c r="AA36" s="2906"/>
      <c r="AB36" s="2900"/>
      <c r="AC36" s="2902"/>
      <c r="AD36" s="2900"/>
      <c r="AE36" s="2902"/>
      <c r="AF36" s="2900"/>
      <c r="AG36" s="2902"/>
      <c r="AH36" s="2900"/>
      <c r="AI36" s="2904"/>
      <c r="AJ36" s="2900"/>
      <c r="AK36" s="2902"/>
      <c r="AL36" s="2900"/>
      <c r="AM36" s="2902"/>
      <c r="AN36" s="2900"/>
      <c r="AO36" s="2902"/>
      <c r="AP36" s="2921"/>
      <c r="AQ36" s="2904"/>
      <c r="AR36" s="2900"/>
      <c r="AS36" s="2904"/>
      <c r="AT36" s="2900"/>
      <c r="AU36" s="2904"/>
      <c r="AV36" s="2900"/>
      <c r="AW36" s="2904"/>
      <c r="AX36" s="2900"/>
      <c r="AY36" s="2902"/>
      <c r="AZ36" s="2906"/>
      <c r="BA36" s="2896"/>
      <c r="BB36" s="2896"/>
      <c r="BC36" s="2916"/>
      <c r="BD36" s="2906"/>
      <c r="BE36" s="2906"/>
      <c r="BF36" s="2899"/>
      <c r="BG36" s="2919"/>
      <c r="BH36" s="2899"/>
      <c r="BI36" s="2919"/>
      <c r="BJ36" s="2908"/>
    </row>
    <row r="37" spans="1:62" s="134" customFormat="1" ht="28.5">
      <c r="A37" s="3013"/>
      <c r="B37" s="3028"/>
      <c r="C37" s="3028"/>
      <c r="D37" s="3028"/>
      <c r="E37" s="3028"/>
      <c r="F37" s="3028"/>
      <c r="G37" s="3028"/>
      <c r="H37" s="3028"/>
      <c r="I37" s="3028"/>
      <c r="J37" s="2929"/>
      <c r="K37" s="2909"/>
      <c r="L37" s="2931"/>
      <c r="M37" s="2929"/>
      <c r="N37" s="2933"/>
      <c r="O37" s="2906"/>
      <c r="P37" s="2906"/>
      <c r="Q37" s="2909"/>
      <c r="R37" s="2924"/>
      <c r="S37" s="2926"/>
      <c r="T37" s="2909"/>
      <c r="U37" s="2909"/>
      <c r="V37" s="215" t="s">
        <v>183</v>
      </c>
      <c r="W37" s="266">
        <v>5025000</v>
      </c>
      <c r="X37" s="234">
        <v>5025000</v>
      </c>
      <c r="Y37" s="234">
        <v>5025000</v>
      </c>
      <c r="Z37" s="2928"/>
      <c r="AA37" s="2906"/>
      <c r="AB37" s="2900"/>
      <c r="AC37" s="2902"/>
      <c r="AD37" s="2900"/>
      <c r="AE37" s="2902"/>
      <c r="AF37" s="2900"/>
      <c r="AG37" s="2902"/>
      <c r="AH37" s="2900"/>
      <c r="AI37" s="2904"/>
      <c r="AJ37" s="2900"/>
      <c r="AK37" s="2902"/>
      <c r="AL37" s="2900"/>
      <c r="AM37" s="2902"/>
      <c r="AN37" s="2900"/>
      <c r="AO37" s="2902"/>
      <c r="AP37" s="2921"/>
      <c r="AQ37" s="2904"/>
      <c r="AR37" s="2900"/>
      <c r="AS37" s="2904"/>
      <c r="AT37" s="2900"/>
      <c r="AU37" s="2904"/>
      <c r="AV37" s="2900"/>
      <c r="AW37" s="2904"/>
      <c r="AX37" s="2900"/>
      <c r="AY37" s="2902"/>
      <c r="AZ37" s="2906"/>
      <c r="BA37" s="2896"/>
      <c r="BB37" s="2896"/>
      <c r="BC37" s="2916"/>
      <c r="BD37" s="2906"/>
      <c r="BE37" s="2906"/>
      <c r="BF37" s="2899"/>
      <c r="BG37" s="2919"/>
      <c r="BH37" s="2899"/>
      <c r="BI37" s="2919"/>
      <c r="BJ37" s="2908"/>
    </row>
    <row r="38" spans="1:62" s="134" customFormat="1" ht="28.5">
      <c r="A38" s="3013"/>
      <c r="B38" s="3028"/>
      <c r="C38" s="3028"/>
      <c r="D38" s="3028"/>
      <c r="E38" s="3028"/>
      <c r="F38" s="3028"/>
      <c r="G38" s="3028"/>
      <c r="H38" s="3028"/>
      <c r="I38" s="3028"/>
      <c r="J38" s="2929"/>
      <c r="K38" s="2909"/>
      <c r="L38" s="2931"/>
      <c r="M38" s="2929"/>
      <c r="N38" s="2933"/>
      <c r="O38" s="2906"/>
      <c r="P38" s="2906"/>
      <c r="Q38" s="2909"/>
      <c r="R38" s="2924"/>
      <c r="S38" s="2926"/>
      <c r="T38" s="2909"/>
      <c r="U38" s="2909"/>
      <c r="V38" s="215" t="s">
        <v>184</v>
      </c>
      <c r="W38" s="266">
        <v>5025000</v>
      </c>
      <c r="X38" s="234">
        <v>5025000</v>
      </c>
      <c r="Y38" s="234">
        <v>5025000</v>
      </c>
      <c r="Z38" s="2928"/>
      <c r="AA38" s="2906"/>
      <c r="AB38" s="2900"/>
      <c r="AC38" s="2902"/>
      <c r="AD38" s="2900"/>
      <c r="AE38" s="2902"/>
      <c r="AF38" s="2900"/>
      <c r="AG38" s="2902"/>
      <c r="AH38" s="2900"/>
      <c r="AI38" s="2904"/>
      <c r="AJ38" s="2900"/>
      <c r="AK38" s="2902"/>
      <c r="AL38" s="2900"/>
      <c r="AM38" s="2902"/>
      <c r="AN38" s="2900"/>
      <c r="AO38" s="2902"/>
      <c r="AP38" s="2921"/>
      <c r="AQ38" s="2904"/>
      <c r="AR38" s="2900"/>
      <c r="AS38" s="2904"/>
      <c r="AT38" s="2900"/>
      <c r="AU38" s="2904"/>
      <c r="AV38" s="2900"/>
      <c r="AW38" s="2904"/>
      <c r="AX38" s="2900"/>
      <c r="AY38" s="2902"/>
      <c r="AZ38" s="2906"/>
      <c r="BA38" s="2896"/>
      <c r="BB38" s="2896"/>
      <c r="BC38" s="2916"/>
      <c r="BD38" s="2906"/>
      <c r="BE38" s="2906"/>
      <c r="BF38" s="2899"/>
      <c r="BG38" s="2919"/>
      <c r="BH38" s="2899"/>
      <c r="BI38" s="2919"/>
      <c r="BJ38" s="2908"/>
    </row>
    <row r="39" spans="1:62" s="134" customFormat="1" ht="28.5">
      <c r="A39" s="3013"/>
      <c r="B39" s="3028"/>
      <c r="C39" s="3028"/>
      <c r="D39" s="3028"/>
      <c r="E39" s="3028"/>
      <c r="F39" s="3028"/>
      <c r="G39" s="3028"/>
      <c r="H39" s="3028"/>
      <c r="I39" s="3028"/>
      <c r="J39" s="2929"/>
      <c r="K39" s="2909"/>
      <c r="L39" s="2931"/>
      <c r="M39" s="2929"/>
      <c r="N39" s="2933"/>
      <c r="O39" s="2906"/>
      <c r="P39" s="2906"/>
      <c r="Q39" s="2909"/>
      <c r="R39" s="2924"/>
      <c r="S39" s="2926"/>
      <c r="T39" s="2909"/>
      <c r="U39" s="2909"/>
      <c r="V39" s="215" t="s">
        <v>185</v>
      </c>
      <c r="W39" s="266">
        <v>5025000</v>
      </c>
      <c r="X39" s="234">
        <v>600000</v>
      </c>
      <c r="Y39" s="234">
        <v>600000</v>
      </c>
      <c r="Z39" s="2928"/>
      <c r="AA39" s="2906"/>
      <c r="AB39" s="2900"/>
      <c r="AC39" s="2902"/>
      <c r="AD39" s="2900"/>
      <c r="AE39" s="2902"/>
      <c r="AF39" s="2900"/>
      <c r="AG39" s="2902"/>
      <c r="AH39" s="2900"/>
      <c r="AI39" s="2904"/>
      <c r="AJ39" s="2900"/>
      <c r="AK39" s="2902"/>
      <c r="AL39" s="2900"/>
      <c r="AM39" s="2902"/>
      <c r="AN39" s="2900"/>
      <c r="AO39" s="2902"/>
      <c r="AP39" s="2921"/>
      <c r="AQ39" s="2904"/>
      <c r="AR39" s="2900"/>
      <c r="AS39" s="2904"/>
      <c r="AT39" s="2900"/>
      <c r="AU39" s="2904"/>
      <c r="AV39" s="2900"/>
      <c r="AW39" s="2904"/>
      <c r="AX39" s="2900"/>
      <c r="AY39" s="2902"/>
      <c r="AZ39" s="2906"/>
      <c r="BA39" s="2896"/>
      <c r="BB39" s="2896"/>
      <c r="BC39" s="2916"/>
      <c r="BD39" s="2906"/>
      <c r="BE39" s="2906"/>
      <c r="BF39" s="2899"/>
      <c r="BG39" s="2919"/>
      <c r="BH39" s="2899"/>
      <c r="BI39" s="2919"/>
      <c r="BJ39" s="2908"/>
    </row>
    <row r="40" spans="1:62" s="134" customFormat="1" ht="42.75">
      <c r="A40" s="3013"/>
      <c r="B40" s="3028"/>
      <c r="C40" s="3028"/>
      <c r="D40" s="3028"/>
      <c r="E40" s="3028"/>
      <c r="F40" s="3028"/>
      <c r="G40" s="3028"/>
      <c r="H40" s="3028"/>
      <c r="I40" s="3028"/>
      <c r="J40" s="2929"/>
      <c r="K40" s="2909"/>
      <c r="L40" s="2931"/>
      <c r="M40" s="2929"/>
      <c r="N40" s="2933"/>
      <c r="O40" s="2906"/>
      <c r="P40" s="2906"/>
      <c r="Q40" s="2909"/>
      <c r="R40" s="2924"/>
      <c r="S40" s="2926"/>
      <c r="T40" s="2909"/>
      <c r="U40" s="2909"/>
      <c r="V40" s="215" t="s">
        <v>186</v>
      </c>
      <c r="W40" s="266">
        <v>31075000</v>
      </c>
      <c r="X40" s="234">
        <v>0</v>
      </c>
      <c r="Y40" s="234"/>
      <c r="Z40" s="2928"/>
      <c r="AA40" s="2906"/>
      <c r="AB40" s="2900"/>
      <c r="AC40" s="2902"/>
      <c r="AD40" s="2900"/>
      <c r="AE40" s="2902"/>
      <c r="AF40" s="2900"/>
      <c r="AG40" s="2902"/>
      <c r="AH40" s="2900"/>
      <c r="AI40" s="2904"/>
      <c r="AJ40" s="2900"/>
      <c r="AK40" s="2902"/>
      <c r="AL40" s="2900"/>
      <c r="AM40" s="2902"/>
      <c r="AN40" s="2900"/>
      <c r="AO40" s="2902"/>
      <c r="AP40" s="2921"/>
      <c r="AQ40" s="2904"/>
      <c r="AR40" s="2900"/>
      <c r="AS40" s="2904"/>
      <c r="AT40" s="2900"/>
      <c r="AU40" s="2904"/>
      <c r="AV40" s="2900"/>
      <c r="AW40" s="2904"/>
      <c r="AX40" s="2900"/>
      <c r="AY40" s="2902"/>
      <c r="AZ40" s="2906"/>
      <c r="BA40" s="2896"/>
      <c r="BB40" s="2896"/>
      <c r="BC40" s="2916"/>
      <c r="BD40" s="2906"/>
      <c r="BE40" s="2906"/>
      <c r="BF40" s="2899"/>
      <c r="BG40" s="2919"/>
      <c r="BH40" s="2899"/>
      <c r="BI40" s="2919"/>
      <c r="BJ40" s="2908"/>
    </row>
    <row r="41" spans="1:62" s="134" customFormat="1" ht="53.25" customHeight="1">
      <c r="A41" s="3013"/>
      <c r="B41" s="3028"/>
      <c r="C41" s="3028"/>
      <c r="D41" s="3028"/>
      <c r="E41" s="3028"/>
      <c r="F41" s="3028"/>
      <c r="G41" s="3012"/>
      <c r="H41" s="3012"/>
      <c r="I41" s="3012"/>
      <c r="J41" s="2930"/>
      <c r="K41" s="2910"/>
      <c r="L41" s="2905"/>
      <c r="M41" s="2930"/>
      <c r="N41" s="2933"/>
      <c r="O41" s="2906"/>
      <c r="P41" s="2906"/>
      <c r="Q41" s="2910"/>
      <c r="R41" s="2925"/>
      <c r="S41" s="2895"/>
      <c r="T41" s="2910"/>
      <c r="U41" s="2910"/>
      <c r="V41" s="224" t="s">
        <v>187</v>
      </c>
      <c r="W41" s="269">
        <v>50000000</v>
      </c>
      <c r="X41" s="234">
        <v>0</v>
      </c>
      <c r="Y41" s="234"/>
      <c r="Z41" s="2928"/>
      <c r="AA41" s="2906"/>
      <c r="AB41" s="2901"/>
      <c r="AC41" s="2903"/>
      <c r="AD41" s="2901"/>
      <c r="AE41" s="2903"/>
      <c r="AF41" s="2901"/>
      <c r="AG41" s="2903"/>
      <c r="AH41" s="2901"/>
      <c r="AI41" s="2904"/>
      <c r="AJ41" s="2901"/>
      <c r="AK41" s="2903"/>
      <c r="AL41" s="2901"/>
      <c r="AM41" s="2903"/>
      <c r="AN41" s="2901"/>
      <c r="AO41" s="2903"/>
      <c r="AP41" s="2921"/>
      <c r="AQ41" s="2904"/>
      <c r="AR41" s="2901"/>
      <c r="AS41" s="2904"/>
      <c r="AT41" s="2901"/>
      <c r="AU41" s="2904"/>
      <c r="AV41" s="2901"/>
      <c r="AW41" s="2904"/>
      <c r="AX41" s="2901"/>
      <c r="AY41" s="2903"/>
      <c r="AZ41" s="2906"/>
      <c r="BA41" s="2896"/>
      <c r="BB41" s="2896"/>
      <c r="BC41" s="2916"/>
      <c r="BD41" s="2906"/>
      <c r="BE41" s="2906"/>
      <c r="BF41" s="2899"/>
      <c r="BG41" s="2919"/>
      <c r="BH41" s="2899"/>
      <c r="BI41" s="2919"/>
      <c r="BJ41" s="2908"/>
    </row>
    <row r="42" spans="1:62" s="134" customFormat="1" ht="122.25" customHeight="1" thickBot="1">
      <c r="A42" s="3013"/>
      <c r="B42" s="3012"/>
      <c r="C42" s="3012"/>
      <c r="D42" s="3012"/>
      <c r="E42" s="3012"/>
      <c r="F42" s="3028"/>
      <c r="G42" s="3012"/>
      <c r="H42" s="3012"/>
      <c r="I42" s="3012"/>
      <c r="J42" s="2930"/>
      <c r="K42" s="2910"/>
      <c r="L42" s="2905"/>
      <c r="M42" s="2930"/>
      <c r="N42" s="2933"/>
      <c r="O42" s="2906"/>
      <c r="P42" s="2906"/>
      <c r="Q42" s="2910"/>
      <c r="R42" s="2925"/>
      <c r="S42" s="2895"/>
      <c r="T42" s="2910"/>
      <c r="U42" s="2910"/>
      <c r="V42" s="224" t="s">
        <v>188</v>
      </c>
      <c r="W42" s="269">
        <v>15000000</v>
      </c>
      <c r="X42" s="233">
        <v>10500000</v>
      </c>
      <c r="Y42" s="233">
        <v>10500000</v>
      </c>
      <c r="Z42" s="2928"/>
      <c r="AA42" s="2906"/>
      <c r="AB42" s="2901"/>
      <c r="AC42" s="2903"/>
      <c r="AD42" s="2901"/>
      <c r="AE42" s="2903"/>
      <c r="AF42" s="2901"/>
      <c r="AG42" s="2903"/>
      <c r="AH42" s="2901"/>
      <c r="AI42" s="2904"/>
      <c r="AJ42" s="2901"/>
      <c r="AK42" s="2903"/>
      <c r="AL42" s="2901"/>
      <c r="AM42" s="2903"/>
      <c r="AN42" s="2901"/>
      <c r="AO42" s="2903"/>
      <c r="AP42" s="2922"/>
      <c r="AQ42" s="2923"/>
      <c r="AR42" s="2901"/>
      <c r="AS42" s="2904"/>
      <c r="AT42" s="2901"/>
      <c r="AU42" s="2904"/>
      <c r="AV42" s="2901"/>
      <c r="AW42" s="2904"/>
      <c r="AX42" s="2901"/>
      <c r="AY42" s="2903"/>
      <c r="AZ42" s="2906"/>
      <c r="BA42" s="2897"/>
      <c r="BB42" s="2897"/>
      <c r="BC42" s="2917"/>
      <c r="BD42" s="2906"/>
      <c r="BE42" s="2906"/>
      <c r="BF42" s="2899"/>
      <c r="BG42" s="2920"/>
      <c r="BH42" s="2899"/>
      <c r="BI42" s="2920"/>
      <c r="BJ42" s="2908"/>
    </row>
    <row r="43" spans="1:62" s="273" customFormat="1" ht="22.5" customHeight="1" thickBot="1">
      <c r="A43" s="270"/>
      <c r="B43" s="271"/>
      <c r="C43" s="271"/>
      <c r="D43" s="271"/>
      <c r="E43" s="272"/>
      <c r="G43" s="2911" t="s">
        <v>96</v>
      </c>
      <c r="H43" s="2912"/>
      <c r="I43" s="2912"/>
      <c r="J43" s="2912"/>
      <c r="K43" s="2912"/>
      <c r="L43" s="2912"/>
      <c r="M43" s="2912"/>
      <c r="N43" s="2912"/>
      <c r="O43" s="2912"/>
      <c r="P43" s="2912"/>
      <c r="Q43" s="2912"/>
      <c r="R43" s="2913"/>
      <c r="S43" s="123">
        <f>SUM(S19:S42)</f>
        <v>542876980</v>
      </c>
      <c r="T43" s="274"/>
      <c r="U43" s="275"/>
      <c r="V43" s="276"/>
      <c r="W43" s="277">
        <f>SUM(W19:W42)</f>
        <v>542876980</v>
      </c>
      <c r="X43" s="277">
        <f>SUM(X19:X42)</f>
        <v>418393180</v>
      </c>
      <c r="Y43" s="277">
        <f>SUM(Y19:Y42)</f>
        <v>369154274</v>
      </c>
      <c r="Z43" s="278"/>
      <c r="AA43" s="135"/>
      <c r="AB43" s="271"/>
      <c r="AC43" s="279"/>
      <c r="AD43" s="271"/>
      <c r="AE43" s="279"/>
      <c r="AF43" s="271"/>
      <c r="AG43" s="279"/>
      <c r="AH43" s="271"/>
      <c r="AI43" s="279"/>
      <c r="AJ43" s="271"/>
      <c r="AK43" s="279"/>
      <c r="AL43" s="271"/>
      <c r="AM43" s="279"/>
      <c r="AN43" s="271"/>
      <c r="AO43" s="279"/>
      <c r="AP43" s="271"/>
      <c r="AQ43" s="279"/>
      <c r="AR43" s="271"/>
      <c r="AS43" s="279"/>
      <c r="AT43" s="271"/>
      <c r="AU43" s="279"/>
      <c r="AV43" s="271"/>
      <c r="AW43" s="279"/>
      <c r="AX43" s="271"/>
      <c r="AY43" s="279"/>
      <c r="AZ43" s="271"/>
      <c r="BA43" s="280">
        <f>SUM(BA19:BA42)</f>
        <v>418393180</v>
      </c>
      <c r="BB43" s="280">
        <f>SUM(BB19:BB42)</f>
        <v>418393180</v>
      </c>
      <c r="BC43" s="271"/>
      <c r="BD43" s="271"/>
      <c r="BE43" s="271"/>
      <c r="BF43" s="281"/>
      <c r="BG43" s="282"/>
      <c r="BH43" s="283"/>
      <c r="BI43" s="284"/>
      <c r="BJ43" s="285"/>
    </row>
    <row r="44" spans="14:61" s="131" customFormat="1" ht="14.25">
      <c r="N44" s="125"/>
      <c r="O44" s="4"/>
      <c r="S44" s="286"/>
      <c r="T44" s="134"/>
      <c r="U44" s="134"/>
      <c r="V44" s="134"/>
      <c r="W44" s="287"/>
      <c r="X44" s="178"/>
      <c r="Y44" s="178"/>
      <c r="Z44" s="134"/>
      <c r="AC44" s="125"/>
      <c r="AE44" s="125"/>
      <c r="AG44" s="125"/>
      <c r="AI44" s="125"/>
      <c r="AK44" s="125"/>
      <c r="AM44" s="125"/>
      <c r="AO44" s="125"/>
      <c r="AQ44" s="125"/>
      <c r="AS44" s="125"/>
      <c r="AU44" s="125"/>
      <c r="AW44" s="125"/>
      <c r="AY44" s="125"/>
      <c r="BB44" s="307"/>
      <c r="BF44" s="133"/>
      <c r="BG44" s="288"/>
      <c r="BH44" s="133"/>
      <c r="BI44" s="288"/>
    </row>
    <row r="45" spans="19:25" ht="15">
      <c r="S45" s="309"/>
      <c r="W45" s="2640"/>
      <c r="X45" s="2640"/>
      <c r="Y45" s="2640"/>
    </row>
    <row r="46" ht="14.25">
      <c r="S46" s="1"/>
    </row>
    <row r="47" spans="22:25" ht="14.25">
      <c r="V47" s="289"/>
      <c r="W47" s="308"/>
      <c r="X47" s="308"/>
      <c r="Y47" s="308"/>
    </row>
    <row r="49" spans="13:16" ht="15">
      <c r="M49" s="2914" t="s">
        <v>178</v>
      </c>
      <c r="N49" s="2914"/>
      <c r="O49" s="2914"/>
      <c r="P49" s="2914"/>
    </row>
    <row r="50" spans="13:16" ht="14.25">
      <c r="M50" s="2882" t="s">
        <v>1923</v>
      </c>
      <c r="N50" s="2882"/>
      <c r="O50" s="2882"/>
      <c r="P50" s="2882"/>
    </row>
  </sheetData>
  <sheetProtection/>
  <mergeCells count="312">
    <mergeCell ref="H7:I15"/>
    <mergeCell ref="AA7:AA15"/>
    <mergeCell ref="AB7:AM7"/>
    <mergeCell ref="AN7:AY7"/>
    <mergeCell ref="AZ7:BE7"/>
    <mergeCell ref="AP8:AQ8"/>
    <mergeCell ref="AR8:AS8"/>
    <mergeCell ref="Q7:Q15"/>
    <mergeCell ref="R7:R15"/>
    <mergeCell ref="S7:S15"/>
    <mergeCell ref="T7:T15"/>
    <mergeCell ref="U7:U15"/>
    <mergeCell ref="V7:V15"/>
    <mergeCell ref="AJ8:AK8"/>
    <mergeCell ref="AL8:AM8"/>
    <mergeCell ref="AN8:AO8"/>
    <mergeCell ref="AT8:AU8"/>
    <mergeCell ref="AV8:AW8"/>
    <mergeCell ref="BF7:BG8"/>
    <mergeCell ref="A1:BF4"/>
    <mergeCell ref="A5:M6"/>
    <mergeCell ref="Q5:BJ5"/>
    <mergeCell ref="Q6:AA6"/>
    <mergeCell ref="AB6:AY6"/>
    <mergeCell ref="BF6:BJ6"/>
    <mergeCell ref="J7:J15"/>
    <mergeCell ref="K7:K15"/>
    <mergeCell ref="L7:L15"/>
    <mergeCell ref="M7:N8"/>
    <mergeCell ref="O7:O15"/>
    <mergeCell ref="P7:P9"/>
    <mergeCell ref="A7:A15"/>
    <mergeCell ref="B7:C15"/>
    <mergeCell ref="D7:D15"/>
    <mergeCell ref="E7:F15"/>
    <mergeCell ref="G7:G15"/>
    <mergeCell ref="BH7:BI8"/>
    <mergeCell ref="BJ7:BJ15"/>
    <mergeCell ref="AB8:AC8"/>
    <mergeCell ref="AD8:AE8"/>
    <mergeCell ref="AF8:AG8"/>
    <mergeCell ref="AH8:AI8"/>
    <mergeCell ref="M19:M21"/>
    <mergeCell ref="N19:N21"/>
    <mergeCell ref="O19:O21"/>
    <mergeCell ref="P19:P21"/>
    <mergeCell ref="Q19:Q21"/>
    <mergeCell ref="R19:R21"/>
    <mergeCell ref="BE8:BE9"/>
    <mergeCell ref="A17:A42"/>
    <mergeCell ref="B17:C42"/>
    <mergeCell ref="D18:D42"/>
    <mergeCell ref="E18:F42"/>
    <mergeCell ref="G19:G42"/>
    <mergeCell ref="H19:I42"/>
    <mergeCell ref="J19:J21"/>
    <mergeCell ref="K19:K21"/>
    <mergeCell ref="L19:L21"/>
    <mergeCell ref="AX8:AY8"/>
    <mergeCell ref="AZ8:AZ9"/>
    <mergeCell ref="BA8:BA9"/>
    <mergeCell ref="BB8:BB9"/>
    <mergeCell ref="BC8:BC9"/>
    <mergeCell ref="BD8:BD9"/>
    <mergeCell ref="W7:Y8"/>
    <mergeCell ref="Z7:Z9"/>
    <mergeCell ref="AC19:AC21"/>
    <mergeCell ref="AD19:AD21"/>
    <mergeCell ref="AE19:AE21"/>
    <mergeCell ref="AF19:AF21"/>
    <mergeCell ref="AG19:AG21"/>
    <mergeCell ref="AH19:AH21"/>
    <mergeCell ref="S19:S21"/>
    <mergeCell ref="T19:T21"/>
    <mergeCell ref="U19:U21"/>
    <mergeCell ref="Z19:Z21"/>
    <mergeCell ref="AA19:AA21"/>
    <mergeCell ref="AB19:AB21"/>
    <mergeCell ref="AQ19:AQ21"/>
    <mergeCell ref="AR19:AR21"/>
    <mergeCell ref="AS19:AS21"/>
    <mergeCell ref="AT19:AT21"/>
    <mergeCell ref="AI19:AI21"/>
    <mergeCell ref="AJ19:AJ21"/>
    <mergeCell ref="AK19:AK21"/>
    <mergeCell ref="AL19:AL21"/>
    <mergeCell ref="AM19:AM21"/>
    <mergeCell ref="AN19:AN21"/>
    <mergeCell ref="BG19:BG21"/>
    <mergeCell ref="BH19:BH21"/>
    <mergeCell ref="BI19:BI21"/>
    <mergeCell ref="BJ19:BJ21"/>
    <mergeCell ref="J22:J25"/>
    <mergeCell ref="K22:K25"/>
    <mergeCell ref="L22:L25"/>
    <mergeCell ref="M22:M25"/>
    <mergeCell ref="N22:N25"/>
    <mergeCell ref="O22:O25"/>
    <mergeCell ref="BA19:BA21"/>
    <mergeCell ref="BB19:BB21"/>
    <mergeCell ref="BC19:BC21"/>
    <mergeCell ref="BD19:BD21"/>
    <mergeCell ref="BE19:BE21"/>
    <mergeCell ref="BF19:BF21"/>
    <mergeCell ref="AU19:AU21"/>
    <mergeCell ref="AV19:AV21"/>
    <mergeCell ref="AW19:AW21"/>
    <mergeCell ref="AX19:AX21"/>
    <mergeCell ref="AY19:AY21"/>
    <mergeCell ref="AZ19:AZ21"/>
    <mergeCell ref="AO19:AO21"/>
    <mergeCell ref="AP19:AP21"/>
    <mergeCell ref="AA22:AA25"/>
    <mergeCell ref="AB22:AB25"/>
    <mergeCell ref="AC22:AC25"/>
    <mergeCell ref="AD22:AD25"/>
    <mergeCell ref="AE22:AE25"/>
    <mergeCell ref="AF22:AF25"/>
    <mergeCell ref="P22:P25"/>
    <mergeCell ref="Q22:Q25"/>
    <mergeCell ref="R22:R25"/>
    <mergeCell ref="S22:S25"/>
    <mergeCell ref="T22:T25"/>
    <mergeCell ref="Z22:Z25"/>
    <mergeCell ref="AN22:AN25"/>
    <mergeCell ref="AO22:AO25"/>
    <mergeCell ref="AP22:AP25"/>
    <mergeCell ref="AQ22:AQ25"/>
    <mergeCell ref="AR22:AR25"/>
    <mergeCell ref="AG22:AG25"/>
    <mergeCell ref="AH22:AH25"/>
    <mergeCell ref="AI22:AI25"/>
    <mergeCell ref="AJ22:AJ25"/>
    <mergeCell ref="AK22:AK25"/>
    <mergeCell ref="AL22:AL25"/>
    <mergeCell ref="AA26:AA29"/>
    <mergeCell ref="BJ22:BJ25"/>
    <mergeCell ref="U23:U24"/>
    <mergeCell ref="J26:J29"/>
    <mergeCell ref="K26:K29"/>
    <mergeCell ref="L26:L29"/>
    <mergeCell ref="M26:M29"/>
    <mergeCell ref="N26:N29"/>
    <mergeCell ref="O26:O27"/>
    <mergeCell ref="P26:P29"/>
    <mergeCell ref="Q26:Q29"/>
    <mergeCell ref="AY22:AY25"/>
    <mergeCell ref="AZ22:AZ25"/>
    <mergeCell ref="BD22:BD25"/>
    <mergeCell ref="BE22:BE25"/>
    <mergeCell ref="BF22:BF25"/>
    <mergeCell ref="BH22:BH25"/>
    <mergeCell ref="AS22:AS25"/>
    <mergeCell ref="AT22:AT25"/>
    <mergeCell ref="AU22:AU25"/>
    <mergeCell ref="AV22:AV25"/>
    <mergeCell ref="AW22:AW25"/>
    <mergeCell ref="AX22:AX25"/>
    <mergeCell ref="AM22:AM25"/>
    <mergeCell ref="BI26:BI29"/>
    <mergeCell ref="BJ26:BJ29"/>
    <mergeCell ref="O28:O29"/>
    <mergeCell ref="S28:S29"/>
    <mergeCell ref="U28:U29"/>
    <mergeCell ref="BA26:BA29"/>
    <mergeCell ref="BB26:BB29"/>
    <mergeCell ref="BC26:BC29"/>
    <mergeCell ref="BD26:BD29"/>
    <mergeCell ref="BE26:BE29"/>
    <mergeCell ref="AT26:AT29"/>
    <mergeCell ref="AU26:AU29"/>
    <mergeCell ref="AV26:AV29"/>
    <mergeCell ref="AW26:AW29"/>
    <mergeCell ref="AX26:AX29"/>
    <mergeCell ref="AY26:AY29"/>
    <mergeCell ref="AN26:AN29"/>
    <mergeCell ref="AO26:AO29"/>
    <mergeCell ref="AP26:AP29"/>
    <mergeCell ref="AQ26:AQ29"/>
    <mergeCell ref="AR26:AR29"/>
    <mergeCell ref="AS26:AS29"/>
    <mergeCell ref="AH26:AH29"/>
    <mergeCell ref="AI26:AI29"/>
    <mergeCell ref="J30:J33"/>
    <mergeCell ref="K30:K33"/>
    <mergeCell ref="L30:L33"/>
    <mergeCell ref="M30:M33"/>
    <mergeCell ref="N30:N33"/>
    <mergeCell ref="O30:O31"/>
    <mergeCell ref="BF26:BF29"/>
    <mergeCell ref="BG26:BG29"/>
    <mergeCell ref="BH26:BH29"/>
    <mergeCell ref="AJ26:AJ29"/>
    <mergeCell ref="AK26:AK29"/>
    <mergeCell ref="AL26:AL29"/>
    <mergeCell ref="AM26:AM29"/>
    <mergeCell ref="AB26:AB29"/>
    <mergeCell ref="AC26:AC29"/>
    <mergeCell ref="AD26:AD29"/>
    <mergeCell ref="AE26:AE29"/>
    <mergeCell ref="AF26:AF29"/>
    <mergeCell ref="AG26:AG29"/>
    <mergeCell ref="R26:R29"/>
    <mergeCell ref="S26:S27"/>
    <mergeCell ref="T26:T29"/>
    <mergeCell ref="U26:U27"/>
    <mergeCell ref="Z26:Z29"/>
    <mergeCell ref="X30:X32"/>
    <mergeCell ref="Y30:Y32"/>
    <mergeCell ref="Z30:Z33"/>
    <mergeCell ref="AA30:AA33"/>
    <mergeCell ref="AB30:AB33"/>
    <mergeCell ref="AC30:AC33"/>
    <mergeCell ref="P30:P33"/>
    <mergeCell ref="Q30:Q33"/>
    <mergeCell ref="R30:R33"/>
    <mergeCell ref="S30:S31"/>
    <mergeCell ref="T30:T33"/>
    <mergeCell ref="U30:U33"/>
    <mergeCell ref="AL30:AL33"/>
    <mergeCell ref="AM30:AM33"/>
    <mergeCell ref="AN30:AN33"/>
    <mergeCell ref="AO30:AO33"/>
    <mergeCell ref="AD30:AD33"/>
    <mergeCell ref="AE30:AE33"/>
    <mergeCell ref="AF30:AF33"/>
    <mergeCell ref="AG30:AG33"/>
    <mergeCell ref="AH30:AH33"/>
    <mergeCell ref="AI30:AI33"/>
    <mergeCell ref="BH30:BH33"/>
    <mergeCell ref="BI30:BI33"/>
    <mergeCell ref="BJ30:BJ33"/>
    <mergeCell ref="O32:O33"/>
    <mergeCell ref="S32:S33"/>
    <mergeCell ref="BB30:BB33"/>
    <mergeCell ref="BC30:BC33"/>
    <mergeCell ref="BD30:BD33"/>
    <mergeCell ref="BE30:BE33"/>
    <mergeCell ref="BF30:BF33"/>
    <mergeCell ref="BG30:BG33"/>
    <mergeCell ref="AV30:AV33"/>
    <mergeCell ref="AW30:AW33"/>
    <mergeCell ref="AX30:AX33"/>
    <mergeCell ref="AY30:AY33"/>
    <mergeCell ref="BA30:BA33"/>
    <mergeCell ref="AP30:AP33"/>
    <mergeCell ref="AQ30:AQ33"/>
    <mergeCell ref="AR30:AR33"/>
    <mergeCell ref="AS30:AS33"/>
    <mergeCell ref="AT30:AT33"/>
    <mergeCell ref="AU30:AU33"/>
    <mergeCell ref="AJ30:AJ33"/>
    <mergeCell ref="AK30:AK33"/>
    <mergeCell ref="Q34:Q42"/>
    <mergeCell ref="R34:R42"/>
    <mergeCell ref="S34:S42"/>
    <mergeCell ref="T34:T42"/>
    <mergeCell ref="Z34:Z42"/>
    <mergeCell ref="J34:J42"/>
    <mergeCell ref="K34:K42"/>
    <mergeCell ref="L34:L42"/>
    <mergeCell ref="M34:M42"/>
    <mergeCell ref="N34:N42"/>
    <mergeCell ref="O34:O42"/>
    <mergeCell ref="BJ34:BJ42"/>
    <mergeCell ref="U35:U42"/>
    <mergeCell ref="G43:R43"/>
    <mergeCell ref="M49:P49"/>
    <mergeCell ref="BB34:BB42"/>
    <mergeCell ref="BC34:BC42"/>
    <mergeCell ref="BG34:BG42"/>
    <mergeCell ref="BI34:BI42"/>
    <mergeCell ref="AY34:AY42"/>
    <mergeCell ref="AZ34:AZ42"/>
    <mergeCell ref="BD34:BD42"/>
    <mergeCell ref="BE34:BE42"/>
    <mergeCell ref="BF34:BF42"/>
    <mergeCell ref="AS34:AS42"/>
    <mergeCell ref="AT34:AT42"/>
    <mergeCell ref="AU34:AU42"/>
    <mergeCell ref="AV34:AV42"/>
    <mergeCell ref="AW34:AW42"/>
    <mergeCell ref="AX34:AX42"/>
    <mergeCell ref="AM34:AM42"/>
    <mergeCell ref="AN34:AN42"/>
    <mergeCell ref="AO34:AO42"/>
    <mergeCell ref="AP34:AP42"/>
    <mergeCell ref="AQ34:AQ42"/>
    <mergeCell ref="M50:P50"/>
    <mergeCell ref="BG22:BG25"/>
    <mergeCell ref="BI22:BI25"/>
    <mergeCell ref="AZ30:AZ33"/>
    <mergeCell ref="BA22:BA25"/>
    <mergeCell ref="BB22:BB25"/>
    <mergeCell ref="BC22:BC25"/>
    <mergeCell ref="AZ26:AZ29"/>
    <mergeCell ref="BA34:BA42"/>
    <mergeCell ref="BH34:BH42"/>
    <mergeCell ref="AR34:AR42"/>
    <mergeCell ref="AG34:AG42"/>
    <mergeCell ref="AH34:AH42"/>
    <mergeCell ref="AI34:AI42"/>
    <mergeCell ref="AJ34:AJ42"/>
    <mergeCell ref="AK34:AK42"/>
    <mergeCell ref="AL34:AL42"/>
    <mergeCell ref="AA34:AA42"/>
    <mergeCell ref="AB34:AB42"/>
    <mergeCell ref="AC34:AC42"/>
    <mergeCell ref="AD34:AD42"/>
    <mergeCell ref="AE34:AE42"/>
    <mergeCell ref="AF34:AF42"/>
    <mergeCell ref="P34:P42"/>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BJ103"/>
  <sheetViews>
    <sheetView zoomScale="55" zoomScaleNormal="55" zoomScaleSheetLayoutView="40" zoomScalePageLayoutView="0" workbookViewId="0" topLeftCell="AT1">
      <selection activeCell="BH1" sqref="BH1"/>
    </sheetView>
  </sheetViews>
  <sheetFormatPr defaultColWidth="11.57421875" defaultRowHeight="15"/>
  <cols>
    <col min="1" max="1" width="15.8515625" style="4" customWidth="1"/>
    <col min="2" max="2" width="19.57421875" style="4" customWidth="1"/>
    <col min="3" max="3" width="13.421875" style="4" customWidth="1"/>
    <col min="4" max="4" width="19.140625" style="4" customWidth="1"/>
    <col min="5" max="5" width="13.28125" style="4" customWidth="1"/>
    <col min="6" max="6" width="25.57421875" style="4" customWidth="1"/>
    <col min="7" max="7" width="12.28125" style="616" customWidth="1"/>
    <col min="8" max="8" width="41.57421875" style="2112" customWidth="1"/>
    <col min="9" max="9" width="17.140625" style="4" customWidth="1"/>
    <col min="10" max="10" width="18.8515625" style="4" customWidth="1"/>
    <col min="11" max="11" width="18.8515625" style="125" customWidth="1"/>
    <col min="12" max="12" width="35.7109375" style="616" customWidth="1"/>
    <col min="13" max="13" width="10.57421875" style="4" customWidth="1"/>
    <col min="14" max="14" width="28.28125" style="24" customWidth="1"/>
    <col min="15" max="15" width="15.140625" style="4" customWidth="1"/>
    <col min="16" max="16" width="26.28125" style="780" customWidth="1"/>
    <col min="17" max="17" width="28.28125" style="4" customWidth="1"/>
    <col min="18" max="18" width="32.8515625" style="2112" customWidth="1"/>
    <col min="19" max="19" width="31.8515625" style="2112" customWidth="1"/>
    <col min="20" max="20" width="26.00390625" style="2321" customWidth="1"/>
    <col min="21" max="21" width="31.00390625" style="2322" customWidth="1"/>
    <col min="22" max="22" width="33.140625" style="2322" customWidth="1"/>
    <col min="23" max="23" width="15.28125" style="2288" customWidth="1"/>
    <col min="24" max="24" width="19.8515625" style="2291" customWidth="1"/>
    <col min="25" max="25" width="7.8515625" style="4" customWidth="1"/>
    <col min="26" max="26" width="8.00390625" style="125" customWidth="1"/>
    <col min="27" max="27" width="8.7109375" style="4" customWidth="1"/>
    <col min="28" max="28" width="9.00390625" style="125" customWidth="1"/>
    <col min="29" max="29" width="8.28125" style="4" customWidth="1"/>
    <col min="30" max="30" width="8.28125" style="125" customWidth="1"/>
    <col min="31" max="31" width="4.140625" style="4" customWidth="1"/>
    <col min="32" max="32" width="4.140625" style="125" customWidth="1"/>
    <col min="33" max="33" width="7.28125" style="4" customWidth="1"/>
    <col min="34" max="34" width="7.57421875" style="125" customWidth="1"/>
    <col min="35" max="35" width="4.140625" style="4" customWidth="1"/>
    <col min="36" max="36" width="4.140625" style="125" customWidth="1"/>
    <col min="37" max="37" width="6.7109375" style="4" customWidth="1"/>
    <col min="38" max="38" width="7.28125" style="125" customWidth="1"/>
    <col min="39" max="39" width="5.28125" style="4" customWidth="1"/>
    <col min="40" max="40" width="5.8515625" style="125" customWidth="1"/>
    <col min="41" max="41" width="4.7109375" style="4" customWidth="1"/>
    <col min="42" max="42" width="10.140625" style="125" customWidth="1"/>
    <col min="43" max="43" width="8.140625" style="4" customWidth="1"/>
    <col min="44" max="44" width="7.57421875" style="125" customWidth="1"/>
    <col min="45" max="45" width="15.28125" style="4" customWidth="1"/>
    <col min="46" max="46" width="7.57421875" style="125" customWidth="1"/>
    <col min="47" max="47" width="11.28125" style="4" customWidth="1"/>
    <col min="48" max="48" width="10.57421875" style="125" customWidth="1"/>
    <col min="49" max="49" width="19.8515625" style="4" customWidth="1"/>
    <col min="50" max="50" width="34.7109375" style="784" bestFit="1" customWidth="1"/>
    <col min="51" max="51" width="31.00390625" style="4" customWidth="1"/>
    <col min="52" max="52" width="25.8515625" style="4" customWidth="1"/>
    <col min="53" max="53" width="28.7109375" style="4" customWidth="1"/>
    <col min="54" max="54" width="31.00390625" style="4" customWidth="1"/>
    <col min="55" max="55" width="22.7109375" style="4" customWidth="1"/>
    <col min="56" max="56" width="22.7109375" style="125" customWidth="1"/>
    <col min="57" max="57" width="22.7109375" style="4" customWidth="1"/>
    <col min="58" max="58" width="22.7109375" style="125" customWidth="1"/>
    <col min="59" max="59" width="28.7109375" style="4" customWidth="1"/>
    <col min="60" max="16384" width="11.57421875" style="4" customWidth="1"/>
  </cols>
  <sheetData>
    <row r="1" spans="1:59" ht="21" customHeight="1">
      <c r="A1" t="s">
        <v>111</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s="639"/>
      <c r="BF1" s="2633" t="s">
        <v>97</v>
      </c>
      <c r="BG1" s="2633" t="s">
        <v>112</v>
      </c>
    </row>
    <row r="2" spans="1:59" ht="21"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s="639"/>
      <c r="BF2" s="2634" t="s">
        <v>98</v>
      </c>
      <c r="BG2" s="2635">
        <v>5</v>
      </c>
    </row>
    <row r="3" spans="1:59" ht="21"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s="639"/>
      <c r="BF3" s="2633" t="s">
        <v>99</v>
      </c>
      <c r="BG3" s="2636" t="s">
        <v>2149</v>
      </c>
    </row>
    <row r="4" spans="1:59" ht="21"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s="639"/>
      <c r="BF4" s="842" t="s">
        <v>100</v>
      </c>
      <c r="BG4" s="2637" t="s">
        <v>113</v>
      </c>
    </row>
    <row r="5" spans="1:59" ht="15">
      <c r="A5" s="3049" t="s">
        <v>0</v>
      </c>
      <c r="B5" s="3049"/>
      <c r="C5" s="3049"/>
      <c r="D5" s="3049"/>
      <c r="E5" s="3049"/>
      <c r="F5" s="3049"/>
      <c r="G5" s="3049"/>
      <c r="H5" s="3049"/>
      <c r="I5" s="3049"/>
      <c r="J5" s="3049"/>
      <c r="K5" s="3049"/>
      <c r="L5" s="3049"/>
      <c r="M5" s="3049"/>
      <c r="N5" s="2834"/>
      <c r="O5" s="2834"/>
      <c r="P5" s="2834"/>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row>
    <row r="6" spans="1:59" ht="14.25" customHeight="1" thickBot="1">
      <c r="A6" s="3049"/>
      <c r="B6" s="3049"/>
      <c r="C6" s="3049"/>
      <c r="D6" s="3049"/>
      <c r="E6" s="3049"/>
      <c r="F6" s="3049"/>
      <c r="G6" s="3049"/>
      <c r="H6" s="3049"/>
      <c r="I6" s="3049"/>
      <c r="J6" s="3049"/>
      <c r="K6" s="3049"/>
      <c r="L6" s="3049"/>
      <c r="M6" s="3049"/>
      <c r="N6" s="2834"/>
      <c r="O6" s="2834"/>
      <c r="P6" s="2835"/>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2836"/>
      <c r="BA6" s="2836"/>
      <c r="BB6" s="2836"/>
      <c r="BC6" s="2836"/>
      <c r="BD6" s="2836"/>
      <c r="BE6" s="2836"/>
      <c r="BF6" s="3050"/>
      <c r="BG6" s="3051"/>
    </row>
    <row r="7" spans="1:59" ht="28.5" customHeight="1">
      <c r="A7" s="3040" t="s">
        <v>3</v>
      </c>
      <c r="B7" s="3040" t="s">
        <v>503</v>
      </c>
      <c r="C7" s="3040" t="s">
        <v>3</v>
      </c>
      <c r="D7" s="3040" t="s">
        <v>504</v>
      </c>
      <c r="E7" s="3040" t="s">
        <v>3</v>
      </c>
      <c r="F7" s="3040" t="s">
        <v>505</v>
      </c>
      <c r="G7" s="3040" t="s">
        <v>3</v>
      </c>
      <c r="H7" t="s">
        <v>7</v>
      </c>
      <c r="I7" s="3040" t="s">
        <v>8</v>
      </c>
      <c r="J7" s="3034" t="s">
        <v>9</v>
      </c>
      <c r="K7" s="3036"/>
      <c r="L7" s="3040" t="s">
        <v>10</v>
      </c>
      <c r="M7" s="3040" t="s">
        <v>37</v>
      </c>
      <c r="N7" s="3040" t="s">
        <v>1</v>
      </c>
      <c r="O7" s="3040" t="s">
        <v>11</v>
      </c>
      <c r="P7" t="s">
        <v>506</v>
      </c>
      <c r="Q7" s="3040" t="s">
        <v>13</v>
      </c>
      <c r="R7" s="3040" t="s">
        <v>14</v>
      </c>
      <c r="S7" t="s">
        <v>15</v>
      </c>
      <c r="T7" t="s">
        <v>12</v>
      </c>
      <c r="U7"/>
      <c r="V7"/>
      <c r="W7" t="s">
        <v>3</v>
      </c>
      <c r="X7" t="s">
        <v>16</v>
      </c>
      <c r="Y7" s="3057" t="s">
        <v>17</v>
      </c>
      <c r="Z7" s="3058"/>
      <c r="AA7" s="3058"/>
      <c r="AB7" s="3058"/>
      <c r="AC7" s="3058"/>
      <c r="AD7" s="3058"/>
      <c r="AE7" s="3058"/>
      <c r="AF7" s="3058"/>
      <c r="AG7" s="3058"/>
      <c r="AH7" s="3058"/>
      <c r="AI7" s="3058"/>
      <c r="AJ7" s="3059"/>
      <c r="AK7" s="3057" t="s">
        <v>18</v>
      </c>
      <c r="AL7" s="3058"/>
      <c r="AM7" s="3058"/>
      <c r="AN7" s="3058"/>
      <c r="AO7" s="3058"/>
      <c r="AP7" s="3058"/>
      <c r="AQ7" s="3058"/>
      <c r="AR7" s="3058"/>
      <c r="AS7" s="3058"/>
      <c r="AT7" s="3058"/>
      <c r="AU7" s="3058"/>
      <c r="AV7" s="3059"/>
      <c r="AW7" s="3314" t="s">
        <v>119</v>
      </c>
      <c r="AX7" s="3315"/>
      <c r="AY7" s="3315"/>
      <c r="AZ7" s="3315"/>
      <c r="BA7" s="3315"/>
      <c r="BB7" s="3316"/>
      <c r="BC7" s="3317" t="s">
        <v>19</v>
      </c>
      <c r="BD7" s="3317"/>
      <c r="BE7" s="3317" t="s">
        <v>20</v>
      </c>
      <c r="BF7" s="3317"/>
      <c r="BG7" s="3309" t="s">
        <v>21</v>
      </c>
    </row>
    <row r="8" spans="1:59" ht="49.5" customHeight="1">
      <c r="A8" s="3041"/>
      <c r="B8" s="3041"/>
      <c r="C8" s="3041"/>
      <c r="D8" s="3041"/>
      <c r="E8" s="3041"/>
      <c r="F8" s="3041"/>
      <c r="G8" s="3041"/>
      <c r="H8"/>
      <c r="I8" s="3041"/>
      <c r="J8" s="3037"/>
      <c r="K8" s="3039"/>
      <c r="L8" s="3041"/>
      <c r="M8" s="3041"/>
      <c r="N8" s="3041"/>
      <c r="O8" s="3041"/>
      <c r="P8"/>
      <c r="Q8" s="3041"/>
      <c r="R8" s="3041"/>
      <c r="S8"/>
      <c r="T8"/>
      <c r="U8"/>
      <c r="V8"/>
      <c r="W8"/>
      <c r="X8"/>
      <c r="Y8" s="3034" t="s">
        <v>22</v>
      </c>
      <c r="Z8" s="3036"/>
      <c r="AA8" t="s">
        <v>23</v>
      </c>
      <c r="AB8"/>
      <c r="AC8" t="s">
        <v>24</v>
      </c>
      <c r="AD8"/>
      <c r="AE8" s="3034" t="s">
        <v>25</v>
      </c>
      <c r="AF8" s="3036"/>
      <c r="AG8" s="3034" t="s">
        <v>26</v>
      </c>
      <c r="AH8" s="3036"/>
      <c r="AI8" s="3034" t="s">
        <v>27</v>
      </c>
      <c r="AJ8" s="3036"/>
      <c r="AK8" s="3034" t="s">
        <v>28</v>
      </c>
      <c r="AL8" s="3036"/>
      <c r="AM8" s="3034" t="s">
        <v>29</v>
      </c>
      <c r="AN8" s="3036"/>
      <c r="AO8" s="3034" t="s">
        <v>30</v>
      </c>
      <c r="AP8" s="3036"/>
      <c r="AQ8" s="3034" t="s">
        <v>31</v>
      </c>
      <c r="AR8" s="3036"/>
      <c r="AS8" s="3034" t="s">
        <v>32</v>
      </c>
      <c r="AT8" s="3036"/>
      <c r="AU8" s="3053" t="s">
        <v>33</v>
      </c>
      <c r="AV8" s="3053"/>
      <c r="AW8" s="3031" t="s">
        <v>116</v>
      </c>
      <c r="AX8" t="s">
        <v>120</v>
      </c>
      <c r="AY8" s="3031" t="s">
        <v>121</v>
      </c>
      <c r="AZ8" s="3033" t="s">
        <v>117</v>
      </c>
      <c r="BA8" s="3031" t="s">
        <v>118</v>
      </c>
      <c r="BB8" s="3026" t="s">
        <v>122</v>
      </c>
      <c r="BC8" s="3317"/>
      <c r="BD8" s="3317"/>
      <c r="BE8" s="3317"/>
      <c r="BF8" s="3317"/>
      <c r="BG8" s="3310"/>
    </row>
    <row r="9" spans="1:59" ht="15">
      <c r="A9" s="3041"/>
      <c r="B9" s="3041"/>
      <c r="C9" s="3041"/>
      <c r="D9" s="3041"/>
      <c r="E9" s="3041"/>
      <c r="F9" s="3041"/>
      <c r="G9" s="3041"/>
      <c r="H9"/>
      <c r="I9" s="3041"/>
      <c r="J9" s="628" t="s">
        <v>106</v>
      </c>
      <c r="K9" s="640" t="s">
        <v>107</v>
      </c>
      <c r="L9" s="3041"/>
      <c r="M9" s="3041"/>
      <c r="N9" s="3041"/>
      <c r="O9" s="3041"/>
      <c r="P9"/>
      <c r="Q9" s="3041"/>
      <c r="R9" s="3041"/>
      <c r="S9"/>
      <c r="T9" s="2294" t="s">
        <v>105</v>
      </c>
      <c r="U9" s="2295" t="s">
        <v>115</v>
      </c>
      <c r="V9" s="2295" t="s">
        <v>114</v>
      </c>
      <c r="W9"/>
      <c r="X9"/>
      <c r="Y9" s="641" t="s">
        <v>106</v>
      </c>
      <c r="Z9" s="642" t="s">
        <v>107</v>
      </c>
      <c r="AA9" s="641" t="s">
        <v>106</v>
      </c>
      <c r="AB9" s="642" t="s">
        <v>107</v>
      </c>
      <c r="AC9" s="641" t="s">
        <v>106</v>
      </c>
      <c r="AD9" s="642" t="s">
        <v>107</v>
      </c>
      <c r="AE9" s="641" t="s">
        <v>106</v>
      </c>
      <c r="AF9" s="642" t="s">
        <v>107</v>
      </c>
      <c r="AG9" s="641" t="s">
        <v>106</v>
      </c>
      <c r="AH9" s="642" t="s">
        <v>107</v>
      </c>
      <c r="AI9" s="641" t="s">
        <v>106</v>
      </c>
      <c r="AJ9" s="642" t="s">
        <v>107</v>
      </c>
      <c r="AK9" s="641" t="s">
        <v>106</v>
      </c>
      <c r="AL9" s="642" t="s">
        <v>107</v>
      </c>
      <c r="AM9" s="641" t="s">
        <v>106</v>
      </c>
      <c r="AN9" s="642" t="s">
        <v>107</v>
      </c>
      <c r="AO9" s="641" t="s">
        <v>106</v>
      </c>
      <c r="AP9" s="642" t="s">
        <v>107</v>
      </c>
      <c r="AQ9" s="641" t="s">
        <v>106</v>
      </c>
      <c r="AR9" s="642" t="s">
        <v>107</v>
      </c>
      <c r="AS9" s="641" t="s">
        <v>106</v>
      </c>
      <c r="AT9" s="642" t="s">
        <v>107</v>
      </c>
      <c r="AU9" s="641" t="s">
        <v>106</v>
      </c>
      <c r="AV9" s="642" t="s">
        <v>107</v>
      </c>
      <c r="AW9" s="3031"/>
      <c r="AX9"/>
      <c r="AY9" s="3031"/>
      <c r="AZ9" s="3033"/>
      <c r="BA9" s="3031"/>
      <c r="BB9" s="3027"/>
      <c r="BC9" s="617" t="s">
        <v>106</v>
      </c>
      <c r="BD9" s="117" t="s">
        <v>107</v>
      </c>
      <c r="BE9" s="617" t="s">
        <v>108</v>
      </c>
      <c r="BF9" s="117" t="s">
        <v>107</v>
      </c>
      <c r="BG9" s="3310"/>
    </row>
    <row r="10" spans="1:59" ht="3.75" customHeight="1">
      <c r="A10" s="631"/>
      <c r="B10" s="630"/>
      <c r="C10" s="643"/>
      <c r="D10" s="631"/>
      <c r="E10" s="3042"/>
      <c r="F10" s="631"/>
      <c r="G10" s="629"/>
      <c r="H10" s="2182"/>
      <c r="I10" s="629"/>
      <c r="J10" s="95"/>
      <c r="K10" s="177"/>
      <c r="L10" s="629"/>
      <c r="M10" s="629"/>
      <c r="N10" s="629"/>
      <c r="O10" s="629"/>
      <c r="P10" s="644"/>
      <c r="Q10" s="3042"/>
      <c r="R10" s="1720"/>
      <c r="S10" s="2182"/>
      <c r="T10" s="2296"/>
      <c r="U10" s="2297"/>
      <c r="V10" s="2297"/>
      <c r="W10" s="644"/>
      <c r="X10" s="2182"/>
      <c r="Y10" s="645"/>
      <c r="Z10" s="646"/>
      <c r="AA10" s="645"/>
      <c r="AB10" s="646"/>
      <c r="AC10" s="645"/>
      <c r="AD10" s="646"/>
      <c r="AE10" s="645"/>
      <c r="AF10" s="646"/>
      <c r="AG10" s="645"/>
      <c r="AH10" s="646"/>
      <c r="AI10" s="645"/>
      <c r="AJ10" s="646"/>
      <c r="AK10" s="647"/>
      <c r="AL10" s="648"/>
      <c r="AM10" s="645"/>
      <c r="AN10" s="646"/>
      <c r="AO10" s="649"/>
      <c r="AP10" s="646"/>
      <c r="AQ10" s="645"/>
      <c r="AR10" s="646"/>
      <c r="AS10" s="650"/>
      <c r="AT10" s="651"/>
      <c r="AU10" s="650"/>
      <c r="AV10" s="651"/>
      <c r="AW10" s="650"/>
      <c r="AX10" s="652"/>
      <c r="AY10" s="650"/>
      <c r="AZ10" s="650"/>
      <c r="BA10" s="650"/>
      <c r="BB10" s="650"/>
      <c r="BC10" s="650"/>
      <c r="BD10" s="651"/>
      <c r="BE10" s="650"/>
      <c r="BF10" s="651"/>
      <c r="BG10" s="634"/>
    </row>
    <row r="11" spans="1:62" s="597" customFormat="1" ht="33.75" customHeight="1">
      <c r="A11" s="653">
        <v>3</v>
      </c>
      <c r="B11" s="654" t="s">
        <v>507</v>
      </c>
      <c r="C11" s="45"/>
      <c r="D11" s="45"/>
      <c r="E11" s="45"/>
      <c r="F11" s="45"/>
      <c r="G11" s="45"/>
      <c r="H11" s="46"/>
      <c r="I11" s="45"/>
      <c r="J11" s="45"/>
      <c r="K11" s="326"/>
      <c r="L11" s="45"/>
      <c r="M11" s="45"/>
      <c r="N11" s="45"/>
      <c r="O11" s="45"/>
      <c r="P11" s="45"/>
      <c r="Q11" s="45"/>
      <c r="R11" s="46"/>
      <c r="S11" s="46"/>
      <c r="T11" s="1891"/>
      <c r="U11" s="2298"/>
      <c r="V11" s="2298"/>
      <c r="W11" s="47"/>
      <c r="X11" s="46"/>
      <c r="Y11" s="45"/>
      <c r="Z11" s="326"/>
      <c r="AA11" s="45"/>
      <c r="AB11" s="326"/>
      <c r="AC11" s="45"/>
      <c r="AD11" s="326"/>
      <c r="AE11" s="45"/>
      <c r="AF11" s="326"/>
      <c r="AG11" s="45"/>
      <c r="AH11" s="326"/>
      <c r="AI11" s="45"/>
      <c r="AJ11" s="326"/>
      <c r="AK11" s="45"/>
      <c r="AL11" s="326"/>
      <c r="AM11" s="45"/>
      <c r="AN11" s="326"/>
      <c r="AO11" s="45"/>
      <c r="AP11" s="326"/>
      <c r="AQ11" s="45"/>
      <c r="AR11" s="326"/>
      <c r="AS11" s="45"/>
      <c r="AT11" s="326"/>
      <c r="AU11" s="45"/>
      <c r="AV11" s="326"/>
      <c r="AW11" s="45"/>
      <c r="AX11" s="655"/>
      <c r="AY11" s="45"/>
      <c r="AZ11" s="45"/>
      <c r="BA11" s="45"/>
      <c r="BB11" s="45"/>
      <c r="BC11" s="45"/>
      <c r="BD11" s="326"/>
      <c r="BE11" s="45"/>
      <c r="BF11" s="326"/>
      <c r="BG11" s="656"/>
      <c r="BH11" s="657"/>
      <c r="BI11" s="657"/>
      <c r="BJ11" s="658"/>
    </row>
    <row r="12" spans="1:62" s="597" customFormat="1" ht="15">
      <c r="A12" s="3737" t="s">
        <v>508</v>
      </c>
      <c r="B12" s="3738"/>
      <c r="C12" s="659">
        <v>5</v>
      </c>
      <c r="D12" s="70" t="s">
        <v>509</v>
      </c>
      <c r="E12" s="48"/>
      <c r="F12" s="48"/>
      <c r="G12" s="48"/>
      <c r="H12" s="49"/>
      <c r="I12" s="48"/>
      <c r="J12" s="48"/>
      <c r="K12" s="170"/>
      <c r="L12" s="48"/>
      <c r="M12" s="48"/>
      <c r="N12" s="48"/>
      <c r="O12" s="48"/>
      <c r="P12" s="48"/>
      <c r="Q12" s="48"/>
      <c r="R12" s="49"/>
      <c r="S12" s="49"/>
      <c r="T12" s="1893"/>
      <c r="U12" s="2299"/>
      <c r="V12" s="2299"/>
      <c r="W12" s="50"/>
      <c r="X12" s="49"/>
      <c r="Y12" s="48"/>
      <c r="Z12" s="170"/>
      <c r="AA12" s="48"/>
      <c r="AB12" s="170"/>
      <c r="AC12" s="48"/>
      <c r="AD12" s="170"/>
      <c r="AE12" s="48"/>
      <c r="AF12" s="170"/>
      <c r="AG12" s="48"/>
      <c r="AH12" s="170"/>
      <c r="AI12" s="48"/>
      <c r="AJ12" s="170"/>
      <c r="AK12" s="48"/>
      <c r="AL12" s="170"/>
      <c r="AM12" s="48"/>
      <c r="AN12" s="170"/>
      <c r="AO12" s="48"/>
      <c r="AP12" s="170"/>
      <c r="AQ12" s="48"/>
      <c r="AR12" s="170"/>
      <c r="AS12" s="48"/>
      <c r="AT12" s="170"/>
      <c r="AU12" s="48"/>
      <c r="AV12" s="170"/>
      <c r="AW12" s="48"/>
      <c r="AX12" s="660"/>
      <c r="AY12" s="48"/>
      <c r="AZ12" s="48"/>
      <c r="BA12" s="48"/>
      <c r="BB12" s="48"/>
      <c r="BC12" s="48"/>
      <c r="BD12" s="170"/>
      <c r="BE12" s="48"/>
      <c r="BF12" s="170"/>
      <c r="BG12" s="661"/>
      <c r="BH12" s="658"/>
      <c r="BI12" s="658"/>
      <c r="BJ12" s="658"/>
    </row>
    <row r="13" spans="1:62" ht="15">
      <c r="A13" s="3737"/>
      <c r="B13" s="3738"/>
      <c r="C13" s="3743"/>
      <c r="D13" s="3287"/>
      <c r="E13" s="662">
        <v>16</v>
      </c>
      <c r="F13" s="663" t="s">
        <v>510</v>
      </c>
      <c r="G13" s="51"/>
      <c r="H13" s="476"/>
      <c r="I13" s="51"/>
      <c r="J13" s="51"/>
      <c r="K13" s="475"/>
      <c r="L13" s="51"/>
      <c r="M13" s="51"/>
      <c r="N13" s="51"/>
      <c r="O13" s="51"/>
      <c r="P13" s="51"/>
      <c r="Q13" s="51"/>
      <c r="R13" s="476"/>
      <c r="S13" s="476"/>
      <c r="T13" s="1901"/>
      <c r="U13" s="2300"/>
      <c r="V13" s="2300"/>
      <c r="W13" s="2181"/>
      <c r="X13" s="476"/>
      <c r="Y13" s="51"/>
      <c r="Z13" s="475"/>
      <c r="AA13" s="51"/>
      <c r="AB13" s="475"/>
      <c r="AC13" s="51"/>
      <c r="AD13" s="475"/>
      <c r="AE13" s="51"/>
      <c r="AF13" s="475"/>
      <c r="AG13" s="51"/>
      <c r="AH13" s="475"/>
      <c r="AI13" s="51"/>
      <c r="AJ13" s="475"/>
      <c r="AK13" s="51"/>
      <c r="AL13" s="475"/>
      <c r="AM13" s="51"/>
      <c r="AN13" s="475"/>
      <c r="AO13" s="51"/>
      <c r="AP13" s="475"/>
      <c r="AQ13" s="51"/>
      <c r="AR13" s="475"/>
      <c r="AS13" s="51"/>
      <c r="AT13" s="475"/>
      <c r="AU13" s="51"/>
      <c r="AV13" s="475"/>
      <c r="AW13" s="51"/>
      <c r="AX13" s="664"/>
      <c r="AY13" s="51"/>
      <c r="AZ13" s="51"/>
      <c r="BA13" s="51"/>
      <c r="BB13" s="51"/>
      <c r="BC13" s="51"/>
      <c r="BD13" s="475"/>
      <c r="BE13" s="51"/>
      <c r="BF13" s="475"/>
      <c r="BG13" s="665"/>
      <c r="BH13" s="666"/>
      <c r="BI13" s="666"/>
      <c r="BJ13" s="477"/>
    </row>
    <row r="14" spans="1:62" s="24" customFormat="1" ht="28.5">
      <c r="A14" s="3737"/>
      <c r="B14" s="3738"/>
      <c r="C14" s="3744"/>
      <c r="D14" s="3288"/>
      <c r="E14" s="3733"/>
      <c r="F14" s="3735"/>
      <c r="G14" s="2905">
        <v>65</v>
      </c>
      <c r="H14" s="2910" t="s">
        <v>511</v>
      </c>
      <c r="I14" s="2905" t="s">
        <v>65</v>
      </c>
      <c r="J14" s="2907">
        <v>1</v>
      </c>
      <c r="K14">
        <v>1</v>
      </c>
      <c r="L14" s="667" t="s">
        <v>512</v>
      </c>
      <c r="M14" s="2905">
        <v>84</v>
      </c>
      <c r="N14" s="2909" t="s">
        <v>513</v>
      </c>
      <c r="O14">
        <v>0.69</v>
      </c>
      <c r="P14">
        <v>7595374483</v>
      </c>
      <c r="Q14" s="2905" t="s">
        <v>514</v>
      </c>
      <c r="R14" s="2910" t="s">
        <v>530</v>
      </c>
      <c r="S14" s="2910" t="s">
        <v>511</v>
      </c>
      <c r="T14">
        <v>2216796254</v>
      </c>
      <c r="U14">
        <v>1550108638</v>
      </c>
      <c r="V14">
        <v>1497108638</v>
      </c>
      <c r="W14" s="2176">
        <v>134</v>
      </c>
      <c r="X14" s="2168" t="s">
        <v>516</v>
      </c>
      <c r="Y14" s="2907">
        <v>2732</v>
      </c>
      <c r="Z14">
        <v>2732</v>
      </c>
      <c r="AA14" s="2907">
        <v>17360</v>
      </c>
      <c r="AB14">
        <v>17360</v>
      </c>
      <c r="AC14" s="2907">
        <v>21116</v>
      </c>
      <c r="AD14">
        <v>21116</v>
      </c>
      <c r="AE14" s="2907"/>
      <c r="AF14"/>
      <c r="AG14" s="2907">
        <v>4451</v>
      </c>
      <c r="AH14">
        <v>4451</v>
      </c>
      <c r="AI14" s="2907"/>
      <c r="AJ14"/>
      <c r="AK14" s="2907">
        <v>247</v>
      </c>
      <c r="AL14">
        <v>247</v>
      </c>
      <c r="AM14" s="2907">
        <v>217</v>
      </c>
      <c r="AN14">
        <v>217</v>
      </c>
      <c r="AO14" s="2907">
        <v>60</v>
      </c>
      <c r="AP14">
        <v>60</v>
      </c>
      <c r="AQ14" s="2907">
        <v>2484</v>
      </c>
      <c r="AR14">
        <v>2484</v>
      </c>
      <c r="AS14" s="2907">
        <v>4575</v>
      </c>
      <c r="AT14">
        <v>4575</v>
      </c>
      <c r="AU14" s="2907">
        <v>56</v>
      </c>
      <c r="AV14">
        <v>56</v>
      </c>
      <c r="AW14" s="2905">
        <v>21</v>
      </c>
      <c r="AX14">
        <f>+U14+U18+U19</f>
        <v>4950478143</v>
      </c>
      <c r="AY14" s="2895">
        <f>+V14+V18+V19</f>
        <v>4897478143</v>
      </c>
      <c r="AZ14" s="2925">
        <f>+AX14/P14</f>
        <v>0.6517753869911459</v>
      </c>
      <c r="BA14" s="2905" t="s">
        <v>517</v>
      </c>
      <c r="BB14" s="2905" t="s">
        <v>518</v>
      </c>
      <c r="BC14" s="2898">
        <v>42583</v>
      </c>
      <c r="BD14" s="2918">
        <v>42583</v>
      </c>
      <c r="BE14" s="2898">
        <v>42735</v>
      </c>
      <c r="BF14" s="2918">
        <v>42735</v>
      </c>
      <c r="BG14" s="2905" t="s">
        <v>519</v>
      </c>
      <c r="BH14" s="668"/>
      <c r="BI14" s="668"/>
      <c r="BJ14" s="668"/>
    </row>
    <row r="15" spans="1:62" s="24" customFormat="1" ht="14.25">
      <c r="A15" s="3737"/>
      <c r="B15" s="3738"/>
      <c r="C15" s="3744"/>
      <c r="D15" s="3288"/>
      <c r="E15" s="3736"/>
      <c r="F15" s="3738"/>
      <c r="G15" s="2906"/>
      <c r="H15" s="3292"/>
      <c r="I15" s="2906"/>
      <c r="J15" s="2908"/>
      <c r="K15"/>
      <c r="L15" s="667" t="s">
        <v>520</v>
      </c>
      <c r="M15" s="2906"/>
      <c r="N15" s="2909"/>
      <c r="O15"/>
      <c r="P15"/>
      <c r="Q15" s="2906"/>
      <c r="R15" s="3292"/>
      <c r="S15" s="3292"/>
      <c r="T15"/>
      <c r="U15"/>
      <c r="V15"/>
      <c r="W15" s="2180">
        <v>20</v>
      </c>
      <c r="X15" s="2169" t="s">
        <v>232</v>
      </c>
      <c r="Y15" s="2908"/>
      <c r="Z15"/>
      <c r="AA15" s="2908"/>
      <c r="AB15"/>
      <c r="AC15" s="2908"/>
      <c r="AD15"/>
      <c r="AE15" s="2908"/>
      <c r="AF15"/>
      <c r="AG15" s="2908"/>
      <c r="AH15"/>
      <c r="AI15" s="2908"/>
      <c r="AJ15"/>
      <c r="AK15" s="2908"/>
      <c r="AL15"/>
      <c r="AM15" s="2908"/>
      <c r="AN15"/>
      <c r="AO15" s="2908"/>
      <c r="AP15"/>
      <c r="AQ15" s="2908"/>
      <c r="AR15"/>
      <c r="AS15" s="2908"/>
      <c r="AT15"/>
      <c r="AU15" s="2908"/>
      <c r="AV15"/>
      <c r="AW15" s="2906"/>
      <c r="AX15"/>
      <c r="AY15" s="2906"/>
      <c r="AZ15" s="3271"/>
      <c r="BA15" s="2906"/>
      <c r="BB15" s="2906"/>
      <c r="BC15" s="2899"/>
      <c r="BD15" s="2919"/>
      <c r="BE15" s="2899"/>
      <c r="BF15" s="2919"/>
      <c r="BG15" s="2906"/>
      <c r="BH15" s="668"/>
      <c r="BI15" s="668"/>
      <c r="BJ15" s="668"/>
    </row>
    <row r="16" spans="1:62" s="24" customFormat="1" ht="14.25">
      <c r="A16" s="3737"/>
      <c r="B16" s="3738"/>
      <c r="C16" s="3744"/>
      <c r="D16" s="3288"/>
      <c r="E16" s="3736"/>
      <c r="F16" s="3738"/>
      <c r="G16" s="2906"/>
      <c r="H16" s="3292"/>
      <c r="I16" s="2906"/>
      <c r="J16" s="2908"/>
      <c r="K16"/>
      <c r="L16" s="667" t="s">
        <v>521</v>
      </c>
      <c r="M16" s="2906"/>
      <c r="N16" s="2909"/>
      <c r="O16"/>
      <c r="P16"/>
      <c r="Q16" s="2906"/>
      <c r="R16" s="3292"/>
      <c r="S16" s="3292"/>
      <c r="T16"/>
      <c r="U16"/>
      <c r="V16"/>
      <c r="W16">
        <v>35</v>
      </c>
      <c r="X16" s="3292" t="s">
        <v>522</v>
      </c>
      <c r="Y16" s="2908"/>
      <c r="Z16"/>
      <c r="AA16" s="2908"/>
      <c r="AB16"/>
      <c r="AC16" s="2908"/>
      <c r="AD16"/>
      <c r="AE16" s="2908"/>
      <c r="AF16"/>
      <c r="AG16" s="2908"/>
      <c r="AH16"/>
      <c r="AI16" s="2908"/>
      <c r="AJ16"/>
      <c r="AK16" s="2908"/>
      <c r="AL16"/>
      <c r="AM16" s="2908"/>
      <c r="AN16"/>
      <c r="AO16" s="2908"/>
      <c r="AP16"/>
      <c r="AQ16" s="2908"/>
      <c r="AR16"/>
      <c r="AS16" s="2908"/>
      <c r="AT16"/>
      <c r="AU16" s="2908"/>
      <c r="AV16"/>
      <c r="AW16" s="2906"/>
      <c r="AX16"/>
      <c r="AY16" s="2906"/>
      <c r="AZ16" s="3271"/>
      <c r="BA16" s="2906"/>
      <c r="BB16" s="2906"/>
      <c r="BC16" s="2899"/>
      <c r="BD16" s="2919"/>
      <c r="BE16" s="2899"/>
      <c r="BF16" s="2919"/>
      <c r="BG16" s="2906"/>
      <c r="BH16" s="668"/>
      <c r="BI16" s="668"/>
      <c r="BJ16" s="668"/>
    </row>
    <row r="17" spans="1:62" s="24" customFormat="1" ht="14.25">
      <c r="A17" s="3737"/>
      <c r="B17" s="3738"/>
      <c r="C17" s="3744"/>
      <c r="D17" s="3288"/>
      <c r="E17" s="3736"/>
      <c r="F17" s="3738"/>
      <c r="G17" s="2941"/>
      <c r="H17" s="3293"/>
      <c r="I17" s="2941"/>
      <c r="J17" s="3756"/>
      <c r="K17"/>
      <c r="L17" s="667" t="s">
        <v>523</v>
      </c>
      <c r="M17" s="2906"/>
      <c r="N17" s="2909"/>
      <c r="O17"/>
      <c r="P17"/>
      <c r="Q17" s="2906"/>
      <c r="R17" s="3293"/>
      <c r="S17" s="3293"/>
      <c r="T17"/>
      <c r="U17"/>
      <c r="V17"/>
      <c r="W17"/>
      <c r="X17" s="3292"/>
      <c r="Y17" s="2908"/>
      <c r="Z17"/>
      <c r="AA17" s="2908"/>
      <c r="AB17"/>
      <c r="AC17" s="2908"/>
      <c r="AD17"/>
      <c r="AE17" s="2908"/>
      <c r="AF17"/>
      <c r="AG17" s="2908"/>
      <c r="AH17"/>
      <c r="AI17" s="2908"/>
      <c r="AJ17"/>
      <c r="AK17" s="2908"/>
      <c r="AL17"/>
      <c r="AM17" s="2908"/>
      <c r="AN17"/>
      <c r="AO17" s="2908"/>
      <c r="AP17"/>
      <c r="AQ17" s="2908"/>
      <c r="AR17"/>
      <c r="AS17" s="2908"/>
      <c r="AT17"/>
      <c r="AU17" s="2908"/>
      <c r="AV17"/>
      <c r="AW17" s="2906"/>
      <c r="AX17"/>
      <c r="AY17" s="2906"/>
      <c r="AZ17" s="3271"/>
      <c r="BA17" s="2906"/>
      <c r="BB17" s="2906"/>
      <c r="BC17" s="2899"/>
      <c r="BD17" s="2919"/>
      <c r="BE17" s="2899"/>
      <c r="BF17" s="2919"/>
      <c r="BG17" s="2906"/>
      <c r="BH17" s="668"/>
      <c r="BI17" s="668"/>
      <c r="BJ17" s="668"/>
    </row>
    <row r="18" spans="1:59" ht="105" customHeight="1">
      <c r="A18" s="3737"/>
      <c r="B18" s="3738"/>
      <c r="C18" s="3744"/>
      <c r="D18" s="3288"/>
      <c r="E18" s="3736"/>
      <c r="F18" s="3738"/>
      <c r="G18" s="618">
        <v>66</v>
      </c>
      <c r="H18" s="2167" t="s">
        <v>524</v>
      </c>
      <c r="I18" s="618" t="s">
        <v>65</v>
      </c>
      <c r="J18" s="216">
        <v>1</v>
      </c>
      <c r="K18" s="669">
        <v>1</v>
      </c>
      <c r="L18" s="667" t="s">
        <v>525</v>
      </c>
      <c r="M18" s="2906"/>
      <c r="N18" s="2909"/>
      <c r="O18" s="670">
        <v>0.1309</v>
      </c>
      <c r="P18"/>
      <c r="Q18" s="2906"/>
      <c r="R18" s="2072" t="s">
        <v>515</v>
      </c>
      <c r="S18" s="2167" t="s">
        <v>524</v>
      </c>
      <c r="T18" s="2292">
        <v>4358578229</v>
      </c>
      <c r="U18" s="2286">
        <v>2405449306</v>
      </c>
      <c r="V18" s="2286">
        <v>2405449306</v>
      </c>
      <c r="W18" s="2180" t="s">
        <v>526</v>
      </c>
      <c r="X18" s="2169" t="s">
        <v>527</v>
      </c>
      <c r="Y18" s="2908"/>
      <c r="Z18"/>
      <c r="AA18" s="2908"/>
      <c r="AB18"/>
      <c r="AC18" s="2908"/>
      <c r="AD18"/>
      <c r="AE18" s="2908"/>
      <c r="AF18"/>
      <c r="AG18" s="2908"/>
      <c r="AH18"/>
      <c r="AI18" s="2908"/>
      <c r="AJ18"/>
      <c r="AK18" s="2908"/>
      <c r="AL18"/>
      <c r="AM18" s="2908"/>
      <c r="AN18"/>
      <c r="AO18" s="2908"/>
      <c r="AP18"/>
      <c r="AQ18" s="2908"/>
      <c r="AR18"/>
      <c r="AS18" s="2908"/>
      <c r="AT18"/>
      <c r="AU18" s="2908"/>
      <c r="AV18"/>
      <c r="AW18" s="2906"/>
      <c r="AX18"/>
      <c r="AY18" s="2906"/>
      <c r="AZ18" s="3271"/>
      <c r="BA18" s="2906"/>
      <c r="BB18" s="2906"/>
      <c r="BC18" s="2899"/>
      <c r="BD18" s="2919"/>
      <c r="BE18" s="2899"/>
      <c r="BF18" s="2919"/>
      <c r="BG18"/>
    </row>
    <row r="19" spans="1:59" ht="54" customHeight="1">
      <c r="A19" s="3737"/>
      <c r="B19" s="3738"/>
      <c r="C19" s="3744"/>
      <c r="D19" s="3288"/>
      <c r="E19" s="3736"/>
      <c r="F19" s="3738"/>
      <c r="G19" s="618">
        <v>67</v>
      </c>
      <c r="H19" s="2167" t="s">
        <v>528</v>
      </c>
      <c r="I19" s="618" t="s">
        <v>65</v>
      </c>
      <c r="J19" s="216">
        <v>1</v>
      </c>
      <c r="K19" s="669">
        <v>1</v>
      </c>
      <c r="L19" s="667" t="s">
        <v>529</v>
      </c>
      <c r="M19" s="2941"/>
      <c r="N19" s="2909"/>
      <c r="O19" s="670">
        <v>0.1804</v>
      </c>
      <c r="P19"/>
      <c r="Q19" s="2941"/>
      <c r="R19" s="2072" t="s">
        <v>1926</v>
      </c>
      <c r="S19" s="2167" t="s">
        <v>528</v>
      </c>
      <c r="T19" s="2292">
        <v>1020000000</v>
      </c>
      <c r="U19" s="2286">
        <v>994920199</v>
      </c>
      <c r="V19" s="2286">
        <v>994920199</v>
      </c>
      <c r="W19" s="2177">
        <v>81</v>
      </c>
      <c r="X19" s="2170" t="s">
        <v>517</v>
      </c>
      <c r="Y19" s="3756"/>
      <c r="Z19"/>
      <c r="AA19" s="3756"/>
      <c r="AB19"/>
      <c r="AC19" s="3756"/>
      <c r="AD19"/>
      <c r="AE19" s="3756"/>
      <c r="AF19"/>
      <c r="AG19" s="3756"/>
      <c r="AH19"/>
      <c r="AI19" s="3756"/>
      <c r="AJ19"/>
      <c r="AK19" s="3756"/>
      <c r="AL19"/>
      <c r="AM19" s="3756"/>
      <c r="AN19"/>
      <c r="AO19" s="3756"/>
      <c r="AP19"/>
      <c r="AQ19" s="3756"/>
      <c r="AR19"/>
      <c r="AS19" s="3756"/>
      <c r="AT19"/>
      <c r="AU19" s="3756"/>
      <c r="AV19"/>
      <c r="AW19" s="2941"/>
      <c r="AX19"/>
      <c r="AY19" s="2941"/>
      <c r="AZ19" s="3272"/>
      <c r="BA19" s="2941"/>
      <c r="BB19" s="2941"/>
      <c r="BC19" s="3721"/>
      <c r="BD19" s="2937"/>
      <c r="BE19" s="3721"/>
      <c r="BF19" s="2937"/>
      <c r="BG19"/>
    </row>
    <row r="20" spans="1:59" ht="102" customHeight="1">
      <c r="A20" s="3737"/>
      <c r="B20" s="3738"/>
      <c r="C20" s="3744"/>
      <c r="D20" s="3288"/>
      <c r="E20" s="3736"/>
      <c r="F20" s="3738"/>
      <c r="G20" s="618">
        <v>65</v>
      </c>
      <c r="H20" s="2167" t="s">
        <v>511</v>
      </c>
      <c r="I20" s="618" t="s">
        <v>65</v>
      </c>
      <c r="J20" s="216">
        <v>1</v>
      </c>
      <c r="K20" s="669">
        <v>1</v>
      </c>
      <c r="L20" s="618" t="s">
        <v>531</v>
      </c>
      <c r="M20" s="2905">
        <v>85</v>
      </c>
      <c r="N20" s="2909" t="s">
        <v>532</v>
      </c>
      <c r="O20" s="670">
        <v>0.25</v>
      </c>
      <c r="P20">
        <v>5857306172</v>
      </c>
      <c r="Q20" s="2905" t="s">
        <v>533</v>
      </c>
      <c r="R20" s="2072" t="s">
        <v>515</v>
      </c>
      <c r="S20" s="2167" t="s">
        <v>511</v>
      </c>
      <c r="T20" s="2292">
        <v>1459029622</v>
      </c>
      <c r="U20" s="2286">
        <v>1448793777</v>
      </c>
      <c r="V20" s="2286">
        <v>1448793777</v>
      </c>
      <c r="W20" s="2176">
        <v>20</v>
      </c>
      <c r="X20" s="2168" t="s">
        <v>534</v>
      </c>
      <c r="Y20" s="2907">
        <v>2732</v>
      </c>
      <c r="Z20">
        <v>2732</v>
      </c>
      <c r="AA20">
        <v>17360</v>
      </c>
      <c r="AB20">
        <v>17360</v>
      </c>
      <c r="AC20" s="2907">
        <v>21116</v>
      </c>
      <c r="AD20">
        <v>21116</v>
      </c>
      <c r="AE20" s="2907"/>
      <c r="AF20"/>
      <c r="AG20" s="2907">
        <v>4451</v>
      </c>
      <c r="AH20">
        <v>4451</v>
      </c>
      <c r="AI20" s="2907"/>
      <c r="AJ20"/>
      <c r="AK20" s="2907">
        <v>247</v>
      </c>
      <c r="AL20">
        <v>247</v>
      </c>
      <c r="AM20" s="2907">
        <v>217</v>
      </c>
      <c r="AN20">
        <v>217</v>
      </c>
      <c r="AO20" s="2907">
        <v>60</v>
      </c>
      <c r="AP20">
        <v>60</v>
      </c>
      <c r="AQ20" s="2907">
        <v>2484</v>
      </c>
      <c r="AR20">
        <v>2484</v>
      </c>
      <c r="AS20" s="2907">
        <v>4575</v>
      </c>
      <c r="AT20">
        <v>4575</v>
      </c>
      <c r="AU20" s="2907">
        <v>56</v>
      </c>
      <c r="AV20">
        <v>56</v>
      </c>
      <c r="AW20" s="2905">
        <v>1</v>
      </c>
      <c r="AX20">
        <f>+U20+U21</f>
        <v>5784626288</v>
      </c>
      <c r="AY20" s="2895">
        <f>+V20+V21</f>
        <v>5784626288</v>
      </c>
      <c r="AZ20" s="2925">
        <f>+AY20/AX20</f>
        <v>1</v>
      </c>
      <c r="BA20" s="2905" t="s">
        <v>1820</v>
      </c>
      <c r="BB20" s="2905" t="s">
        <v>535</v>
      </c>
      <c r="BC20" s="2898">
        <v>42583</v>
      </c>
      <c r="BD20" s="2918">
        <v>42583</v>
      </c>
      <c r="BE20" s="2898">
        <v>42735</v>
      </c>
      <c r="BF20" s="2898">
        <v>42735</v>
      </c>
      <c r="BG20" s="2905" t="s">
        <v>519</v>
      </c>
    </row>
    <row r="21" spans="1:59" ht="128.25" customHeight="1">
      <c r="A21" s="3737"/>
      <c r="B21" s="3738"/>
      <c r="C21" s="3744"/>
      <c r="D21" s="3288"/>
      <c r="E21" s="3739"/>
      <c r="F21" s="3741"/>
      <c r="G21" s="618">
        <v>66</v>
      </c>
      <c r="H21" s="2167" t="s">
        <v>524</v>
      </c>
      <c r="I21" s="618" t="s">
        <v>65</v>
      </c>
      <c r="J21" s="216">
        <v>1</v>
      </c>
      <c r="K21" s="669">
        <v>1</v>
      </c>
      <c r="L21" s="667" t="s">
        <v>536</v>
      </c>
      <c r="M21" s="2941"/>
      <c r="N21" s="2909"/>
      <c r="O21" s="670">
        <v>0.75</v>
      </c>
      <c r="P21"/>
      <c r="Q21" s="2941"/>
      <c r="R21" s="2072" t="s">
        <v>537</v>
      </c>
      <c r="S21" s="2167" t="s">
        <v>524</v>
      </c>
      <c r="T21" s="2292">
        <v>4398276550</v>
      </c>
      <c r="U21" s="2286">
        <v>4335832511</v>
      </c>
      <c r="V21" s="2286">
        <v>4335832511</v>
      </c>
      <c r="W21" s="2177">
        <v>81</v>
      </c>
      <c r="X21" s="2170" t="s">
        <v>517</v>
      </c>
      <c r="Y21" s="3756"/>
      <c r="Z21"/>
      <c r="AA21" s="3756"/>
      <c r="AB21"/>
      <c r="AC21" s="3756"/>
      <c r="AD21"/>
      <c r="AE21" s="3756"/>
      <c r="AF21"/>
      <c r="AG21" s="3756"/>
      <c r="AH21"/>
      <c r="AI21" s="3756"/>
      <c r="AJ21"/>
      <c r="AK21" s="3756"/>
      <c r="AL21"/>
      <c r="AM21" s="3756"/>
      <c r="AN21"/>
      <c r="AO21" s="3756"/>
      <c r="AP21"/>
      <c r="AQ21" s="3756"/>
      <c r="AR21"/>
      <c r="AS21" s="3756"/>
      <c r="AT21"/>
      <c r="AU21" s="3756"/>
      <c r="AV21"/>
      <c r="AW21" s="2941"/>
      <c r="AX21"/>
      <c r="AY21" s="2941"/>
      <c r="AZ21" s="3272"/>
      <c r="BA21" s="2941"/>
      <c r="BB21" s="2941"/>
      <c r="BC21" s="3721"/>
      <c r="BD21" s="2937"/>
      <c r="BE21" s="3721"/>
      <c r="BF21" s="3721"/>
      <c r="BG21"/>
    </row>
    <row r="22" spans="1:59" ht="15">
      <c r="A22" s="3737"/>
      <c r="B22" s="3738"/>
      <c r="C22" s="3744"/>
      <c r="D22" s="3288"/>
      <c r="E22" s="662">
        <v>17</v>
      </c>
      <c r="F22" s="663" t="s">
        <v>538</v>
      </c>
      <c r="G22" s="51"/>
      <c r="H22" s="476"/>
      <c r="I22" s="51"/>
      <c r="J22" s="51"/>
      <c r="K22" s="475"/>
      <c r="L22" s="51"/>
      <c r="M22" s="51"/>
      <c r="N22" s="51"/>
      <c r="O22" s="51"/>
      <c r="P22" s="51"/>
      <c r="Q22" s="51"/>
      <c r="R22" s="476"/>
      <c r="S22" s="476"/>
      <c r="T22" s="1901"/>
      <c r="U22" s="2300"/>
      <c r="V22" s="2300"/>
      <c r="W22" s="2181"/>
      <c r="X22" s="476"/>
      <c r="Y22" s="673"/>
      <c r="Z22" s="674"/>
      <c r="AA22" s="673"/>
      <c r="AB22" s="674"/>
      <c r="AC22" s="673"/>
      <c r="AD22" s="674"/>
      <c r="AE22" s="673"/>
      <c r="AF22" s="674"/>
      <c r="AG22" s="673"/>
      <c r="AH22" s="674"/>
      <c r="AI22" s="673"/>
      <c r="AJ22" s="674"/>
      <c r="AK22" s="673"/>
      <c r="AL22" s="674"/>
      <c r="AM22" s="673"/>
      <c r="AN22" s="674"/>
      <c r="AO22" s="673"/>
      <c r="AP22" s="674"/>
      <c r="AQ22" s="673"/>
      <c r="AR22" s="674"/>
      <c r="AS22" s="673"/>
      <c r="AT22" s="674"/>
      <c r="AU22" s="673"/>
      <c r="AV22" s="674"/>
      <c r="AW22" s="51"/>
      <c r="AX22" s="675"/>
      <c r="AY22" s="676"/>
      <c r="AZ22" s="51"/>
      <c r="BA22" s="51"/>
      <c r="BB22" s="51"/>
      <c r="BC22" s="51"/>
      <c r="BD22" s="475"/>
      <c r="BE22" s="51"/>
      <c r="BF22" s="475"/>
      <c r="BG22" s="665"/>
    </row>
    <row r="23" spans="1:59" ht="87" customHeight="1">
      <c r="A23" s="3737"/>
      <c r="B23" s="3738"/>
      <c r="C23" s="3744"/>
      <c r="D23" s="3288"/>
      <c r="E23" s="3733"/>
      <c r="F23" s="3735"/>
      <c r="G23" s="618">
        <v>68</v>
      </c>
      <c r="H23" s="2167" t="s">
        <v>539</v>
      </c>
      <c r="I23" s="618" t="s">
        <v>65</v>
      </c>
      <c r="J23" s="216">
        <v>4500</v>
      </c>
      <c r="K23" s="872">
        <v>4453</v>
      </c>
      <c r="L23" t="s">
        <v>540</v>
      </c>
      <c r="M23" s="2905">
        <v>86</v>
      </c>
      <c r="N23" s="2909" t="s">
        <v>541</v>
      </c>
      <c r="O23" s="2851">
        <v>0.005</v>
      </c>
      <c r="P23">
        <f>1102932022+44070000</f>
        <v>1147002022</v>
      </c>
      <c r="Q23" s="2910" t="s">
        <v>542</v>
      </c>
      <c r="R23" s="678" t="s">
        <v>543</v>
      </c>
      <c r="S23" s="2167" t="s">
        <v>539</v>
      </c>
      <c r="T23" s="2292">
        <v>0</v>
      </c>
      <c r="U23" s="2286">
        <v>0</v>
      </c>
      <c r="V23" s="2286">
        <v>0</v>
      </c>
      <c r="W23">
        <v>20</v>
      </c>
      <c r="X23" s="2910" t="s">
        <v>534</v>
      </c>
      <c r="Y23" s="2907">
        <v>2732</v>
      </c>
      <c r="Z23">
        <v>2732</v>
      </c>
      <c r="AA23" s="2907">
        <v>17360</v>
      </c>
      <c r="AB23">
        <v>17360</v>
      </c>
      <c r="AC23" s="2907">
        <v>21116</v>
      </c>
      <c r="AD23">
        <v>21116</v>
      </c>
      <c r="AE23" s="2907"/>
      <c r="AF23"/>
      <c r="AG23" s="2907">
        <v>4451</v>
      </c>
      <c r="AH23">
        <v>4451</v>
      </c>
      <c r="AI23" s="2907"/>
      <c r="AJ23"/>
      <c r="AK23" s="2907">
        <v>247</v>
      </c>
      <c r="AL23">
        <v>247</v>
      </c>
      <c r="AM23" s="2907">
        <v>217</v>
      </c>
      <c r="AN23">
        <v>217</v>
      </c>
      <c r="AO23" s="2907">
        <v>60</v>
      </c>
      <c r="AP23">
        <v>60</v>
      </c>
      <c r="AQ23" s="2907">
        <v>2484</v>
      </c>
      <c r="AR23">
        <v>2484</v>
      </c>
      <c r="AS23" s="2907">
        <v>4575</v>
      </c>
      <c r="AT23">
        <v>4575</v>
      </c>
      <c r="AU23" s="2907">
        <v>56</v>
      </c>
      <c r="AV23">
        <v>56</v>
      </c>
      <c r="AW23" s="2905">
        <v>26</v>
      </c>
      <c r="AX23">
        <v>1022117283</v>
      </c>
      <c r="AY23">
        <v>539317283</v>
      </c>
      <c r="AZ23" s="2925">
        <f>+AX23/(T27+T28)</f>
        <v>0.8911207333512443</v>
      </c>
      <c r="BA23" s="2905" t="s">
        <v>544</v>
      </c>
      <c r="BB23" s="2905" t="s">
        <v>545</v>
      </c>
      <c r="BC23" s="2898">
        <v>42370</v>
      </c>
      <c r="BD23" s="2918">
        <v>42370</v>
      </c>
      <c r="BE23" s="2898">
        <v>42735</v>
      </c>
      <c r="BF23" s="2918">
        <v>42735</v>
      </c>
      <c r="BG23" s="2905" t="s">
        <v>546</v>
      </c>
    </row>
    <row r="24" spans="1:59" ht="66.75" customHeight="1">
      <c r="A24" s="3737"/>
      <c r="B24" s="3738"/>
      <c r="C24" s="3744"/>
      <c r="D24" s="3288"/>
      <c r="E24" s="3736"/>
      <c r="F24" s="3738"/>
      <c r="G24" s="618">
        <v>69</v>
      </c>
      <c r="H24" s="2167" t="s">
        <v>547</v>
      </c>
      <c r="I24" s="618" t="s">
        <v>65</v>
      </c>
      <c r="J24" s="611">
        <v>1</v>
      </c>
      <c r="K24" s="679">
        <v>0.75</v>
      </c>
      <c r="L24"/>
      <c r="M24" s="2906"/>
      <c r="N24" s="2909"/>
      <c r="O24" s="2851">
        <v>0.005</v>
      </c>
      <c r="P24"/>
      <c r="Q24"/>
      <c r="R24" s="2072" t="s">
        <v>548</v>
      </c>
      <c r="S24" s="2167" t="s">
        <v>547</v>
      </c>
      <c r="T24" s="2292">
        <v>0</v>
      </c>
      <c r="U24" s="2286">
        <v>0</v>
      </c>
      <c r="V24" s="2286">
        <v>0</v>
      </c>
      <c r="W24"/>
      <c r="X24" s="3292"/>
      <c r="Y24" s="2908"/>
      <c r="Z24"/>
      <c r="AA24" s="2908"/>
      <c r="AB24"/>
      <c r="AC24" s="2908"/>
      <c r="AD24"/>
      <c r="AE24" s="2908"/>
      <c r="AF24"/>
      <c r="AG24" s="2908"/>
      <c r="AH24"/>
      <c r="AI24" s="2908"/>
      <c r="AJ24"/>
      <c r="AK24" s="2908"/>
      <c r="AL24"/>
      <c r="AM24" s="2908"/>
      <c r="AN24"/>
      <c r="AO24" s="2908"/>
      <c r="AP24"/>
      <c r="AQ24" s="2908"/>
      <c r="AR24"/>
      <c r="AS24" s="2908"/>
      <c r="AT24"/>
      <c r="AU24" s="2908"/>
      <c r="AV24"/>
      <c r="AW24" s="2906"/>
      <c r="AX24"/>
      <c r="AY24"/>
      <c r="AZ24" s="3271"/>
      <c r="BA24" s="2906"/>
      <c r="BB24" s="2906"/>
      <c r="BC24" s="2899"/>
      <c r="BD24" s="2919"/>
      <c r="BE24" s="2899"/>
      <c r="BF24" s="2919"/>
      <c r="BG24"/>
    </row>
    <row r="25" spans="1:59" ht="81" customHeight="1">
      <c r="A25" s="3737"/>
      <c r="B25" s="3738"/>
      <c r="C25" s="3744"/>
      <c r="D25" s="3288"/>
      <c r="E25" s="3736"/>
      <c r="F25" s="3738"/>
      <c r="G25" s="618">
        <v>70</v>
      </c>
      <c r="H25" s="2167" t="s">
        <v>549</v>
      </c>
      <c r="I25" s="618" t="s">
        <v>65</v>
      </c>
      <c r="J25" s="216">
        <v>343</v>
      </c>
      <c r="K25" s="872">
        <v>464</v>
      </c>
      <c r="L25" t="s">
        <v>550</v>
      </c>
      <c r="M25" s="2906"/>
      <c r="N25" s="2909"/>
      <c r="O25" s="2851">
        <v>0.01</v>
      </c>
      <c r="P25"/>
      <c r="Q25"/>
      <c r="R25" s="2072" t="s">
        <v>551</v>
      </c>
      <c r="S25" s="2167" t="s">
        <v>549</v>
      </c>
      <c r="T25" s="2292">
        <v>0</v>
      </c>
      <c r="U25" s="2286">
        <v>0</v>
      </c>
      <c r="V25" s="2286">
        <v>0</v>
      </c>
      <c r="W25">
        <v>25</v>
      </c>
      <c r="X25" s="3292"/>
      <c r="Y25" s="2908"/>
      <c r="Z25"/>
      <c r="AA25" s="2908"/>
      <c r="AB25"/>
      <c r="AC25" s="2908"/>
      <c r="AD25"/>
      <c r="AE25" s="2908"/>
      <c r="AF25"/>
      <c r="AG25" s="2908"/>
      <c r="AH25"/>
      <c r="AI25" s="2908"/>
      <c r="AJ25"/>
      <c r="AK25" s="2908"/>
      <c r="AL25"/>
      <c r="AM25" s="2908"/>
      <c r="AN25"/>
      <c r="AO25" s="2908"/>
      <c r="AP25"/>
      <c r="AQ25" s="2908"/>
      <c r="AR25"/>
      <c r="AS25" s="2908"/>
      <c r="AT25"/>
      <c r="AU25" s="2908"/>
      <c r="AV25"/>
      <c r="AW25" s="2906"/>
      <c r="AX25"/>
      <c r="AY25"/>
      <c r="AZ25" s="3271"/>
      <c r="BA25" s="2906"/>
      <c r="BB25" s="2906"/>
      <c r="BC25" s="2899"/>
      <c r="BD25" s="2919"/>
      <c r="BE25" s="2899"/>
      <c r="BF25" s="2919"/>
      <c r="BG25"/>
    </row>
    <row r="26" spans="1:59" ht="91.5" customHeight="1">
      <c r="A26" s="3737"/>
      <c r="B26" s="3738"/>
      <c r="C26" s="3744"/>
      <c r="D26" s="3288"/>
      <c r="E26" s="3736"/>
      <c r="F26" s="3738"/>
      <c r="G26" s="618">
        <v>71</v>
      </c>
      <c r="H26" s="2167" t="s">
        <v>552</v>
      </c>
      <c r="I26" s="618" t="s">
        <v>65</v>
      </c>
      <c r="J26" s="216">
        <v>1863</v>
      </c>
      <c r="K26" s="872">
        <v>2551</v>
      </c>
      <c r="L26"/>
      <c r="M26" s="2906"/>
      <c r="N26" s="2909"/>
      <c r="O26" s="2851">
        <v>0.01</v>
      </c>
      <c r="P26"/>
      <c r="Q26"/>
      <c r="R26" s="680" t="s">
        <v>553</v>
      </c>
      <c r="S26" s="2167" t="s">
        <v>552</v>
      </c>
      <c r="T26" s="2292">
        <v>0</v>
      </c>
      <c r="U26" s="2286">
        <v>0</v>
      </c>
      <c r="V26" s="2286">
        <v>0</v>
      </c>
      <c r="W26"/>
      <c r="X26" s="3292"/>
      <c r="Y26" s="2908"/>
      <c r="Z26"/>
      <c r="AA26" s="2908"/>
      <c r="AB26"/>
      <c r="AC26" s="2908"/>
      <c r="AD26"/>
      <c r="AE26" s="2908"/>
      <c r="AF26"/>
      <c r="AG26" s="2908"/>
      <c r="AH26"/>
      <c r="AI26" s="2908"/>
      <c r="AJ26"/>
      <c r="AK26" s="2908"/>
      <c r="AL26"/>
      <c r="AM26" s="2908"/>
      <c r="AN26"/>
      <c r="AO26" s="2908"/>
      <c r="AP26"/>
      <c r="AQ26" s="2908"/>
      <c r="AR26"/>
      <c r="AS26" s="2908"/>
      <c r="AT26"/>
      <c r="AU26" s="2908"/>
      <c r="AV26"/>
      <c r="AW26" s="2906"/>
      <c r="AX26"/>
      <c r="AY26"/>
      <c r="AZ26" s="3271"/>
      <c r="BA26" s="2906"/>
      <c r="BB26" s="2906"/>
      <c r="BC26" s="2899"/>
      <c r="BD26" s="2919"/>
      <c r="BE26" s="2899"/>
      <c r="BF26" s="2919"/>
      <c r="BG26"/>
    </row>
    <row r="27" spans="1:59" ht="107.25" customHeight="1">
      <c r="A27" s="3737"/>
      <c r="B27" s="3738"/>
      <c r="C27" s="3744"/>
      <c r="D27" s="3288"/>
      <c r="E27" s="3736"/>
      <c r="F27" s="3738"/>
      <c r="G27" s="618">
        <v>72</v>
      </c>
      <c r="H27" s="2167" t="s">
        <v>554</v>
      </c>
      <c r="I27" s="618" t="s">
        <v>65</v>
      </c>
      <c r="J27" s="216">
        <v>455</v>
      </c>
      <c r="K27" s="2017">
        <v>445</v>
      </c>
      <c r="L27" s="2931" t="s">
        <v>555</v>
      </c>
      <c r="M27" s="2906"/>
      <c r="N27" s="2909"/>
      <c r="O27" s="2851">
        <v>0.01</v>
      </c>
      <c r="P27"/>
      <c r="Q27"/>
      <c r="R27" s="680" t="s">
        <v>556</v>
      </c>
      <c r="S27" s="2167" t="s">
        <v>554</v>
      </c>
      <c r="T27" s="2292">
        <v>50000000</v>
      </c>
      <c r="U27" s="2286">
        <v>47986000</v>
      </c>
      <c r="V27" s="2286">
        <v>7986000</v>
      </c>
      <c r="W27"/>
      <c r="X27" s="3292"/>
      <c r="Y27" s="2908"/>
      <c r="Z27"/>
      <c r="AA27" s="2908"/>
      <c r="AB27"/>
      <c r="AC27" s="2908"/>
      <c r="AD27"/>
      <c r="AE27" s="2908"/>
      <c r="AF27"/>
      <c r="AG27" s="2908"/>
      <c r="AH27"/>
      <c r="AI27" s="2908"/>
      <c r="AJ27"/>
      <c r="AK27" s="2908"/>
      <c r="AL27"/>
      <c r="AM27" s="2908"/>
      <c r="AN27"/>
      <c r="AO27" s="2908"/>
      <c r="AP27"/>
      <c r="AQ27" s="2908"/>
      <c r="AR27"/>
      <c r="AS27" s="2908"/>
      <c r="AT27"/>
      <c r="AU27" s="2908"/>
      <c r="AV27"/>
      <c r="AW27" s="2906"/>
      <c r="AX27"/>
      <c r="AY27"/>
      <c r="AZ27" s="3271"/>
      <c r="BA27" s="2906"/>
      <c r="BB27" s="2906"/>
      <c r="BC27" s="2899"/>
      <c r="BD27" s="2919"/>
      <c r="BE27" s="2899"/>
      <c r="BF27" s="2919"/>
      <c r="BG27"/>
    </row>
    <row r="28" spans="1:59" ht="85.5" customHeight="1">
      <c r="A28" s="3737"/>
      <c r="B28" s="3738"/>
      <c r="C28" s="3744"/>
      <c r="D28" s="3288"/>
      <c r="E28" s="3739"/>
      <c r="F28" s="3741"/>
      <c r="G28" s="618">
        <v>73</v>
      </c>
      <c r="H28" s="2167" t="s">
        <v>557</v>
      </c>
      <c r="I28" s="618" t="s">
        <v>65</v>
      </c>
      <c r="J28" s="216">
        <v>1</v>
      </c>
      <c r="K28" s="870">
        <v>1</v>
      </c>
      <c r="L28" s="2931"/>
      <c r="M28" s="2941"/>
      <c r="N28" s="2909"/>
      <c r="O28" s="2851">
        <v>0.9565217391304348</v>
      </c>
      <c r="P28"/>
      <c r="Q28"/>
      <c r="R28" s="2072" t="s">
        <v>558</v>
      </c>
      <c r="S28" s="2167" t="s">
        <v>557</v>
      </c>
      <c r="T28" s="2292">
        <v>1097002022</v>
      </c>
      <c r="U28" s="2286">
        <v>974131283</v>
      </c>
      <c r="V28" s="2286">
        <v>531331283</v>
      </c>
      <c r="W28"/>
      <c r="X28" s="2169" t="s">
        <v>559</v>
      </c>
      <c r="Y28" s="3756"/>
      <c r="Z28"/>
      <c r="AA28" s="3756"/>
      <c r="AB28"/>
      <c r="AC28" s="3756"/>
      <c r="AD28"/>
      <c r="AE28" s="3756"/>
      <c r="AF28"/>
      <c r="AG28" s="3756"/>
      <c r="AH28"/>
      <c r="AI28" s="3756"/>
      <c r="AJ28"/>
      <c r="AK28" s="3756"/>
      <c r="AL28"/>
      <c r="AM28" s="3756"/>
      <c r="AN28"/>
      <c r="AO28" s="3756"/>
      <c r="AP28"/>
      <c r="AQ28" s="3756"/>
      <c r="AR28"/>
      <c r="AS28" s="3756"/>
      <c r="AT28"/>
      <c r="AU28" s="3756"/>
      <c r="AV28"/>
      <c r="AW28" s="2941"/>
      <c r="AX28"/>
      <c r="AY28"/>
      <c r="AZ28" s="3272"/>
      <c r="BA28" s="2941"/>
      <c r="BB28" s="2941"/>
      <c r="BC28" s="3721"/>
      <c r="BD28" s="2937"/>
      <c r="BE28" s="3721"/>
      <c r="BF28" s="2937"/>
      <c r="BG28"/>
    </row>
    <row r="29" spans="1:59" ht="15">
      <c r="A29" s="3737"/>
      <c r="B29" s="3738"/>
      <c r="C29" s="3744"/>
      <c r="D29" s="3288"/>
      <c r="E29" s="44">
        <v>18</v>
      </c>
      <c r="F29" s="632" t="s">
        <v>560</v>
      </c>
      <c r="G29" s="633"/>
      <c r="H29" s="476"/>
      <c r="I29" s="633"/>
      <c r="J29" s="633"/>
      <c r="K29" s="681"/>
      <c r="L29" s="633"/>
      <c r="M29" s="633"/>
      <c r="N29" s="633"/>
      <c r="O29" s="633"/>
      <c r="P29" s="633"/>
      <c r="Q29" s="633"/>
      <c r="R29" s="476"/>
      <c r="S29" s="476"/>
      <c r="T29" s="2301"/>
      <c r="U29" s="2302"/>
      <c r="V29" s="2302"/>
      <c r="W29" s="2181"/>
      <c r="X29" s="476"/>
      <c r="Y29" s="682"/>
      <c r="Z29" s="683"/>
      <c r="AA29" s="682"/>
      <c r="AB29" s="683"/>
      <c r="AC29" s="682"/>
      <c r="AD29" s="683"/>
      <c r="AE29" s="682"/>
      <c r="AF29" s="683"/>
      <c r="AG29" s="682"/>
      <c r="AH29" s="683"/>
      <c r="AI29" s="682"/>
      <c r="AJ29" s="683"/>
      <c r="AK29" s="682"/>
      <c r="AL29" s="683"/>
      <c r="AM29" s="682"/>
      <c r="AN29" s="683"/>
      <c r="AO29" s="682"/>
      <c r="AP29" s="683"/>
      <c r="AQ29" s="682"/>
      <c r="AR29" s="683"/>
      <c r="AS29" s="682"/>
      <c r="AT29" s="683"/>
      <c r="AU29" s="682"/>
      <c r="AV29" s="683"/>
      <c r="AW29" s="633"/>
      <c r="AX29" s="684"/>
      <c r="AY29" s="633"/>
      <c r="AZ29" s="633"/>
      <c r="BA29" s="1988"/>
      <c r="BB29" s="1988"/>
      <c r="BC29" s="1988"/>
      <c r="BD29" s="681"/>
      <c r="BE29" s="1988"/>
      <c r="BF29" s="681"/>
      <c r="BG29" s="685"/>
    </row>
    <row r="30" spans="1:59" ht="188.25" customHeight="1">
      <c r="A30" s="3737"/>
      <c r="B30" s="3738"/>
      <c r="C30" s="3744"/>
      <c r="D30" s="3288"/>
      <c r="E30" s="3733"/>
      <c r="F30" s="3735"/>
      <c r="G30" s="618">
        <v>74</v>
      </c>
      <c r="H30" s="2167" t="s">
        <v>561</v>
      </c>
      <c r="I30" s="618" t="s">
        <v>65</v>
      </c>
      <c r="J30" s="216">
        <v>2232</v>
      </c>
      <c r="K30" s="2406">
        <v>2232</v>
      </c>
      <c r="L30" s="618" t="s">
        <v>562</v>
      </c>
      <c r="M30" s="618">
        <v>87</v>
      </c>
      <c r="N30" s="624" t="s">
        <v>563</v>
      </c>
      <c r="O30" s="670">
        <v>1</v>
      </c>
      <c r="P30" s="686">
        <v>52668897211.70999</v>
      </c>
      <c r="Q30" s="624" t="s">
        <v>564</v>
      </c>
      <c r="R30" s="2072" t="s">
        <v>565</v>
      </c>
      <c r="S30" s="2167" t="s">
        <v>561</v>
      </c>
      <c r="T30" s="2285">
        <v>52751026009.70999</v>
      </c>
      <c r="U30" s="2286">
        <v>51818168738</v>
      </c>
      <c r="V30" s="2286">
        <v>51818168738</v>
      </c>
      <c r="W30" s="688">
        <v>25</v>
      </c>
      <c r="X30" s="2167" t="s">
        <v>559</v>
      </c>
      <c r="Y30" s="216">
        <v>2732</v>
      </c>
      <c r="Z30" s="635">
        <v>2732</v>
      </c>
      <c r="AA30" s="216">
        <v>17360</v>
      </c>
      <c r="AB30" s="635">
        <v>17360</v>
      </c>
      <c r="AC30" s="216">
        <v>21116</v>
      </c>
      <c r="AD30" s="635">
        <v>21116</v>
      </c>
      <c r="AE30" s="216"/>
      <c r="AF30" s="635"/>
      <c r="AG30" s="216">
        <v>4451</v>
      </c>
      <c r="AH30" s="635">
        <v>4451</v>
      </c>
      <c r="AI30" s="216"/>
      <c r="AJ30" s="635"/>
      <c r="AK30" s="216">
        <v>247</v>
      </c>
      <c r="AL30" s="635">
        <v>247</v>
      </c>
      <c r="AM30" s="216">
        <v>217</v>
      </c>
      <c r="AN30" s="635">
        <v>217</v>
      </c>
      <c r="AO30" s="216">
        <v>60</v>
      </c>
      <c r="AP30" s="635">
        <v>60</v>
      </c>
      <c r="AQ30" s="216">
        <v>2484</v>
      </c>
      <c r="AR30" s="635">
        <v>2484</v>
      </c>
      <c r="AS30" s="216">
        <v>4575</v>
      </c>
      <c r="AT30" s="635">
        <v>4575</v>
      </c>
      <c r="AU30" s="216">
        <v>56</v>
      </c>
      <c r="AV30" s="635">
        <v>56</v>
      </c>
      <c r="AW30" s="618" t="s">
        <v>566</v>
      </c>
      <c r="AX30" s="687">
        <v>51818168737</v>
      </c>
      <c r="AY30" s="687">
        <v>51818168737</v>
      </c>
      <c r="AZ30" s="627">
        <f>+AX30/T30</f>
        <v>0.98231584590339</v>
      </c>
      <c r="BA30" s="1957" t="s">
        <v>567</v>
      </c>
      <c r="BB30" s="1957" t="s">
        <v>568</v>
      </c>
      <c r="BC30" s="1952">
        <v>42583</v>
      </c>
      <c r="BD30" s="1952">
        <v>42583</v>
      </c>
      <c r="BE30" s="1952">
        <v>42735</v>
      </c>
      <c r="BF30" s="1952">
        <v>42735</v>
      </c>
      <c r="BG30" s="1957" t="s">
        <v>568</v>
      </c>
    </row>
    <row r="31" spans="1:59" ht="35.25" customHeight="1">
      <c r="A31" s="3737"/>
      <c r="B31" s="3738"/>
      <c r="C31" s="3744"/>
      <c r="D31" s="3288"/>
      <c r="E31" s="3736"/>
      <c r="F31" s="3738"/>
      <c r="G31" s="2905">
        <v>74</v>
      </c>
      <c r="H31" s="2910" t="s">
        <v>561</v>
      </c>
      <c r="I31" s="2905" t="s">
        <v>65</v>
      </c>
      <c r="J31" s="2907">
        <v>2232</v>
      </c>
      <c r="K31">
        <v>2232</v>
      </c>
      <c r="L31" s="618" t="s">
        <v>569</v>
      </c>
      <c r="M31" s="2905">
        <v>88</v>
      </c>
      <c r="N31" s="2910" t="s">
        <v>570</v>
      </c>
      <c r="O31">
        <v>1</v>
      </c>
      <c r="P31" s="2895">
        <v>44801283847.13</v>
      </c>
      <c r="Q31" s="2910" t="s">
        <v>564</v>
      </c>
      <c r="R31" s="2910" t="s">
        <v>571</v>
      </c>
      <c r="S31" s="2910" t="s">
        <v>561</v>
      </c>
      <c r="T31">
        <v>44801283847.13</v>
      </c>
      <c r="U31">
        <v>44801283847.13</v>
      </c>
      <c r="V31">
        <v>44801283847.13</v>
      </c>
      <c r="W31">
        <v>25</v>
      </c>
      <c r="X31" s="2910" t="s">
        <v>559</v>
      </c>
      <c r="Y31" s="2907">
        <v>2732</v>
      </c>
      <c r="Z31">
        <v>2732</v>
      </c>
      <c r="AA31" s="2907">
        <v>17360</v>
      </c>
      <c r="AB31">
        <v>17360</v>
      </c>
      <c r="AC31" s="2907">
        <v>21116</v>
      </c>
      <c r="AD31">
        <v>21116</v>
      </c>
      <c r="AE31" s="2907"/>
      <c r="AF31"/>
      <c r="AG31" s="2907">
        <v>4451</v>
      </c>
      <c r="AH31">
        <v>4451</v>
      </c>
      <c r="AI31" s="2907"/>
      <c r="AJ31"/>
      <c r="AK31" s="2907">
        <v>247</v>
      </c>
      <c r="AL31">
        <v>247</v>
      </c>
      <c r="AM31" s="2907">
        <v>217</v>
      </c>
      <c r="AN31">
        <v>217</v>
      </c>
      <c r="AO31" s="2907">
        <v>60</v>
      </c>
      <c r="AP31">
        <v>60</v>
      </c>
      <c r="AQ31" s="2907">
        <v>2484</v>
      </c>
      <c r="AR31">
        <v>2484</v>
      </c>
      <c r="AS31" s="2907">
        <v>4575</v>
      </c>
      <c r="AT31">
        <v>4575</v>
      </c>
      <c r="AU31" s="2907">
        <v>56</v>
      </c>
      <c r="AV31">
        <v>56</v>
      </c>
      <c r="AW31" s="2905" t="s">
        <v>566</v>
      </c>
      <c r="AX31" s="2943">
        <v>44801283847.13</v>
      </c>
      <c r="AY31" s="2943">
        <v>44801283847.13</v>
      </c>
      <c r="AZ31" s="2974">
        <f>+AX31/T31</f>
        <v>1</v>
      </c>
      <c r="BA31" s="2905" t="s">
        <v>567</v>
      </c>
      <c r="BB31" s="2905" t="s">
        <v>568</v>
      </c>
      <c r="BC31" s="2898">
        <v>42370</v>
      </c>
      <c r="BD31" s="2898">
        <v>42582</v>
      </c>
      <c r="BE31" s="2898">
        <v>42521</v>
      </c>
      <c r="BF31" s="2898">
        <v>42582</v>
      </c>
      <c r="BG31" s="2905" t="s">
        <v>568</v>
      </c>
    </row>
    <row r="32" spans="1:59" ht="35.25" customHeight="1">
      <c r="A32" s="3737"/>
      <c r="B32" s="3738"/>
      <c r="C32" s="3744"/>
      <c r="D32" s="3288"/>
      <c r="E32" s="3736"/>
      <c r="F32" s="3738"/>
      <c r="G32" s="2906"/>
      <c r="H32" s="3292"/>
      <c r="I32" s="2906"/>
      <c r="J32" s="2908"/>
      <c r="K32"/>
      <c r="L32" s="689" t="s">
        <v>572</v>
      </c>
      <c r="M32" s="2906"/>
      <c r="N32" s="3292"/>
      <c r="O32"/>
      <c r="P32" s="2896"/>
      <c r="Q32" s="3292"/>
      <c r="R32" s="3292"/>
      <c r="S32" s="3292"/>
      <c r="T32"/>
      <c r="U32"/>
      <c r="V32"/>
      <c r="W32"/>
      <c r="X32" s="3292"/>
      <c r="Y32" s="2908"/>
      <c r="Z32"/>
      <c r="AA32" s="2908"/>
      <c r="AB32"/>
      <c r="AC32" s="2908"/>
      <c r="AD32"/>
      <c r="AE32" s="2908"/>
      <c r="AF32"/>
      <c r="AG32" s="2908"/>
      <c r="AH32"/>
      <c r="AI32" s="2908"/>
      <c r="AJ32"/>
      <c r="AK32" s="2908"/>
      <c r="AL32"/>
      <c r="AM32" s="2908"/>
      <c r="AN32"/>
      <c r="AO32" s="2908"/>
      <c r="AP32"/>
      <c r="AQ32" s="2908"/>
      <c r="AR32"/>
      <c r="AS32" s="2908"/>
      <c r="AT32"/>
      <c r="AU32" s="2908"/>
      <c r="AV32"/>
      <c r="AW32" s="2906"/>
      <c r="AX32" s="2944"/>
      <c r="AY32" s="2944"/>
      <c r="AZ32" s="2975"/>
      <c r="BA32" s="2906"/>
      <c r="BB32" s="2906"/>
      <c r="BC32" s="2899"/>
      <c r="BD32" s="2899"/>
      <c r="BE32" s="2899"/>
      <c r="BF32" s="2899"/>
      <c r="BG32" s="2906"/>
    </row>
    <row r="33" spans="1:59" ht="35.25" customHeight="1">
      <c r="A33" s="3737"/>
      <c r="B33" s="3738"/>
      <c r="C33" s="3744"/>
      <c r="D33" s="3288"/>
      <c r="E33" s="3736"/>
      <c r="F33" s="3738"/>
      <c r="G33" s="2906"/>
      <c r="H33" s="3292"/>
      <c r="I33" s="2906"/>
      <c r="J33" s="2908"/>
      <c r="K33"/>
      <c r="L33" s="689" t="s">
        <v>573</v>
      </c>
      <c r="M33" s="2906"/>
      <c r="N33" s="3292"/>
      <c r="O33"/>
      <c r="P33" s="2896"/>
      <c r="Q33" s="3292"/>
      <c r="R33" s="3292"/>
      <c r="S33" s="3292"/>
      <c r="T33"/>
      <c r="U33"/>
      <c r="V33"/>
      <c r="W33"/>
      <c r="X33" s="3292"/>
      <c r="Y33" s="2908"/>
      <c r="Z33"/>
      <c r="AA33" s="2908"/>
      <c r="AB33"/>
      <c r="AC33" s="2908"/>
      <c r="AD33"/>
      <c r="AE33" s="2908"/>
      <c r="AF33"/>
      <c r="AG33" s="2908"/>
      <c r="AH33"/>
      <c r="AI33" s="2908"/>
      <c r="AJ33"/>
      <c r="AK33" s="2908"/>
      <c r="AL33"/>
      <c r="AM33" s="2908"/>
      <c r="AN33"/>
      <c r="AO33" s="2908"/>
      <c r="AP33"/>
      <c r="AQ33" s="2908"/>
      <c r="AR33"/>
      <c r="AS33" s="2908"/>
      <c r="AT33"/>
      <c r="AU33" s="2908"/>
      <c r="AV33"/>
      <c r="AW33" s="2906"/>
      <c r="AX33" s="2944"/>
      <c r="AY33" s="2944"/>
      <c r="AZ33" s="2975"/>
      <c r="BA33" s="2906"/>
      <c r="BB33" s="2906"/>
      <c r="BC33" s="2899"/>
      <c r="BD33" s="2899"/>
      <c r="BE33" s="2899"/>
      <c r="BF33" s="2899"/>
      <c r="BG33" s="2906"/>
    </row>
    <row r="34" spans="1:59" ht="35.25" customHeight="1">
      <c r="A34" s="3737"/>
      <c r="B34" s="3738"/>
      <c r="C34" s="3744"/>
      <c r="D34" s="3288"/>
      <c r="E34" s="3736"/>
      <c r="F34" s="3738"/>
      <c r="G34" s="2906"/>
      <c r="H34" s="3292"/>
      <c r="I34" s="2906"/>
      <c r="J34" s="2908"/>
      <c r="K34"/>
      <c r="L34" s="689" t="s">
        <v>574</v>
      </c>
      <c r="M34" s="2906"/>
      <c r="N34" s="3292"/>
      <c r="O34"/>
      <c r="P34" s="2896"/>
      <c r="Q34" s="3292"/>
      <c r="R34" s="3292"/>
      <c r="S34" s="3292"/>
      <c r="T34"/>
      <c r="U34"/>
      <c r="V34"/>
      <c r="W34"/>
      <c r="X34" s="3292"/>
      <c r="Y34" s="2908"/>
      <c r="Z34"/>
      <c r="AA34" s="2908"/>
      <c r="AB34"/>
      <c r="AC34" s="2908"/>
      <c r="AD34"/>
      <c r="AE34" s="2908"/>
      <c r="AF34"/>
      <c r="AG34" s="2908"/>
      <c r="AH34"/>
      <c r="AI34" s="2908"/>
      <c r="AJ34"/>
      <c r="AK34" s="2908"/>
      <c r="AL34"/>
      <c r="AM34" s="2908"/>
      <c r="AN34"/>
      <c r="AO34" s="2908"/>
      <c r="AP34"/>
      <c r="AQ34" s="2908"/>
      <c r="AR34"/>
      <c r="AS34" s="2908"/>
      <c r="AT34"/>
      <c r="AU34" s="2908"/>
      <c r="AV34"/>
      <c r="AW34" s="2906"/>
      <c r="AX34" s="2944"/>
      <c r="AY34" s="2944"/>
      <c r="AZ34" s="2975"/>
      <c r="BA34" s="2906"/>
      <c r="BB34" s="2906"/>
      <c r="BC34" s="2899"/>
      <c r="BD34" s="2899"/>
      <c r="BE34" s="2899"/>
      <c r="BF34" s="2899"/>
      <c r="BG34" s="2906"/>
    </row>
    <row r="35" spans="1:59" ht="35.25" customHeight="1">
      <c r="A35" s="3737"/>
      <c r="B35" s="3738"/>
      <c r="C35"/>
      <c r="D35" s="3289"/>
      <c r="E35" s="3739"/>
      <c r="F35" s="3741"/>
      <c r="G35" s="2941"/>
      <c r="H35" s="3293"/>
      <c r="I35" s="2941"/>
      <c r="J35" s="3756"/>
      <c r="K35"/>
      <c r="L35" s="689" t="s">
        <v>575</v>
      </c>
      <c r="M35" s="2941"/>
      <c r="N35" s="3293"/>
      <c r="O35"/>
      <c r="P35" s="3783"/>
      <c r="Q35" s="3293"/>
      <c r="R35" s="3292"/>
      <c r="S35" s="3293"/>
      <c r="T35"/>
      <c r="U35"/>
      <c r="V35"/>
      <c r="W35"/>
      <c r="X35" s="3293"/>
      <c r="Y35" s="3756"/>
      <c r="Z35"/>
      <c r="AA35" s="3756"/>
      <c r="AB35"/>
      <c r="AC35" s="3756"/>
      <c r="AD35"/>
      <c r="AE35" s="3756"/>
      <c r="AF35"/>
      <c r="AG35" s="3756"/>
      <c r="AH35"/>
      <c r="AI35" s="3756"/>
      <c r="AJ35"/>
      <c r="AK35" s="3756"/>
      <c r="AL35"/>
      <c r="AM35" s="3756"/>
      <c r="AN35"/>
      <c r="AO35" s="3756"/>
      <c r="AP35"/>
      <c r="AQ35" s="3756"/>
      <c r="AR35"/>
      <c r="AS35" s="3756"/>
      <c r="AT35"/>
      <c r="AU35" s="3756"/>
      <c r="AV35"/>
      <c r="AW35" s="2941"/>
      <c r="AX35" s="2945"/>
      <c r="AY35" s="2945"/>
      <c r="AZ35" s="2976"/>
      <c r="BA35" s="2941"/>
      <c r="BB35" s="2941"/>
      <c r="BC35" s="3721"/>
      <c r="BD35" s="3721"/>
      <c r="BE35" s="3721"/>
      <c r="BF35" s="3721"/>
      <c r="BG35" s="2941"/>
    </row>
    <row r="36" spans="1:59" ht="15">
      <c r="A36" s="3737"/>
      <c r="B36" s="3738"/>
      <c r="C36" s="659">
        <v>6</v>
      </c>
      <c r="D36" s="690" t="s">
        <v>576</v>
      </c>
      <c r="E36" s="691"/>
      <c r="F36" s="691"/>
      <c r="G36" s="691"/>
      <c r="H36" s="2101"/>
      <c r="I36" s="691"/>
      <c r="J36" s="691"/>
      <c r="K36" s="692"/>
      <c r="L36" s="691"/>
      <c r="M36" s="691"/>
      <c r="N36" s="691"/>
      <c r="O36" s="691"/>
      <c r="P36" s="691"/>
      <c r="Q36" s="691"/>
      <c r="R36" s="2101"/>
      <c r="S36" s="2101"/>
      <c r="T36" s="2303"/>
      <c r="U36" s="2304"/>
      <c r="V36" s="2304"/>
      <c r="W36" s="2107"/>
      <c r="X36" s="2101"/>
      <c r="Y36" s="693"/>
      <c r="Z36" s="694"/>
      <c r="AA36" s="693"/>
      <c r="AB36" s="694"/>
      <c r="AC36" s="693"/>
      <c r="AD36" s="694"/>
      <c r="AE36" s="693"/>
      <c r="AF36" s="694"/>
      <c r="AG36" s="693"/>
      <c r="AH36" s="694"/>
      <c r="AI36" s="693"/>
      <c r="AJ36" s="694"/>
      <c r="AK36" s="693"/>
      <c r="AL36" s="694"/>
      <c r="AM36" s="693"/>
      <c r="AN36" s="694"/>
      <c r="AO36" s="693"/>
      <c r="AP36" s="694"/>
      <c r="AQ36" s="693"/>
      <c r="AR36" s="694"/>
      <c r="AS36" s="693"/>
      <c r="AT36" s="694"/>
      <c r="AU36" s="693"/>
      <c r="AV36" s="694"/>
      <c r="AW36" s="691"/>
      <c r="AX36" s="695"/>
      <c r="AY36" s="691"/>
      <c r="AZ36" s="691"/>
      <c r="BA36" s="691"/>
      <c r="BB36" s="691"/>
      <c r="BC36" s="691"/>
      <c r="BD36" s="692"/>
      <c r="BE36" s="691"/>
      <c r="BF36" s="692"/>
      <c r="BG36" s="696"/>
    </row>
    <row r="37" spans="1:59" ht="15">
      <c r="A37" s="3737"/>
      <c r="B37" s="3738"/>
      <c r="C37" s="3743"/>
      <c r="D37" s="3287"/>
      <c r="E37" s="697">
        <v>19</v>
      </c>
      <c r="F37" s="698" t="s">
        <v>577</v>
      </c>
      <c r="G37" s="699"/>
      <c r="H37" s="2102"/>
      <c r="I37" s="699"/>
      <c r="J37" s="699"/>
      <c r="K37" s="700"/>
      <c r="L37" s="699"/>
      <c r="M37" s="699"/>
      <c r="N37" s="699"/>
      <c r="O37" s="699"/>
      <c r="P37" s="699"/>
      <c r="Q37" s="699"/>
      <c r="R37" s="2102"/>
      <c r="S37" s="2102"/>
      <c r="T37" s="2305"/>
      <c r="U37" s="2306"/>
      <c r="V37" s="2306"/>
      <c r="W37" s="2108"/>
      <c r="X37" s="2102"/>
      <c r="Y37" s="701"/>
      <c r="Z37" s="702"/>
      <c r="AA37" s="701"/>
      <c r="AB37" s="702"/>
      <c r="AC37" s="701"/>
      <c r="AD37" s="702"/>
      <c r="AE37" s="701"/>
      <c r="AF37" s="702"/>
      <c r="AG37" s="701"/>
      <c r="AH37" s="702"/>
      <c r="AI37" s="701"/>
      <c r="AJ37" s="702"/>
      <c r="AK37" s="701"/>
      <c r="AL37" s="702"/>
      <c r="AM37" s="701"/>
      <c r="AN37" s="702"/>
      <c r="AO37" s="701"/>
      <c r="AP37" s="702"/>
      <c r="AQ37" s="701"/>
      <c r="AR37" s="702"/>
      <c r="AS37" s="701"/>
      <c r="AT37" s="702"/>
      <c r="AU37" s="701"/>
      <c r="AV37" s="702"/>
      <c r="AW37" s="699"/>
      <c r="AX37" s="703"/>
      <c r="AY37" s="699"/>
      <c r="AZ37" s="699"/>
      <c r="BA37" s="699"/>
      <c r="BB37" s="699"/>
      <c r="BC37" s="699"/>
      <c r="BD37" s="700"/>
      <c r="BE37" s="699"/>
      <c r="BF37" s="700"/>
      <c r="BG37" s="704"/>
    </row>
    <row r="38" spans="1:59" ht="99.75">
      <c r="A38" s="3737"/>
      <c r="B38" s="3738"/>
      <c r="C38" s="3744"/>
      <c r="D38" s="3288"/>
      <c r="E38" s="3733"/>
      <c r="F38" s="3735"/>
      <c r="G38" s="618">
        <v>75</v>
      </c>
      <c r="H38" s="2167" t="s">
        <v>578</v>
      </c>
      <c r="I38" s="618" t="s">
        <v>65</v>
      </c>
      <c r="J38" s="216">
        <v>23</v>
      </c>
      <c r="K38" s="705" t="s">
        <v>2126</v>
      </c>
      <c r="L38" s="618"/>
      <c r="M38" s="2905">
        <v>89</v>
      </c>
      <c r="N38" s="2909" t="s">
        <v>579</v>
      </c>
      <c r="O38" s="670">
        <v>0</v>
      </c>
      <c r="P38">
        <v>130000000</v>
      </c>
      <c r="Q38" t="s">
        <v>580</v>
      </c>
      <c r="R38" s="706" t="s">
        <v>581</v>
      </c>
      <c r="S38" s="2175" t="s">
        <v>578</v>
      </c>
      <c r="T38" s="2292">
        <v>0</v>
      </c>
      <c r="U38" s="2286">
        <v>0</v>
      </c>
      <c r="V38" s="2286">
        <v>0</v>
      </c>
      <c r="W38" s="2176"/>
      <c r="X38" s="2173"/>
      <c r="Y38" s="2907">
        <v>2732</v>
      </c>
      <c r="Z38">
        <v>2732</v>
      </c>
      <c r="AA38" s="2907">
        <v>17360</v>
      </c>
      <c r="AB38">
        <v>17360</v>
      </c>
      <c r="AC38" s="2907">
        <v>21116</v>
      </c>
      <c r="AD38">
        <v>21116</v>
      </c>
      <c r="AE38" s="2907"/>
      <c r="AF38"/>
      <c r="AG38" s="2907">
        <v>4451</v>
      </c>
      <c r="AH38">
        <v>4451</v>
      </c>
      <c r="AI38" s="2907"/>
      <c r="AJ38"/>
      <c r="AK38" s="2907">
        <v>247</v>
      </c>
      <c r="AL38">
        <v>247</v>
      </c>
      <c r="AM38" s="2907">
        <v>217</v>
      </c>
      <c r="AN38">
        <v>217</v>
      </c>
      <c r="AO38" s="2907">
        <v>60</v>
      </c>
      <c r="AP38">
        <v>60</v>
      </c>
      <c r="AQ38" s="2907">
        <v>2484</v>
      </c>
      <c r="AR38">
        <v>2484</v>
      </c>
      <c r="AS38" s="2907">
        <v>4575</v>
      </c>
      <c r="AT38">
        <v>4575</v>
      </c>
      <c r="AU38" s="2907">
        <v>56</v>
      </c>
      <c r="AV38">
        <v>56</v>
      </c>
      <c r="AW38" s="2905">
        <v>16</v>
      </c>
      <c r="AX38">
        <v>122299600</v>
      </c>
      <c r="AY38">
        <v>104230000</v>
      </c>
      <c r="AZ38" s="2925">
        <f>+AY38/AX38</f>
        <v>0.8522513565048455</v>
      </c>
      <c r="BA38" s="2905" t="s">
        <v>1821</v>
      </c>
      <c r="BB38" s="2905" t="s">
        <v>1822</v>
      </c>
      <c r="BC38" s="2898">
        <v>42583</v>
      </c>
      <c r="BD38" s="2918">
        <v>42583</v>
      </c>
      <c r="BE38" s="2898">
        <v>42735</v>
      </c>
      <c r="BF38" s="2918">
        <v>42735</v>
      </c>
      <c r="BG38" s="2905" t="s">
        <v>519</v>
      </c>
    </row>
    <row r="39" spans="1:59" ht="97.5" customHeight="1">
      <c r="A39" s="3737"/>
      <c r="B39" s="3738"/>
      <c r="C39" s="3744"/>
      <c r="D39" s="3288"/>
      <c r="E39" s="3736"/>
      <c r="F39" s="3738"/>
      <c r="G39" s="614">
        <v>76</v>
      </c>
      <c r="H39" s="2168" t="s">
        <v>582</v>
      </c>
      <c r="I39" s="618" t="s">
        <v>65</v>
      </c>
      <c r="J39" s="2337">
        <v>450</v>
      </c>
      <c r="K39" s="707">
        <v>450</v>
      </c>
      <c r="L39" s="708"/>
      <c r="M39" s="2906"/>
      <c r="N39" s="2909"/>
      <c r="O39" s="709">
        <v>1</v>
      </c>
      <c r="P39"/>
      <c r="Q39"/>
      <c r="R39" s="2073" t="s">
        <v>583</v>
      </c>
      <c r="S39" s="2178" t="s">
        <v>582</v>
      </c>
      <c r="T39" s="2307">
        <v>130000000</v>
      </c>
      <c r="U39" s="2286">
        <v>122299600</v>
      </c>
      <c r="V39" s="2286">
        <v>104230000</v>
      </c>
      <c r="W39" s="2171">
        <v>35</v>
      </c>
      <c r="X39" s="2179" t="s">
        <v>522</v>
      </c>
      <c r="Y39" s="2908"/>
      <c r="Z39"/>
      <c r="AA39" s="2908"/>
      <c r="AB39"/>
      <c r="AC39" s="2908"/>
      <c r="AD39"/>
      <c r="AE39" s="2908"/>
      <c r="AF39"/>
      <c r="AG39" s="2908"/>
      <c r="AH39"/>
      <c r="AI39" s="2908"/>
      <c r="AJ39"/>
      <c r="AK39" s="2908"/>
      <c r="AL39"/>
      <c r="AM39" s="2908"/>
      <c r="AN39"/>
      <c r="AO39" s="2908"/>
      <c r="AP39"/>
      <c r="AQ39" s="2908"/>
      <c r="AR39"/>
      <c r="AS39" s="2908"/>
      <c r="AT39"/>
      <c r="AU39" s="2908"/>
      <c r="AV39"/>
      <c r="AW39" s="2906"/>
      <c r="AX39"/>
      <c r="AY39"/>
      <c r="AZ39" s="3271"/>
      <c r="BA39" s="2906"/>
      <c r="BB39" s="2906"/>
      <c r="BC39" s="2899"/>
      <c r="BD39" s="2919"/>
      <c r="BE39" s="2899"/>
      <c r="BF39" s="2919"/>
      <c r="BG39"/>
    </row>
    <row r="40" spans="1:59" ht="99.75" customHeight="1">
      <c r="A40" s="3737"/>
      <c r="B40" s="3738"/>
      <c r="C40" s="3744"/>
      <c r="D40" s="3288"/>
      <c r="E40" s="3736"/>
      <c r="F40" s="3738"/>
      <c r="G40" s="618">
        <v>77</v>
      </c>
      <c r="H40" s="2167" t="s">
        <v>584</v>
      </c>
      <c r="I40" s="618" t="s">
        <v>65</v>
      </c>
      <c r="J40" s="216">
        <v>28</v>
      </c>
      <c r="K40" s="707">
        <v>75</v>
      </c>
      <c r="L40" s="708" t="s">
        <v>585</v>
      </c>
      <c r="M40" s="2906"/>
      <c r="N40" s="2909"/>
      <c r="O40" s="670">
        <v>0</v>
      </c>
      <c r="P40"/>
      <c r="Q40"/>
      <c r="R40" s="711" t="s">
        <v>586</v>
      </c>
      <c r="S40" s="2175" t="s">
        <v>584</v>
      </c>
      <c r="T40" s="2292">
        <v>0</v>
      </c>
      <c r="U40" s="2286">
        <v>0</v>
      </c>
      <c r="V40" s="2286">
        <v>0</v>
      </c>
      <c r="W40" s="2180"/>
      <c r="X40" s="2179"/>
      <c r="Y40" s="2908"/>
      <c r="Z40"/>
      <c r="AA40" s="2908"/>
      <c r="AB40"/>
      <c r="AC40" s="2908"/>
      <c r="AD40"/>
      <c r="AE40" s="2908"/>
      <c r="AF40"/>
      <c r="AG40" s="2908"/>
      <c r="AH40"/>
      <c r="AI40" s="2908"/>
      <c r="AJ40"/>
      <c r="AK40" s="2908"/>
      <c r="AL40"/>
      <c r="AM40" s="2908"/>
      <c r="AN40"/>
      <c r="AO40" s="2908"/>
      <c r="AP40"/>
      <c r="AQ40" s="2908"/>
      <c r="AR40"/>
      <c r="AS40" s="2908"/>
      <c r="AT40"/>
      <c r="AU40" s="2908"/>
      <c r="AV40"/>
      <c r="AW40" s="2906"/>
      <c r="AX40"/>
      <c r="AY40"/>
      <c r="AZ40" s="3271"/>
      <c r="BA40" s="2906"/>
      <c r="BB40" s="2906"/>
      <c r="BC40" s="2899"/>
      <c r="BD40" s="2919"/>
      <c r="BE40" s="2899"/>
      <c r="BF40" s="2919"/>
      <c r="BG40"/>
    </row>
    <row r="41" spans="1:59" ht="86.25" customHeight="1">
      <c r="A41" s="3737"/>
      <c r="B41" s="3738"/>
      <c r="C41" s="3744"/>
      <c r="D41" s="3288"/>
      <c r="E41" s="3736"/>
      <c r="F41" s="3738"/>
      <c r="G41" s="618">
        <v>78</v>
      </c>
      <c r="H41" s="2167" t="s">
        <v>587</v>
      </c>
      <c r="I41" s="618" t="s">
        <v>65</v>
      </c>
      <c r="J41" s="216">
        <v>9</v>
      </c>
      <c r="K41" s="707">
        <v>9</v>
      </c>
      <c r="L41" s="618" t="s">
        <v>588</v>
      </c>
      <c r="M41" s="2906"/>
      <c r="N41" s="2909"/>
      <c r="O41" s="670">
        <v>0</v>
      </c>
      <c r="P41"/>
      <c r="Q41"/>
      <c r="R41" s="712" t="s">
        <v>589</v>
      </c>
      <c r="S41" s="2175" t="s">
        <v>587</v>
      </c>
      <c r="T41" s="2292">
        <v>0</v>
      </c>
      <c r="U41" s="2286">
        <v>0</v>
      </c>
      <c r="V41" s="2286">
        <v>0</v>
      </c>
      <c r="W41" s="2180"/>
      <c r="X41" s="2179"/>
      <c r="Y41" s="2908"/>
      <c r="Z41"/>
      <c r="AA41" s="2908"/>
      <c r="AB41"/>
      <c r="AC41" s="2908"/>
      <c r="AD41"/>
      <c r="AE41" s="2908"/>
      <c r="AF41"/>
      <c r="AG41" s="2908"/>
      <c r="AH41"/>
      <c r="AI41" s="2908"/>
      <c r="AJ41"/>
      <c r="AK41" s="2908"/>
      <c r="AL41"/>
      <c r="AM41" s="2908"/>
      <c r="AN41"/>
      <c r="AO41" s="2908"/>
      <c r="AP41"/>
      <c r="AQ41" s="2908"/>
      <c r="AR41"/>
      <c r="AS41" s="2908"/>
      <c r="AT41"/>
      <c r="AU41" s="2908"/>
      <c r="AV41"/>
      <c r="AW41" s="2906"/>
      <c r="AX41"/>
      <c r="AY41"/>
      <c r="AZ41" s="3271"/>
      <c r="BA41" s="2906"/>
      <c r="BB41" s="2906"/>
      <c r="BC41" s="2899"/>
      <c r="BD41" s="2919"/>
      <c r="BE41" s="2899"/>
      <c r="BF41" s="2919"/>
      <c r="BG41"/>
    </row>
    <row r="42" spans="1:59" ht="71.25" customHeight="1">
      <c r="A42" s="3737"/>
      <c r="B42" s="3738"/>
      <c r="C42" s="3744"/>
      <c r="D42" s="3288"/>
      <c r="E42" s="3736"/>
      <c r="F42" s="3738"/>
      <c r="G42" s="618">
        <v>79</v>
      </c>
      <c r="H42" s="2167" t="s">
        <v>590</v>
      </c>
      <c r="I42" s="618" t="s">
        <v>65</v>
      </c>
      <c r="J42" s="216">
        <v>113</v>
      </c>
      <c r="K42" s="707">
        <v>123</v>
      </c>
      <c r="L42" s="713" t="s">
        <v>591</v>
      </c>
      <c r="M42" s="2906"/>
      <c r="N42" s="2909"/>
      <c r="O42" s="670">
        <v>0</v>
      </c>
      <c r="P42"/>
      <c r="Q42"/>
      <c r="R42" s="680" t="s">
        <v>583</v>
      </c>
      <c r="S42" s="2175" t="s">
        <v>590</v>
      </c>
      <c r="T42" s="2292">
        <v>0</v>
      </c>
      <c r="U42" s="2286">
        <v>0</v>
      </c>
      <c r="V42" s="2286">
        <v>0</v>
      </c>
      <c r="W42" s="2180"/>
      <c r="X42" s="2179"/>
      <c r="Y42" s="2908"/>
      <c r="Z42"/>
      <c r="AA42" s="2908"/>
      <c r="AB42"/>
      <c r="AC42" s="2908"/>
      <c r="AD42"/>
      <c r="AE42" s="2908"/>
      <c r="AF42"/>
      <c r="AG42" s="2908"/>
      <c r="AH42"/>
      <c r="AI42" s="2908"/>
      <c r="AJ42"/>
      <c r="AK42" s="2908"/>
      <c r="AL42"/>
      <c r="AM42" s="2908"/>
      <c r="AN42"/>
      <c r="AO42" s="2908"/>
      <c r="AP42"/>
      <c r="AQ42" s="2908"/>
      <c r="AR42"/>
      <c r="AS42" s="2908"/>
      <c r="AT42"/>
      <c r="AU42" s="2908"/>
      <c r="AV42"/>
      <c r="AW42" s="2906"/>
      <c r="AX42"/>
      <c r="AY42"/>
      <c r="AZ42" s="3271"/>
      <c r="BA42" s="2906"/>
      <c r="BB42" s="2906"/>
      <c r="BC42" s="2899"/>
      <c r="BD42" s="2919"/>
      <c r="BE42" s="2899"/>
      <c r="BF42" s="2919"/>
      <c r="BG42"/>
    </row>
    <row r="43" spans="1:59" ht="71.25">
      <c r="A43" s="3737"/>
      <c r="B43" s="3738"/>
      <c r="C43" s="3744"/>
      <c r="D43" s="3288"/>
      <c r="E43" s="3736"/>
      <c r="F43" s="3738"/>
      <c r="G43" s="618">
        <v>80</v>
      </c>
      <c r="H43" s="2167" t="s">
        <v>592</v>
      </c>
      <c r="I43" s="618" t="s">
        <v>65</v>
      </c>
      <c r="J43" s="216">
        <v>3130</v>
      </c>
      <c r="K43" s="707">
        <v>3204</v>
      </c>
      <c r="L43" s="618"/>
      <c r="M43" s="2906"/>
      <c r="N43" s="2909"/>
      <c r="O43" s="670">
        <v>0</v>
      </c>
      <c r="P43"/>
      <c r="Q43"/>
      <c r="R43" s="711" t="s">
        <v>589</v>
      </c>
      <c r="S43" s="2175" t="s">
        <v>592</v>
      </c>
      <c r="T43" s="2292">
        <v>0</v>
      </c>
      <c r="U43" s="2286">
        <v>0</v>
      </c>
      <c r="V43" s="2286">
        <v>0</v>
      </c>
      <c r="W43" s="2180"/>
      <c r="X43" s="2179"/>
      <c r="Y43" s="2908"/>
      <c r="Z43"/>
      <c r="AA43" s="2908"/>
      <c r="AB43"/>
      <c r="AC43" s="2908"/>
      <c r="AD43"/>
      <c r="AE43" s="2908"/>
      <c r="AF43"/>
      <c r="AG43" s="2908"/>
      <c r="AH43"/>
      <c r="AI43" s="2908"/>
      <c r="AJ43"/>
      <c r="AK43" s="2908"/>
      <c r="AL43"/>
      <c r="AM43" s="2908"/>
      <c r="AN43"/>
      <c r="AO43" s="2908"/>
      <c r="AP43"/>
      <c r="AQ43" s="2908"/>
      <c r="AR43"/>
      <c r="AS43" s="2908"/>
      <c r="AT43"/>
      <c r="AU43" s="2908"/>
      <c r="AV43"/>
      <c r="AW43" s="2906"/>
      <c r="AX43"/>
      <c r="AY43"/>
      <c r="AZ43" s="3271"/>
      <c r="BA43" s="2906"/>
      <c r="BB43" s="2906"/>
      <c r="BC43" s="2899"/>
      <c r="BD43" s="2919"/>
      <c r="BE43" s="2899"/>
      <c r="BF43" s="2919"/>
      <c r="BG43"/>
    </row>
    <row r="44" spans="1:59" ht="111.75" customHeight="1">
      <c r="A44" s="3737"/>
      <c r="B44" s="3738"/>
      <c r="C44" s="3744"/>
      <c r="D44" s="3288"/>
      <c r="E44" s="3736"/>
      <c r="F44" s="3738"/>
      <c r="G44" s="618">
        <v>81</v>
      </c>
      <c r="H44" s="2167" t="s">
        <v>593</v>
      </c>
      <c r="I44" s="618" t="s">
        <v>65</v>
      </c>
      <c r="J44" s="216">
        <v>17</v>
      </c>
      <c r="K44" s="707" t="s">
        <v>2126</v>
      </c>
      <c r="L44" s="618"/>
      <c r="M44" s="2906"/>
      <c r="N44" s="2909"/>
      <c r="O44" s="670">
        <v>0</v>
      </c>
      <c r="P44"/>
      <c r="Q44"/>
      <c r="R44" s="706" t="s">
        <v>581</v>
      </c>
      <c r="S44" s="2175" t="s">
        <v>593</v>
      </c>
      <c r="T44" s="2292">
        <v>0</v>
      </c>
      <c r="U44" s="2286">
        <v>0</v>
      </c>
      <c r="V44" s="2286">
        <v>0</v>
      </c>
      <c r="W44" s="2180"/>
      <c r="X44" s="2179"/>
      <c r="Y44" s="2908"/>
      <c r="Z44"/>
      <c r="AA44" s="2908"/>
      <c r="AB44"/>
      <c r="AC44" s="2908"/>
      <c r="AD44"/>
      <c r="AE44" s="2908"/>
      <c r="AF44"/>
      <c r="AG44" s="2908"/>
      <c r="AH44"/>
      <c r="AI44" s="2908"/>
      <c r="AJ44"/>
      <c r="AK44" s="2908"/>
      <c r="AL44"/>
      <c r="AM44" s="2908"/>
      <c r="AN44"/>
      <c r="AO44" s="2908"/>
      <c r="AP44"/>
      <c r="AQ44" s="2908"/>
      <c r="AR44"/>
      <c r="AS44" s="2908"/>
      <c r="AT44"/>
      <c r="AU44" s="2908"/>
      <c r="AV44"/>
      <c r="AW44" s="2906"/>
      <c r="AX44"/>
      <c r="AY44"/>
      <c r="AZ44" s="3271"/>
      <c r="BA44" s="2906"/>
      <c r="BB44" s="2906"/>
      <c r="BC44" s="2899"/>
      <c r="BD44" s="2919"/>
      <c r="BE44" s="2899"/>
      <c r="BF44" s="2919"/>
      <c r="BG44"/>
    </row>
    <row r="45" spans="1:59" ht="99.75" customHeight="1">
      <c r="A45" s="3737"/>
      <c r="B45" s="3738"/>
      <c r="C45" s="3744"/>
      <c r="D45" s="3288"/>
      <c r="E45" s="3739"/>
      <c r="F45" s="3741"/>
      <c r="G45" s="618">
        <v>82</v>
      </c>
      <c r="H45" s="2167" t="s">
        <v>594</v>
      </c>
      <c r="I45" s="618" t="s">
        <v>65</v>
      </c>
      <c r="J45" s="216">
        <v>17</v>
      </c>
      <c r="K45" s="707" t="s">
        <v>2126</v>
      </c>
      <c r="L45" s="618"/>
      <c r="M45" s="2941"/>
      <c r="N45" s="2909"/>
      <c r="O45" s="670">
        <v>0</v>
      </c>
      <c r="P45"/>
      <c r="Q45"/>
      <c r="R45" s="715" t="s">
        <v>581</v>
      </c>
      <c r="S45" s="2175" t="s">
        <v>594</v>
      </c>
      <c r="T45" s="2292">
        <v>0</v>
      </c>
      <c r="U45" s="2286">
        <v>0</v>
      </c>
      <c r="V45" s="2286">
        <v>0</v>
      </c>
      <c r="W45" s="2177"/>
      <c r="X45" s="2174"/>
      <c r="Y45" s="3756"/>
      <c r="Z45"/>
      <c r="AA45" s="3756"/>
      <c r="AB45"/>
      <c r="AC45" s="3756"/>
      <c r="AD45"/>
      <c r="AE45" s="3756"/>
      <c r="AF45"/>
      <c r="AG45" s="3756"/>
      <c r="AH45"/>
      <c r="AI45" s="3756"/>
      <c r="AJ45"/>
      <c r="AK45" s="3756"/>
      <c r="AL45"/>
      <c r="AM45" s="3756"/>
      <c r="AN45"/>
      <c r="AO45" s="3756"/>
      <c r="AP45"/>
      <c r="AQ45" s="3756"/>
      <c r="AR45"/>
      <c r="AS45" s="3756"/>
      <c r="AT45"/>
      <c r="AU45" s="3756"/>
      <c r="AV45"/>
      <c r="AW45" s="2941"/>
      <c r="AX45"/>
      <c r="AY45"/>
      <c r="AZ45" s="3272"/>
      <c r="BA45" s="2941"/>
      <c r="BB45" s="2941"/>
      <c r="BC45" s="3721"/>
      <c r="BD45" s="2937"/>
      <c r="BE45" s="3721"/>
      <c r="BF45" s="2937"/>
      <c r="BG45"/>
    </row>
    <row r="46" spans="1:59" ht="15">
      <c r="A46" s="3737"/>
      <c r="B46" s="3738"/>
      <c r="C46" s="3744"/>
      <c r="D46" s="3288"/>
      <c r="E46" s="662">
        <v>20</v>
      </c>
      <c r="F46" s="663" t="s">
        <v>595</v>
      </c>
      <c r="G46" s="51"/>
      <c r="H46" s="476"/>
      <c r="I46" s="51"/>
      <c r="J46" s="51"/>
      <c r="K46" s="475"/>
      <c r="L46" s="51"/>
      <c r="M46" s="51"/>
      <c r="N46" s="51"/>
      <c r="O46" s="51"/>
      <c r="P46" s="51"/>
      <c r="Q46" s="51"/>
      <c r="R46" s="476"/>
      <c r="S46" s="476"/>
      <c r="T46" s="1901"/>
      <c r="U46" s="2300"/>
      <c r="V46" s="2300"/>
      <c r="W46" s="2181"/>
      <c r="X46" s="476"/>
      <c r="Y46" s="673"/>
      <c r="Z46" s="674"/>
      <c r="AA46" s="673"/>
      <c r="AB46" s="674"/>
      <c r="AC46" s="673"/>
      <c r="AD46" s="674"/>
      <c r="AE46" s="673"/>
      <c r="AF46" s="674"/>
      <c r="AG46" s="673"/>
      <c r="AH46" s="674"/>
      <c r="AI46" s="673"/>
      <c r="AJ46" s="674"/>
      <c r="AK46" s="673"/>
      <c r="AL46" s="674"/>
      <c r="AM46" s="673"/>
      <c r="AN46" s="674"/>
      <c r="AO46" s="673"/>
      <c r="AP46" s="674"/>
      <c r="AQ46" s="673"/>
      <c r="AR46" s="674"/>
      <c r="AS46" s="673"/>
      <c r="AT46" s="674"/>
      <c r="AU46" s="673"/>
      <c r="AV46" s="674"/>
      <c r="AW46" s="51"/>
      <c r="AX46" s="664"/>
      <c r="AY46" s="51"/>
      <c r="AZ46" s="51"/>
      <c r="BA46" s="51"/>
      <c r="BB46" s="51"/>
      <c r="BC46" s="51"/>
      <c r="BD46" s="475"/>
      <c r="BE46" s="51"/>
      <c r="BF46" s="475"/>
      <c r="BG46" s="665"/>
    </row>
    <row r="47" spans="1:59" ht="75.75" customHeight="1">
      <c r="A47" s="3737"/>
      <c r="B47" s="3738"/>
      <c r="C47" s="3744"/>
      <c r="D47" s="3288"/>
      <c r="E47" s="3733"/>
      <c r="F47" s="3735"/>
      <c r="G47" s="618">
        <v>83</v>
      </c>
      <c r="H47" s="2167" t="s">
        <v>596</v>
      </c>
      <c r="I47" s="618" t="s">
        <v>65</v>
      </c>
      <c r="J47" s="216">
        <v>4</v>
      </c>
      <c r="K47" s="707">
        <v>4</v>
      </c>
      <c r="L47" s="2905" t="s">
        <v>597</v>
      </c>
      <c r="M47" s="2905">
        <v>90</v>
      </c>
      <c r="N47" s="2909" t="s">
        <v>598</v>
      </c>
      <c r="O47" s="670">
        <f>+T47/$P$47</f>
        <v>0.023076923076923078</v>
      </c>
      <c r="P47">
        <v>650000000</v>
      </c>
      <c r="Q47" t="s">
        <v>599</v>
      </c>
      <c r="R47" s="712" t="s">
        <v>600</v>
      </c>
      <c r="S47" s="2167" t="s">
        <v>596</v>
      </c>
      <c r="T47" s="2292">
        <v>15000000</v>
      </c>
      <c r="U47" s="2286">
        <v>0</v>
      </c>
      <c r="V47" s="2286">
        <v>0</v>
      </c>
      <c r="W47" s="2176">
        <v>35</v>
      </c>
      <c r="X47" s="2179" t="s">
        <v>522</v>
      </c>
      <c r="Y47" s="2907">
        <v>2732</v>
      </c>
      <c r="Z47">
        <v>2732</v>
      </c>
      <c r="AA47" s="2907">
        <v>17360</v>
      </c>
      <c r="AB47">
        <v>17360</v>
      </c>
      <c r="AC47" s="2907">
        <v>21116</v>
      </c>
      <c r="AD47">
        <v>21116</v>
      </c>
      <c r="AE47" s="2907"/>
      <c r="AF47"/>
      <c r="AG47" s="2907">
        <v>4451</v>
      </c>
      <c r="AH47">
        <v>4451</v>
      </c>
      <c r="AI47" s="2907"/>
      <c r="AJ47"/>
      <c r="AK47" s="2907">
        <v>247</v>
      </c>
      <c r="AL47">
        <v>247</v>
      </c>
      <c r="AM47" s="2907">
        <v>217</v>
      </c>
      <c r="AN47">
        <v>217</v>
      </c>
      <c r="AO47" s="2907">
        <v>60</v>
      </c>
      <c r="AP47">
        <v>60</v>
      </c>
      <c r="AQ47" s="2907">
        <v>2484</v>
      </c>
      <c r="AR47">
        <v>2484</v>
      </c>
      <c r="AS47" s="2907">
        <v>4575</v>
      </c>
      <c r="AT47">
        <v>4575</v>
      </c>
      <c r="AU47" s="2907">
        <v>56</v>
      </c>
      <c r="AV47">
        <v>56</v>
      </c>
      <c r="AW47" s="2905"/>
      <c r="AX47">
        <v>391448989.72</v>
      </c>
      <c r="AY47">
        <v>376448989.72</v>
      </c>
      <c r="AZ47" s="2925">
        <f>+AY47/AX47</f>
        <v>0.9616808309794608</v>
      </c>
      <c r="BA47" s="2905" t="s">
        <v>1823</v>
      </c>
      <c r="BB47" s="2905" t="s">
        <v>1824</v>
      </c>
      <c r="BC47" s="2898">
        <v>42583</v>
      </c>
      <c r="BD47" s="2898">
        <v>42583</v>
      </c>
      <c r="BE47" s="2898">
        <v>42735</v>
      </c>
      <c r="BF47" s="2898">
        <v>42735</v>
      </c>
      <c r="BG47" s="2905" t="s">
        <v>519</v>
      </c>
    </row>
    <row r="48" spans="1:59" ht="81.75" customHeight="1">
      <c r="A48" s="3737"/>
      <c r="B48" s="3738"/>
      <c r="C48" s="3744"/>
      <c r="D48" s="3288"/>
      <c r="E48" s="3736"/>
      <c r="F48" s="3738"/>
      <c r="G48" s="618">
        <v>84</v>
      </c>
      <c r="H48" s="2167" t="s">
        <v>601</v>
      </c>
      <c r="I48" s="618" t="s">
        <v>65</v>
      </c>
      <c r="J48" s="216">
        <v>4</v>
      </c>
      <c r="K48" s="707">
        <v>0</v>
      </c>
      <c r="L48" s="2906"/>
      <c r="M48" s="2906"/>
      <c r="N48" s="2909"/>
      <c r="O48" s="2851">
        <f aca="true" t="shared" si="0" ref="O48:O56">+T48/$P$47</f>
        <v>0</v>
      </c>
      <c r="P48"/>
      <c r="Q48"/>
      <c r="R48" s="716" t="s">
        <v>602</v>
      </c>
      <c r="S48" s="2167" t="s">
        <v>601</v>
      </c>
      <c r="T48" s="2292">
        <v>0</v>
      </c>
      <c r="U48" s="2286">
        <v>0</v>
      </c>
      <c r="V48" s="2286">
        <v>0</v>
      </c>
      <c r="W48" s="2180"/>
      <c r="X48" s="2179"/>
      <c r="Y48" s="2908"/>
      <c r="Z48"/>
      <c r="AA48" s="2908"/>
      <c r="AB48"/>
      <c r="AC48" s="2908"/>
      <c r="AD48"/>
      <c r="AE48" s="2908"/>
      <c r="AF48"/>
      <c r="AG48" s="2908"/>
      <c r="AH48"/>
      <c r="AI48" s="2908"/>
      <c r="AJ48"/>
      <c r="AK48" s="2908"/>
      <c r="AL48"/>
      <c r="AM48" s="2908"/>
      <c r="AN48"/>
      <c r="AO48" s="2908"/>
      <c r="AP48"/>
      <c r="AQ48" s="2908"/>
      <c r="AR48"/>
      <c r="AS48" s="2908"/>
      <c r="AT48"/>
      <c r="AU48" s="2908"/>
      <c r="AV48"/>
      <c r="AW48" s="2906"/>
      <c r="AX48"/>
      <c r="AY48"/>
      <c r="AZ48" s="3271"/>
      <c r="BA48" s="2906"/>
      <c r="BB48" s="2906"/>
      <c r="BC48" s="2899"/>
      <c r="BD48" s="2899"/>
      <c r="BE48" s="2899"/>
      <c r="BF48" s="2899"/>
      <c r="BG48"/>
    </row>
    <row r="49" spans="1:59" ht="78.75" customHeight="1">
      <c r="A49" s="3737"/>
      <c r="B49" s="3738"/>
      <c r="C49" s="3744"/>
      <c r="D49" s="3288"/>
      <c r="E49" s="3736"/>
      <c r="F49" s="3738"/>
      <c r="G49" s="618">
        <v>85</v>
      </c>
      <c r="H49" s="2167" t="s">
        <v>603</v>
      </c>
      <c r="I49" s="618" t="s">
        <v>65</v>
      </c>
      <c r="J49" s="216">
        <v>4</v>
      </c>
      <c r="K49" s="707">
        <v>4</v>
      </c>
      <c r="L49" s="2906"/>
      <c r="M49" s="2906"/>
      <c r="N49" s="2909"/>
      <c r="O49" s="2851">
        <f t="shared" si="0"/>
        <v>0.023076923076923078</v>
      </c>
      <c r="P49"/>
      <c r="Q49"/>
      <c r="R49" s="706" t="s">
        <v>604</v>
      </c>
      <c r="S49" s="2167" t="s">
        <v>603</v>
      </c>
      <c r="T49" s="2292">
        <v>15000000</v>
      </c>
      <c r="U49" s="2286">
        <v>15000000</v>
      </c>
      <c r="V49" s="2286">
        <v>15000000</v>
      </c>
      <c r="W49" s="2176">
        <v>35</v>
      </c>
      <c r="X49" s="2179" t="s">
        <v>522</v>
      </c>
      <c r="Y49" s="2908"/>
      <c r="Z49"/>
      <c r="AA49" s="2908"/>
      <c r="AB49"/>
      <c r="AC49" s="2908"/>
      <c r="AD49"/>
      <c r="AE49" s="2908"/>
      <c r="AF49"/>
      <c r="AG49" s="2908"/>
      <c r="AH49"/>
      <c r="AI49" s="2908"/>
      <c r="AJ49"/>
      <c r="AK49" s="2908"/>
      <c r="AL49"/>
      <c r="AM49" s="2908"/>
      <c r="AN49"/>
      <c r="AO49" s="2908"/>
      <c r="AP49"/>
      <c r="AQ49" s="2908"/>
      <c r="AR49"/>
      <c r="AS49" s="2908"/>
      <c r="AT49"/>
      <c r="AU49" s="2908"/>
      <c r="AV49"/>
      <c r="AW49" s="2906"/>
      <c r="AX49"/>
      <c r="AY49"/>
      <c r="AZ49" s="3271"/>
      <c r="BA49" s="2906"/>
      <c r="BB49" s="2906"/>
      <c r="BC49" s="2899"/>
      <c r="BD49" s="2899"/>
      <c r="BE49" s="2899"/>
      <c r="BF49" s="2899"/>
      <c r="BG49"/>
    </row>
    <row r="50" spans="1:59" ht="98.25" customHeight="1">
      <c r="A50" s="3737"/>
      <c r="B50" s="3738"/>
      <c r="C50" s="3744"/>
      <c r="D50" s="3288"/>
      <c r="E50" s="3736"/>
      <c r="F50" s="3738"/>
      <c r="G50" s="618">
        <v>87</v>
      </c>
      <c r="H50" s="2167" t="s">
        <v>605</v>
      </c>
      <c r="I50" s="618" t="s">
        <v>65</v>
      </c>
      <c r="J50" s="2337">
        <v>30</v>
      </c>
      <c r="K50" s="707">
        <v>30</v>
      </c>
      <c r="L50" s="2906"/>
      <c r="M50" s="2906"/>
      <c r="N50" s="2909"/>
      <c r="O50" s="2851">
        <f t="shared" si="0"/>
        <v>0.18461538461538463</v>
      </c>
      <c r="P50"/>
      <c r="Q50"/>
      <c r="R50" s="712" t="s">
        <v>606</v>
      </c>
      <c r="S50" s="2167" t="s">
        <v>605</v>
      </c>
      <c r="T50" s="2292">
        <v>120000000</v>
      </c>
      <c r="U50" s="2286">
        <v>0</v>
      </c>
      <c r="V50" s="2286">
        <v>0</v>
      </c>
      <c r="W50" s="2180" t="s">
        <v>607</v>
      </c>
      <c r="X50" s="2179" t="s">
        <v>608</v>
      </c>
      <c r="Y50" s="2908"/>
      <c r="Z50"/>
      <c r="AA50" s="2908"/>
      <c r="AB50"/>
      <c r="AC50" s="2908"/>
      <c r="AD50"/>
      <c r="AE50" s="2908"/>
      <c r="AF50"/>
      <c r="AG50" s="2908"/>
      <c r="AH50"/>
      <c r="AI50" s="2908"/>
      <c r="AJ50"/>
      <c r="AK50" s="2908"/>
      <c r="AL50"/>
      <c r="AM50" s="2908"/>
      <c r="AN50"/>
      <c r="AO50" s="2908"/>
      <c r="AP50"/>
      <c r="AQ50" s="2908"/>
      <c r="AR50"/>
      <c r="AS50" s="2908"/>
      <c r="AT50"/>
      <c r="AU50" s="2908"/>
      <c r="AV50"/>
      <c r="AW50" s="2906"/>
      <c r="AX50"/>
      <c r="AY50"/>
      <c r="AZ50" s="3271"/>
      <c r="BA50" s="2906"/>
      <c r="BB50" s="2906"/>
      <c r="BC50" s="2899"/>
      <c r="BD50" s="2899"/>
      <c r="BE50" s="2899"/>
      <c r="BF50" s="2899"/>
      <c r="BG50"/>
    </row>
    <row r="51" spans="1:59" ht="71.25" customHeight="1">
      <c r="A51" s="3737"/>
      <c r="B51" s="3738"/>
      <c r="C51" s="3744"/>
      <c r="D51" s="3288"/>
      <c r="E51" s="3736"/>
      <c r="F51" s="3738"/>
      <c r="G51" s="618">
        <v>88</v>
      </c>
      <c r="H51" s="2167" t="s">
        <v>609</v>
      </c>
      <c r="I51" s="618" t="s">
        <v>65</v>
      </c>
      <c r="J51" s="216">
        <v>23</v>
      </c>
      <c r="K51" s="707">
        <v>20</v>
      </c>
      <c r="L51" s="2906"/>
      <c r="M51" s="2906"/>
      <c r="N51" s="2909"/>
      <c r="O51" s="2851">
        <f t="shared" si="0"/>
        <v>0</v>
      </c>
      <c r="P51"/>
      <c r="Q51"/>
      <c r="R51" s="2095" t="s">
        <v>610</v>
      </c>
      <c r="S51" s="2167" t="s">
        <v>609</v>
      </c>
      <c r="T51" s="2292">
        <v>0</v>
      </c>
      <c r="U51" s="2286">
        <v>0</v>
      </c>
      <c r="V51" s="2286">
        <v>0</v>
      </c>
      <c r="W51" s="2180"/>
      <c r="X51" s="2179"/>
      <c r="Y51" s="2908"/>
      <c r="Z51"/>
      <c r="AA51" s="2908"/>
      <c r="AB51"/>
      <c r="AC51" s="2908"/>
      <c r="AD51"/>
      <c r="AE51" s="2908"/>
      <c r="AF51"/>
      <c r="AG51" s="2908"/>
      <c r="AH51"/>
      <c r="AI51" s="2908"/>
      <c r="AJ51"/>
      <c r="AK51" s="2908"/>
      <c r="AL51"/>
      <c r="AM51" s="2908"/>
      <c r="AN51"/>
      <c r="AO51" s="2908"/>
      <c r="AP51"/>
      <c r="AQ51" s="2908"/>
      <c r="AR51"/>
      <c r="AS51" s="2908"/>
      <c r="AT51"/>
      <c r="AU51" s="2908"/>
      <c r="AV51"/>
      <c r="AW51" s="2906"/>
      <c r="AX51"/>
      <c r="AY51"/>
      <c r="AZ51" s="3271"/>
      <c r="BA51" s="2906"/>
      <c r="BB51" s="2906"/>
      <c r="BC51" s="2899"/>
      <c r="BD51" s="2899"/>
      <c r="BE51" s="2899"/>
      <c r="BF51" s="2899"/>
      <c r="BG51"/>
    </row>
    <row r="52" spans="1:59" ht="110.25" customHeight="1">
      <c r="A52" s="3737"/>
      <c r="B52" s="3738"/>
      <c r="C52" s="3744"/>
      <c r="D52" s="3288"/>
      <c r="E52" s="3736"/>
      <c r="F52" s="3738"/>
      <c r="G52" s="618">
        <v>86</v>
      </c>
      <c r="H52" s="2334" t="s">
        <v>2127</v>
      </c>
      <c r="I52" s="618" t="s">
        <v>65</v>
      </c>
      <c r="J52" s="216">
        <v>1</v>
      </c>
      <c r="K52" s="705">
        <v>1</v>
      </c>
      <c r="L52" s="2906"/>
      <c r="M52" s="2906"/>
      <c r="N52" s="2909"/>
      <c r="O52" s="2851">
        <f t="shared" si="0"/>
        <v>0</v>
      </c>
      <c r="P52"/>
      <c r="Q52"/>
      <c r="R52" s="2095" t="s">
        <v>612</v>
      </c>
      <c r="S52" s="2172" t="s">
        <v>611</v>
      </c>
      <c r="T52" s="2292">
        <v>0</v>
      </c>
      <c r="U52" s="2286">
        <v>0</v>
      </c>
      <c r="V52" s="2286">
        <v>0</v>
      </c>
      <c r="W52" s="2180"/>
      <c r="X52" s="2179"/>
      <c r="Y52" s="2908"/>
      <c r="Z52"/>
      <c r="AA52" s="2908"/>
      <c r="AB52"/>
      <c r="AC52" s="2908"/>
      <c r="AD52"/>
      <c r="AE52" s="2908"/>
      <c r="AF52"/>
      <c r="AG52" s="2908"/>
      <c r="AH52"/>
      <c r="AI52" s="2908"/>
      <c r="AJ52"/>
      <c r="AK52" s="2908"/>
      <c r="AL52"/>
      <c r="AM52" s="2908"/>
      <c r="AN52"/>
      <c r="AO52" s="2908"/>
      <c r="AP52"/>
      <c r="AQ52" s="2908"/>
      <c r="AR52"/>
      <c r="AS52" s="2908"/>
      <c r="AT52"/>
      <c r="AU52" s="2908"/>
      <c r="AV52"/>
      <c r="AW52" s="2906"/>
      <c r="AX52"/>
      <c r="AY52"/>
      <c r="AZ52" s="3271"/>
      <c r="BA52" s="2906"/>
      <c r="BB52" s="2906"/>
      <c r="BC52" s="2899"/>
      <c r="BD52" s="2899"/>
      <c r="BE52" s="2899"/>
      <c r="BF52" s="2899"/>
      <c r="BG52"/>
    </row>
    <row r="53" spans="1:59" ht="81" customHeight="1">
      <c r="A53" s="3737"/>
      <c r="B53" s="3738"/>
      <c r="C53" s="3744"/>
      <c r="D53" s="3288"/>
      <c r="E53" s="3736"/>
      <c r="F53" s="3738"/>
      <c r="G53" s="618">
        <v>89</v>
      </c>
      <c r="H53" s="2167" t="s">
        <v>613</v>
      </c>
      <c r="I53" s="618" t="s">
        <v>65</v>
      </c>
      <c r="J53" s="216">
        <v>9000</v>
      </c>
      <c r="K53" s="707">
        <v>9047</v>
      </c>
      <c r="L53" s="2906"/>
      <c r="M53" s="2906"/>
      <c r="N53" s="2909"/>
      <c r="O53" s="2851">
        <f t="shared" si="0"/>
        <v>0</v>
      </c>
      <c r="P53"/>
      <c r="Q53"/>
      <c r="R53" s="2095" t="s">
        <v>612</v>
      </c>
      <c r="S53" s="2167" t="s">
        <v>613</v>
      </c>
      <c r="T53" s="2292">
        <v>0</v>
      </c>
      <c r="U53" s="2286">
        <v>0</v>
      </c>
      <c r="V53" s="2286">
        <v>0</v>
      </c>
      <c r="W53" s="2180"/>
      <c r="X53" s="2179"/>
      <c r="Y53" s="2908"/>
      <c r="Z53"/>
      <c r="AA53" s="2908"/>
      <c r="AB53"/>
      <c r="AC53" s="2908"/>
      <c r="AD53"/>
      <c r="AE53" s="2908"/>
      <c r="AF53"/>
      <c r="AG53" s="2908"/>
      <c r="AH53"/>
      <c r="AI53" s="2908"/>
      <c r="AJ53"/>
      <c r="AK53" s="2908"/>
      <c r="AL53"/>
      <c r="AM53" s="2908"/>
      <c r="AN53"/>
      <c r="AO53" s="2908"/>
      <c r="AP53"/>
      <c r="AQ53" s="2908"/>
      <c r="AR53"/>
      <c r="AS53" s="2908"/>
      <c r="AT53"/>
      <c r="AU53" s="2908"/>
      <c r="AV53"/>
      <c r="AW53" s="2906"/>
      <c r="AX53"/>
      <c r="AY53"/>
      <c r="AZ53" s="3271"/>
      <c r="BA53" s="2906"/>
      <c r="BB53" s="2906"/>
      <c r="BC53" s="2899"/>
      <c r="BD53" s="2899"/>
      <c r="BE53" s="2899"/>
      <c r="BF53" s="2899"/>
      <c r="BG53"/>
    </row>
    <row r="54" spans="1:59" ht="64.5" customHeight="1">
      <c r="A54" s="3737"/>
      <c r="B54" s="3738"/>
      <c r="C54" s="3744"/>
      <c r="D54" s="3288"/>
      <c r="E54" s="3736"/>
      <c r="F54" s="3738"/>
      <c r="G54" s="618">
        <v>90</v>
      </c>
      <c r="H54" s="2167" t="s">
        <v>614</v>
      </c>
      <c r="I54" s="618" t="s">
        <v>65</v>
      </c>
      <c r="J54" s="216">
        <v>104</v>
      </c>
      <c r="K54" s="707">
        <v>131</v>
      </c>
      <c r="L54" s="2906"/>
      <c r="M54" s="2906"/>
      <c r="N54" s="2909"/>
      <c r="O54" s="2851">
        <f t="shared" si="0"/>
        <v>0.35384615384615387</v>
      </c>
      <c r="P54"/>
      <c r="Q54"/>
      <c r="R54" s="2095" t="s">
        <v>615</v>
      </c>
      <c r="S54" s="2167" t="s">
        <v>614</v>
      </c>
      <c r="T54" s="2292">
        <v>230000000</v>
      </c>
      <c r="U54" s="2286">
        <f>67789100+42000000</f>
        <v>109789100</v>
      </c>
      <c r="V54" s="2286">
        <f>67789100+42000000</f>
        <v>109789100</v>
      </c>
      <c r="W54" s="2180" t="s">
        <v>607</v>
      </c>
      <c r="X54" s="2179" t="s">
        <v>608</v>
      </c>
      <c r="Y54" s="2908"/>
      <c r="Z54"/>
      <c r="AA54" s="2908"/>
      <c r="AB54"/>
      <c r="AC54" s="2908"/>
      <c r="AD54"/>
      <c r="AE54" s="2908"/>
      <c r="AF54"/>
      <c r="AG54" s="2908"/>
      <c r="AH54"/>
      <c r="AI54" s="2908"/>
      <c r="AJ54"/>
      <c r="AK54" s="2908"/>
      <c r="AL54"/>
      <c r="AM54" s="2908"/>
      <c r="AN54"/>
      <c r="AO54" s="2908"/>
      <c r="AP54"/>
      <c r="AQ54" s="2908"/>
      <c r="AR54"/>
      <c r="AS54" s="2908"/>
      <c r="AT54"/>
      <c r="AU54" s="2908"/>
      <c r="AV54"/>
      <c r="AW54" s="2906"/>
      <c r="AX54"/>
      <c r="AY54"/>
      <c r="AZ54" s="3271"/>
      <c r="BA54" s="2906"/>
      <c r="BB54" s="2906"/>
      <c r="BC54" s="2899"/>
      <c r="BD54" s="2899"/>
      <c r="BE54" s="2899"/>
      <c r="BF54" s="2899"/>
      <c r="BG54"/>
    </row>
    <row r="55" spans="1:59" ht="84.75" customHeight="1">
      <c r="A55" s="3737"/>
      <c r="B55" s="3738"/>
      <c r="C55" s="3744"/>
      <c r="D55" s="3288"/>
      <c r="E55" s="3736"/>
      <c r="F55" s="3738"/>
      <c r="G55" s="618">
        <v>91</v>
      </c>
      <c r="H55" s="2167" t="s">
        <v>616</v>
      </c>
      <c r="I55" s="618" t="s">
        <v>65</v>
      </c>
      <c r="J55" s="216">
        <v>54</v>
      </c>
      <c r="K55" s="707">
        <v>54</v>
      </c>
      <c r="L55" s="2906"/>
      <c r="M55" s="2906"/>
      <c r="N55" s="2909"/>
      <c r="O55" s="2851">
        <f t="shared" si="0"/>
        <v>0.4153846153846154</v>
      </c>
      <c r="P55"/>
      <c r="Q55"/>
      <c r="R55" s="706" t="s">
        <v>617</v>
      </c>
      <c r="S55" s="2167" t="s">
        <v>616</v>
      </c>
      <c r="T55" s="2292">
        <v>270000000</v>
      </c>
      <c r="U55" s="2286">
        <v>266659889.72</v>
      </c>
      <c r="V55" s="2293">
        <v>251659889</v>
      </c>
      <c r="W55" s="2176">
        <v>35</v>
      </c>
      <c r="X55" s="2179" t="s">
        <v>522</v>
      </c>
      <c r="Y55" s="2908"/>
      <c r="Z55"/>
      <c r="AA55" s="2908"/>
      <c r="AB55"/>
      <c r="AC55" s="2908"/>
      <c r="AD55"/>
      <c r="AE55" s="2908"/>
      <c r="AF55"/>
      <c r="AG55" s="2908"/>
      <c r="AH55"/>
      <c r="AI55" s="2908"/>
      <c r="AJ55"/>
      <c r="AK55" s="2908"/>
      <c r="AL55"/>
      <c r="AM55" s="2908"/>
      <c r="AN55"/>
      <c r="AO55" s="2908"/>
      <c r="AP55"/>
      <c r="AQ55" s="2908"/>
      <c r="AR55"/>
      <c r="AS55" s="2908"/>
      <c r="AT55"/>
      <c r="AU55" s="2908"/>
      <c r="AV55"/>
      <c r="AW55" s="2906"/>
      <c r="AX55"/>
      <c r="AY55"/>
      <c r="AZ55" s="3271"/>
      <c r="BA55" s="2906"/>
      <c r="BB55" s="2906"/>
      <c r="BC55" s="2899"/>
      <c r="BD55" s="2899"/>
      <c r="BE55" s="2899"/>
      <c r="BF55" s="2899"/>
      <c r="BG55"/>
    </row>
    <row r="56" spans="1:59" ht="106.5" customHeight="1">
      <c r="A56" s="3737"/>
      <c r="B56" s="3738"/>
      <c r="C56" s="3744"/>
      <c r="D56" s="3288"/>
      <c r="E56" s="3739"/>
      <c r="F56" s="3741"/>
      <c r="G56" s="618">
        <v>92</v>
      </c>
      <c r="H56" s="2167" t="s">
        <v>618</v>
      </c>
      <c r="I56" s="618" t="s">
        <v>65</v>
      </c>
      <c r="J56" s="216">
        <v>1</v>
      </c>
      <c r="K56" s="705">
        <v>1</v>
      </c>
      <c r="L56" s="2941"/>
      <c r="M56" s="2941"/>
      <c r="N56" s="2909"/>
      <c r="O56" s="2851">
        <f t="shared" si="0"/>
        <v>0</v>
      </c>
      <c r="P56"/>
      <c r="Q56"/>
      <c r="R56" s="706" t="s">
        <v>619</v>
      </c>
      <c r="S56" s="2172" t="s">
        <v>618</v>
      </c>
      <c r="T56" s="2292">
        <v>0</v>
      </c>
      <c r="U56" s="2286">
        <v>0</v>
      </c>
      <c r="V56" s="2286">
        <v>0</v>
      </c>
      <c r="W56" s="2177"/>
      <c r="X56" s="2174"/>
      <c r="Y56" s="3756"/>
      <c r="Z56"/>
      <c r="AA56" s="3756"/>
      <c r="AB56"/>
      <c r="AC56" s="3756"/>
      <c r="AD56"/>
      <c r="AE56" s="3756"/>
      <c r="AF56"/>
      <c r="AG56" s="3756"/>
      <c r="AH56"/>
      <c r="AI56" s="3756"/>
      <c r="AJ56"/>
      <c r="AK56" s="3756"/>
      <c r="AL56"/>
      <c r="AM56" s="3756"/>
      <c r="AN56"/>
      <c r="AO56" s="3756"/>
      <c r="AP56"/>
      <c r="AQ56" s="3756"/>
      <c r="AR56"/>
      <c r="AS56" s="3756"/>
      <c r="AT56"/>
      <c r="AU56" s="3756"/>
      <c r="AV56"/>
      <c r="AW56" s="2941"/>
      <c r="AX56"/>
      <c r="AY56"/>
      <c r="AZ56" s="3272"/>
      <c r="BA56" s="2941"/>
      <c r="BB56" s="2941"/>
      <c r="BC56" s="3721"/>
      <c r="BD56" s="3721"/>
      <c r="BE56" s="3721"/>
      <c r="BF56" s="3721"/>
      <c r="BG56"/>
    </row>
    <row r="57" spans="1:59" ht="15">
      <c r="A57" s="3737"/>
      <c r="B57" s="3738"/>
      <c r="C57" s="3744"/>
      <c r="D57" s="3288"/>
      <c r="E57" s="662">
        <v>21</v>
      </c>
      <c r="F57" s="632" t="s">
        <v>620</v>
      </c>
      <c r="G57" s="633"/>
      <c r="H57" s="476"/>
      <c r="I57" s="633"/>
      <c r="J57" s="633"/>
      <c r="K57" s="681"/>
      <c r="L57" s="633"/>
      <c r="M57" s="633"/>
      <c r="N57" s="633"/>
      <c r="O57" s="633"/>
      <c r="P57" s="633"/>
      <c r="Q57" s="633"/>
      <c r="R57" s="476"/>
      <c r="S57" s="476"/>
      <c r="T57" s="2301"/>
      <c r="U57" s="2302"/>
      <c r="V57" s="2302"/>
      <c r="W57" s="2181"/>
      <c r="X57" s="476"/>
      <c r="Y57" s="682"/>
      <c r="Z57" s="683"/>
      <c r="AA57" s="682"/>
      <c r="AB57" s="683"/>
      <c r="AC57" s="682"/>
      <c r="AD57" s="683"/>
      <c r="AE57" s="682"/>
      <c r="AF57" s="683"/>
      <c r="AG57" s="682"/>
      <c r="AH57" s="683"/>
      <c r="AI57" s="682"/>
      <c r="AJ57" s="683"/>
      <c r="AK57" s="682"/>
      <c r="AL57" s="683"/>
      <c r="AM57" s="682"/>
      <c r="AN57" s="683"/>
      <c r="AO57" s="682"/>
      <c r="AP57" s="683"/>
      <c r="AQ57" s="682"/>
      <c r="AR57" s="683"/>
      <c r="AS57" s="682"/>
      <c r="AT57" s="683"/>
      <c r="AU57" s="682"/>
      <c r="AV57" s="683"/>
      <c r="AW57" s="633"/>
      <c r="AX57" s="684"/>
      <c r="AY57" s="633"/>
      <c r="AZ57" s="633"/>
      <c r="BA57" s="1988"/>
      <c r="BB57" s="1988"/>
      <c r="BC57" s="1988"/>
      <c r="BD57" s="681"/>
      <c r="BE57" s="1988"/>
      <c r="BF57" s="681"/>
      <c r="BG57" s="685"/>
    </row>
    <row r="58" spans="1:59" ht="72.75" customHeight="1">
      <c r="A58" s="3737"/>
      <c r="B58" s="3738"/>
      <c r="C58" s="3744"/>
      <c r="D58" s="3288"/>
      <c r="E58" s="3733"/>
      <c r="F58" s="3735"/>
      <c r="G58" s="618">
        <v>93</v>
      </c>
      <c r="H58" s="2167" t="s">
        <v>621</v>
      </c>
      <c r="I58" s="618" t="s">
        <v>65</v>
      </c>
      <c r="J58" s="216">
        <v>4</v>
      </c>
      <c r="K58" s="707">
        <v>4</v>
      </c>
      <c r="L58" s="618"/>
      <c r="M58" s="2905">
        <v>91</v>
      </c>
      <c r="N58" s="2909" t="s">
        <v>622</v>
      </c>
      <c r="O58" s="670">
        <v>0</v>
      </c>
      <c r="P58">
        <v>267500000</v>
      </c>
      <c r="Q58" t="s">
        <v>623</v>
      </c>
      <c r="R58" s="712" t="s">
        <v>624</v>
      </c>
      <c r="S58" s="2175" t="s">
        <v>621</v>
      </c>
      <c r="T58" s="2292">
        <v>0</v>
      </c>
      <c r="U58" s="2286">
        <v>0</v>
      </c>
      <c r="V58" s="2286">
        <v>0</v>
      </c>
      <c r="W58" s="2176"/>
      <c r="X58" s="2168"/>
      <c r="Y58" s="2907">
        <v>2732</v>
      </c>
      <c r="Z58">
        <v>2732</v>
      </c>
      <c r="AA58" s="2907">
        <v>17360</v>
      </c>
      <c r="AB58">
        <v>17360</v>
      </c>
      <c r="AC58" s="2907">
        <v>21116</v>
      </c>
      <c r="AD58">
        <v>21116</v>
      </c>
      <c r="AE58" s="2907"/>
      <c r="AF58"/>
      <c r="AG58" s="2907">
        <v>4451</v>
      </c>
      <c r="AH58">
        <v>4451</v>
      </c>
      <c r="AI58" s="2907"/>
      <c r="AJ58"/>
      <c r="AK58" s="2907">
        <v>247</v>
      </c>
      <c r="AL58">
        <v>247</v>
      </c>
      <c r="AM58" s="2907">
        <v>217</v>
      </c>
      <c r="AN58">
        <v>217</v>
      </c>
      <c r="AO58" s="2907">
        <v>60</v>
      </c>
      <c r="AP58">
        <v>60</v>
      </c>
      <c r="AQ58" s="2907">
        <v>2484</v>
      </c>
      <c r="AR58">
        <v>2484</v>
      </c>
      <c r="AS58" s="2907">
        <v>4575</v>
      </c>
      <c r="AT58">
        <v>4575</v>
      </c>
      <c r="AU58" s="2907">
        <v>56</v>
      </c>
      <c r="AV58">
        <v>56</v>
      </c>
      <c r="AW58" s="2905"/>
      <c r="AX58"/>
      <c r="AY58"/>
      <c r="AZ58" s="2905"/>
      <c r="BA58" s="2905"/>
      <c r="BB58" s="2905"/>
      <c r="BC58" s="2898"/>
      <c r="BD58" s="2918"/>
      <c r="BE58" s="2898"/>
      <c r="BF58" s="2918"/>
      <c r="BG58" s="2905" t="s">
        <v>519</v>
      </c>
    </row>
    <row r="59" spans="1:59" ht="72" customHeight="1">
      <c r="A59" s="3737"/>
      <c r="B59" s="3738"/>
      <c r="C59" s="3744"/>
      <c r="D59" s="3288"/>
      <c r="E59" s="3736"/>
      <c r="F59" s="3738"/>
      <c r="G59" s="618">
        <v>94</v>
      </c>
      <c r="H59" s="2167" t="s">
        <v>625</v>
      </c>
      <c r="I59" s="618" t="s">
        <v>65</v>
      </c>
      <c r="J59" s="216">
        <v>79</v>
      </c>
      <c r="K59" s="707">
        <v>20</v>
      </c>
      <c r="L59" s="618" t="s">
        <v>626</v>
      </c>
      <c r="M59" s="2906"/>
      <c r="N59" s="2909"/>
      <c r="O59" s="670">
        <v>0.9065</v>
      </c>
      <c r="P59"/>
      <c r="Q59"/>
      <c r="R59" s="712" t="s">
        <v>627</v>
      </c>
      <c r="S59" s="2175" t="s">
        <v>625</v>
      </c>
      <c r="T59" s="2292">
        <v>267500000</v>
      </c>
      <c r="U59" s="2286">
        <v>0</v>
      </c>
      <c r="V59" s="2286">
        <v>0</v>
      </c>
      <c r="W59" s="2180">
        <v>25</v>
      </c>
      <c r="X59" s="2169" t="s">
        <v>559</v>
      </c>
      <c r="Y59" s="2908"/>
      <c r="Z59"/>
      <c r="AA59" s="2908"/>
      <c r="AB59"/>
      <c r="AC59" s="2908"/>
      <c r="AD59"/>
      <c r="AE59" s="2908"/>
      <c r="AF59"/>
      <c r="AG59" s="2908"/>
      <c r="AH59"/>
      <c r="AI59" s="2908"/>
      <c r="AJ59"/>
      <c r="AK59" s="2908"/>
      <c r="AL59"/>
      <c r="AM59" s="2908"/>
      <c r="AN59"/>
      <c r="AO59" s="2908"/>
      <c r="AP59"/>
      <c r="AQ59" s="2908"/>
      <c r="AR59"/>
      <c r="AS59" s="2908"/>
      <c r="AT59"/>
      <c r="AU59" s="2908"/>
      <c r="AV59"/>
      <c r="AW59" s="2906"/>
      <c r="AX59"/>
      <c r="AY59"/>
      <c r="AZ59" s="2906"/>
      <c r="BA59" s="2906"/>
      <c r="BB59" s="2906"/>
      <c r="BC59" s="2899"/>
      <c r="BD59" s="2919"/>
      <c r="BE59" s="2899"/>
      <c r="BF59" s="2919"/>
      <c r="BG59"/>
    </row>
    <row r="60" spans="1:59" ht="89.25" customHeight="1">
      <c r="A60" s="3737"/>
      <c r="B60" s="3738"/>
      <c r="C60" s="3744"/>
      <c r="D60" s="3288"/>
      <c r="E60" s="3736"/>
      <c r="F60" s="3738"/>
      <c r="G60" s="618">
        <v>95</v>
      </c>
      <c r="H60" s="2167" t="s">
        <v>628</v>
      </c>
      <c r="I60" s="618" t="s">
        <v>65</v>
      </c>
      <c r="J60" s="216">
        <v>500</v>
      </c>
      <c r="K60" s="707">
        <v>450</v>
      </c>
      <c r="L60" s="618" t="s">
        <v>629</v>
      </c>
      <c r="M60" s="2906"/>
      <c r="N60" s="2909"/>
      <c r="O60" s="670">
        <v>0.037</v>
      </c>
      <c r="P60"/>
      <c r="Q60"/>
      <c r="R60" s="712" t="s">
        <v>630</v>
      </c>
      <c r="S60" s="2175" t="s">
        <v>628</v>
      </c>
      <c r="T60" s="2292"/>
      <c r="U60" s="2286">
        <v>0</v>
      </c>
      <c r="V60" s="2286">
        <v>0</v>
      </c>
      <c r="W60" s="2180">
        <v>20</v>
      </c>
      <c r="X60" s="2169" t="s">
        <v>232</v>
      </c>
      <c r="Y60" s="2908"/>
      <c r="Z60"/>
      <c r="AA60" s="2908"/>
      <c r="AB60"/>
      <c r="AC60" s="2908"/>
      <c r="AD60"/>
      <c r="AE60" s="2908"/>
      <c r="AF60"/>
      <c r="AG60" s="2908"/>
      <c r="AH60"/>
      <c r="AI60" s="2908"/>
      <c r="AJ60"/>
      <c r="AK60" s="2908"/>
      <c r="AL60"/>
      <c r="AM60" s="2908"/>
      <c r="AN60"/>
      <c r="AO60" s="2908"/>
      <c r="AP60"/>
      <c r="AQ60" s="2908"/>
      <c r="AR60"/>
      <c r="AS60" s="2908"/>
      <c r="AT60"/>
      <c r="AU60" s="2908"/>
      <c r="AV60"/>
      <c r="AW60" s="2906"/>
      <c r="AX60"/>
      <c r="AY60"/>
      <c r="AZ60" s="2906"/>
      <c r="BA60" s="2906"/>
      <c r="BB60" s="2906"/>
      <c r="BC60" s="2899"/>
      <c r="BD60" s="2919"/>
      <c r="BE60" s="2899"/>
      <c r="BF60" s="2919"/>
      <c r="BG60"/>
    </row>
    <row r="61" spans="1:59" ht="97.5" customHeight="1">
      <c r="A61" s="3737"/>
      <c r="B61" s="3738"/>
      <c r="C61" s="3744"/>
      <c r="D61" s="3288"/>
      <c r="E61" s="3736"/>
      <c r="F61" s="3738"/>
      <c r="G61" s="618">
        <v>96</v>
      </c>
      <c r="H61" s="2167" t="s">
        <v>631</v>
      </c>
      <c r="I61" s="618" t="s">
        <v>65</v>
      </c>
      <c r="J61" s="216">
        <v>0.75</v>
      </c>
      <c r="K61" s="707">
        <v>0</v>
      </c>
      <c r="L61" s="618"/>
      <c r="M61" s="2941"/>
      <c r="N61" s="2909"/>
      <c r="O61" s="670">
        <v>0.056</v>
      </c>
      <c r="P61"/>
      <c r="Q61"/>
      <c r="R61" s="712" t="s">
        <v>632</v>
      </c>
      <c r="S61" s="2167" t="s">
        <v>631</v>
      </c>
      <c r="T61" s="2292"/>
      <c r="U61" s="2286">
        <v>0</v>
      </c>
      <c r="V61" s="2286">
        <v>0</v>
      </c>
      <c r="W61" s="2180">
        <v>20</v>
      </c>
      <c r="X61" s="2169" t="s">
        <v>232</v>
      </c>
      <c r="Y61" s="3756"/>
      <c r="Z61"/>
      <c r="AA61" s="3756"/>
      <c r="AB61"/>
      <c r="AC61" s="3756"/>
      <c r="AD61"/>
      <c r="AE61" s="3756"/>
      <c r="AF61"/>
      <c r="AG61" s="3756"/>
      <c r="AH61"/>
      <c r="AI61" s="3756"/>
      <c r="AJ61"/>
      <c r="AK61" s="3756"/>
      <c r="AL61"/>
      <c r="AM61" s="3756"/>
      <c r="AN61"/>
      <c r="AO61" s="3756"/>
      <c r="AP61"/>
      <c r="AQ61" s="3756"/>
      <c r="AR61"/>
      <c r="AS61" s="3756"/>
      <c r="AT61"/>
      <c r="AU61" s="3756"/>
      <c r="AV61"/>
      <c r="AW61" s="2941"/>
      <c r="AX61"/>
      <c r="AY61"/>
      <c r="AZ61" s="2941"/>
      <c r="BA61" s="2941"/>
      <c r="BB61" s="2941"/>
      <c r="BC61" s="3721"/>
      <c r="BD61" s="2937"/>
      <c r="BE61" s="3721"/>
      <c r="BF61" s="2937"/>
      <c r="BG61"/>
    </row>
    <row r="62" spans="1:59" ht="112.5" customHeight="1">
      <c r="A62" s="3737"/>
      <c r="B62" s="3738"/>
      <c r="C62" s="3744"/>
      <c r="D62" s="3288"/>
      <c r="E62" s="3739"/>
      <c r="F62" s="3741"/>
      <c r="G62" s="618">
        <v>95</v>
      </c>
      <c r="H62" s="2167" t="s">
        <v>628</v>
      </c>
      <c r="I62" s="618" t="s">
        <v>65</v>
      </c>
      <c r="J62" s="2337">
        <v>500</v>
      </c>
      <c r="K62" s="707">
        <v>450</v>
      </c>
      <c r="L62" s="618" t="s">
        <v>633</v>
      </c>
      <c r="M62" s="618">
        <v>92</v>
      </c>
      <c r="N62" s="624" t="s">
        <v>634</v>
      </c>
      <c r="O62" s="670">
        <v>1</v>
      </c>
      <c r="P62" s="718">
        <v>7500000</v>
      </c>
      <c r="Q62" s="719" t="s">
        <v>623</v>
      </c>
      <c r="R62" s="712" t="s">
        <v>630</v>
      </c>
      <c r="S62" s="2175" t="s">
        <v>628</v>
      </c>
      <c r="T62" s="2292">
        <v>7500000</v>
      </c>
      <c r="U62" s="2286">
        <v>7500000</v>
      </c>
      <c r="V62" s="2286">
        <v>7500000</v>
      </c>
      <c r="W62" s="2180">
        <v>25</v>
      </c>
      <c r="X62" s="2169" t="s">
        <v>559</v>
      </c>
      <c r="Y62" s="216">
        <v>2732</v>
      </c>
      <c r="Z62" s="635">
        <v>2732</v>
      </c>
      <c r="AA62" s="216">
        <v>17360</v>
      </c>
      <c r="AB62" s="635">
        <v>17360</v>
      </c>
      <c r="AC62" s="216">
        <v>21116</v>
      </c>
      <c r="AD62" s="635">
        <v>21116</v>
      </c>
      <c r="AE62" s="216"/>
      <c r="AF62" s="635"/>
      <c r="AG62" s="216">
        <v>4451</v>
      </c>
      <c r="AH62" s="635">
        <v>4451</v>
      </c>
      <c r="AI62" s="216"/>
      <c r="AJ62" s="635"/>
      <c r="AK62" s="216">
        <v>247</v>
      </c>
      <c r="AL62" s="635">
        <v>247</v>
      </c>
      <c r="AM62" s="216">
        <v>217</v>
      </c>
      <c r="AN62" s="635">
        <v>217</v>
      </c>
      <c r="AO62" s="216">
        <v>60</v>
      </c>
      <c r="AP62" s="635">
        <v>60</v>
      </c>
      <c r="AQ62" s="216">
        <v>2484</v>
      </c>
      <c r="AR62" s="635">
        <v>2484</v>
      </c>
      <c r="AS62" s="216">
        <v>4575</v>
      </c>
      <c r="AT62" s="635">
        <v>4575</v>
      </c>
      <c r="AU62" s="216">
        <v>56</v>
      </c>
      <c r="AV62" s="635">
        <v>56</v>
      </c>
      <c r="AW62" s="618">
        <v>1</v>
      </c>
      <c r="AX62" s="720">
        <v>7500000</v>
      </c>
      <c r="AY62" s="720">
        <v>7500000</v>
      </c>
      <c r="AZ62" s="625">
        <f>+AY62/AX62</f>
        <v>1</v>
      </c>
      <c r="BA62" s="1957" t="s">
        <v>635</v>
      </c>
      <c r="BB62" s="1957" t="s">
        <v>636</v>
      </c>
      <c r="BC62" s="1952">
        <v>42583</v>
      </c>
      <c r="BD62" s="2005">
        <v>42583</v>
      </c>
      <c r="BE62" s="1952">
        <v>42735</v>
      </c>
      <c r="BF62" s="2005">
        <v>42674</v>
      </c>
      <c r="BG62" s="1957" t="s">
        <v>519</v>
      </c>
    </row>
    <row r="63" spans="1:59" ht="15">
      <c r="A63" s="3737"/>
      <c r="B63" s="3738"/>
      <c r="C63" s="3744"/>
      <c r="D63" s="3288"/>
      <c r="E63" s="662">
        <v>22</v>
      </c>
      <c r="F63" s="632" t="s">
        <v>637</v>
      </c>
      <c r="G63" s="633"/>
      <c r="H63" s="476"/>
      <c r="I63" s="633"/>
      <c r="J63" s="633"/>
      <c r="K63" s="681"/>
      <c r="L63" s="633"/>
      <c r="M63" s="633"/>
      <c r="N63" s="633"/>
      <c r="O63" s="633"/>
      <c r="P63" s="633"/>
      <c r="Q63" s="633"/>
      <c r="R63" s="476"/>
      <c r="S63" s="476"/>
      <c r="T63" s="2301"/>
      <c r="U63" s="2302"/>
      <c r="V63" s="2302"/>
      <c r="W63" s="2181"/>
      <c r="X63" s="476"/>
      <c r="Y63" s="682"/>
      <c r="Z63" s="683"/>
      <c r="AA63" s="682"/>
      <c r="AB63" s="683"/>
      <c r="AC63" s="682"/>
      <c r="AD63" s="683"/>
      <c r="AE63" s="682"/>
      <c r="AF63" s="683"/>
      <c r="AG63" s="682"/>
      <c r="AH63" s="683"/>
      <c r="AI63" s="682"/>
      <c r="AJ63" s="683"/>
      <c r="AK63" s="682"/>
      <c r="AL63" s="683"/>
      <c r="AM63" s="682"/>
      <c r="AN63" s="683"/>
      <c r="AO63" s="682"/>
      <c r="AP63" s="683"/>
      <c r="AQ63" s="682"/>
      <c r="AR63" s="683"/>
      <c r="AS63" s="682"/>
      <c r="AT63" s="683"/>
      <c r="AU63" s="682"/>
      <c r="AV63" s="683"/>
      <c r="AW63" s="633"/>
      <c r="AX63" s="684"/>
      <c r="AY63" s="633"/>
      <c r="AZ63" s="633"/>
      <c r="BA63" s="1988"/>
      <c r="BB63" s="1988"/>
      <c r="BC63" s="1988"/>
      <c r="BD63" s="681"/>
      <c r="BE63" s="1988"/>
      <c r="BF63" s="681"/>
      <c r="BG63" s="685"/>
    </row>
    <row r="64" spans="1:59" ht="137.25" customHeight="1">
      <c r="A64" s="3737"/>
      <c r="B64" s="3738"/>
      <c r="C64"/>
      <c r="D64" s="3289"/>
      <c r="E64"/>
      <c r="F64"/>
      <c r="G64" s="618">
        <v>97</v>
      </c>
      <c r="H64" s="2167" t="s">
        <v>638</v>
      </c>
      <c r="I64" s="618" t="s">
        <v>65</v>
      </c>
      <c r="J64" s="216">
        <v>7</v>
      </c>
      <c r="K64" s="872">
        <v>0</v>
      </c>
      <c r="L64" s="721" t="s">
        <v>639</v>
      </c>
      <c r="M64" s="721">
        <v>93</v>
      </c>
      <c r="N64" s="624" t="s">
        <v>640</v>
      </c>
      <c r="O64" s="670">
        <v>1</v>
      </c>
      <c r="P64" s="718">
        <v>110000000</v>
      </c>
      <c r="Q64" s="722" t="s">
        <v>641</v>
      </c>
      <c r="R64" s="722" t="s">
        <v>642</v>
      </c>
      <c r="S64" s="2175" t="s">
        <v>638</v>
      </c>
      <c r="T64" s="2292">
        <v>110000000</v>
      </c>
      <c r="U64" s="2286">
        <v>0</v>
      </c>
      <c r="V64" s="2286">
        <v>0</v>
      </c>
      <c r="W64" s="2180">
        <v>25</v>
      </c>
      <c r="X64" s="2169" t="s">
        <v>559</v>
      </c>
      <c r="Y64" s="216">
        <v>2732</v>
      </c>
      <c r="Z64" s="635">
        <v>2732</v>
      </c>
      <c r="AA64" s="216">
        <v>17360</v>
      </c>
      <c r="AB64" s="635">
        <v>17360</v>
      </c>
      <c r="AC64" s="216">
        <v>21116</v>
      </c>
      <c r="AD64" s="635">
        <v>21116</v>
      </c>
      <c r="AE64" s="216"/>
      <c r="AF64" s="635"/>
      <c r="AG64" s="216">
        <v>4451</v>
      </c>
      <c r="AH64" s="635">
        <v>4451</v>
      </c>
      <c r="AI64" s="216"/>
      <c r="AJ64" s="635"/>
      <c r="AK64" s="216">
        <v>247</v>
      </c>
      <c r="AL64" s="635">
        <v>247</v>
      </c>
      <c r="AM64" s="216">
        <v>217</v>
      </c>
      <c r="AN64" s="635">
        <v>217</v>
      </c>
      <c r="AO64" s="216">
        <v>60</v>
      </c>
      <c r="AP64" s="635">
        <v>60</v>
      </c>
      <c r="AQ64" s="216">
        <v>2484</v>
      </c>
      <c r="AR64" s="635">
        <v>2484</v>
      </c>
      <c r="AS64" s="216">
        <v>4575</v>
      </c>
      <c r="AT64" s="635">
        <v>4575</v>
      </c>
      <c r="AU64" s="216">
        <v>56</v>
      </c>
      <c r="AV64" s="635">
        <v>56</v>
      </c>
      <c r="AW64" s="618"/>
      <c r="AX64" s="723"/>
      <c r="AY64" s="618"/>
      <c r="AZ64" s="618"/>
      <c r="BA64" s="1957"/>
      <c r="BB64" s="1957"/>
      <c r="BC64" s="1952"/>
      <c r="BD64" s="2005"/>
      <c r="BE64" s="1952"/>
      <c r="BF64" s="2005"/>
      <c r="BG64" s="1957" t="s">
        <v>519</v>
      </c>
    </row>
    <row r="65" spans="1:59" ht="15">
      <c r="A65" s="3737"/>
      <c r="B65" s="3738"/>
      <c r="C65" s="659">
        <v>7</v>
      </c>
      <c r="D65" t="s">
        <v>643</v>
      </c>
      <c r="E65"/>
      <c r="F65"/>
      <c r="G65"/>
      <c r="H65"/>
      <c r="I65" s="724"/>
      <c r="J65" s="724"/>
      <c r="K65" s="725"/>
      <c r="L65" s="724"/>
      <c r="M65" s="724"/>
      <c r="N65" s="724"/>
      <c r="O65" s="724"/>
      <c r="P65" s="724"/>
      <c r="Q65" s="724"/>
      <c r="R65" s="2103"/>
      <c r="S65" s="2103"/>
      <c r="T65" s="2308"/>
      <c r="U65" s="2309"/>
      <c r="V65" s="2309"/>
      <c r="W65" s="258"/>
      <c r="X65" s="2103"/>
      <c r="Y65" s="726"/>
      <c r="Z65" s="727"/>
      <c r="AA65" s="726"/>
      <c r="AB65" s="727"/>
      <c r="AC65" s="726"/>
      <c r="AD65" s="727"/>
      <c r="AE65" s="726"/>
      <c r="AF65" s="727"/>
      <c r="AG65" s="726"/>
      <c r="AH65" s="727"/>
      <c r="AI65" s="726"/>
      <c r="AJ65" s="727"/>
      <c r="AK65" s="726"/>
      <c r="AL65" s="727"/>
      <c r="AM65" s="726"/>
      <c r="AN65" s="727"/>
      <c r="AO65" s="726"/>
      <c r="AP65" s="727"/>
      <c r="AQ65" s="726"/>
      <c r="AR65" s="727"/>
      <c r="AS65" s="726"/>
      <c r="AT65" s="727"/>
      <c r="AU65" s="726"/>
      <c r="AV65" s="727"/>
      <c r="AW65" s="724"/>
      <c r="AX65" s="728"/>
      <c r="AY65" s="724"/>
      <c r="AZ65" s="724"/>
      <c r="BA65" s="724"/>
      <c r="BB65" s="724"/>
      <c r="BC65" s="724"/>
      <c r="BD65" s="725"/>
      <c r="BE65" s="724"/>
      <c r="BF65" s="725"/>
      <c r="BG65" s="729"/>
    </row>
    <row r="66" spans="1:59" ht="15">
      <c r="A66" s="3737"/>
      <c r="B66" s="3738"/>
      <c r="C66" s="3733"/>
      <c r="D66" s="3735"/>
      <c r="E66" s="730">
        <v>23</v>
      </c>
      <c r="F66" s="731" t="s">
        <v>644</v>
      </c>
      <c r="G66" s="732"/>
      <c r="H66" s="1212"/>
      <c r="I66" s="732"/>
      <c r="J66" s="732"/>
      <c r="K66" s="733"/>
      <c r="L66" s="732"/>
      <c r="M66" s="732"/>
      <c r="N66" s="732"/>
      <c r="O66" s="732"/>
      <c r="P66" s="732"/>
      <c r="Q66" s="732"/>
      <c r="R66" s="1212"/>
      <c r="S66" s="1212"/>
      <c r="T66" s="2310"/>
      <c r="U66" s="2311"/>
      <c r="V66" s="2311"/>
      <c r="W66" s="264"/>
      <c r="X66" s="1212"/>
      <c r="Y66" s="734"/>
      <c r="Z66" s="735"/>
      <c r="AA66" s="734"/>
      <c r="AB66" s="735"/>
      <c r="AC66" s="734"/>
      <c r="AD66" s="735"/>
      <c r="AE66" s="734"/>
      <c r="AF66" s="735"/>
      <c r="AG66" s="734"/>
      <c r="AH66" s="735"/>
      <c r="AI66" s="734"/>
      <c r="AJ66" s="735"/>
      <c r="AK66" s="734"/>
      <c r="AL66" s="735"/>
      <c r="AM66" s="734"/>
      <c r="AN66" s="735"/>
      <c r="AO66" s="734"/>
      <c r="AP66" s="735"/>
      <c r="AQ66" s="734"/>
      <c r="AR66" s="735"/>
      <c r="AS66" s="734"/>
      <c r="AT66" s="735"/>
      <c r="AU66" s="734"/>
      <c r="AV66" s="735"/>
      <c r="AW66" s="732"/>
      <c r="AX66" s="736"/>
      <c r="AY66" s="732"/>
      <c r="AZ66" s="732"/>
      <c r="BA66" s="732"/>
      <c r="BB66" s="732"/>
      <c r="BC66" s="732"/>
      <c r="BD66" s="733"/>
      <c r="BE66" s="732"/>
      <c r="BF66" s="733"/>
      <c r="BG66" s="737"/>
    </row>
    <row r="67" spans="1:59" ht="72" customHeight="1">
      <c r="A67" s="3737"/>
      <c r="B67" s="3738"/>
      <c r="C67" s="3736"/>
      <c r="D67" s="3738"/>
      <c r="E67" s="3733"/>
      <c r="F67" s="3735"/>
      <c r="G67" s="618">
        <v>98</v>
      </c>
      <c r="H67" s="2167" t="s">
        <v>645</v>
      </c>
      <c r="I67" s="618" t="s">
        <v>65</v>
      </c>
      <c r="J67" s="216">
        <v>55</v>
      </c>
      <c r="K67" s="705">
        <v>97</v>
      </c>
      <c r="L67" s="2905" t="s">
        <v>646</v>
      </c>
      <c r="M67" s="2905">
        <v>94</v>
      </c>
      <c r="N67" s="2909" t="s">
        <v>647</v>
      </c>
      <c r="O67" s="670">
        <v>0.175</v>
      </c>
      <c r="P67">
        <v>100000000</v>
      </c>
      <c r="Q67" t="s">
        <v>648</v>
      </c>
      <c r="R67" s="712" t="s">
        <v>649</v>
      </c>
      <c r="S67" s="2175" t="s">
        <v>645</v>
      </c>
      <c r="T67" s="2292">
        <v>17500000</v>
      </c>
      <c r="U67" s="2286">
        <v>17500000</v>
      </c>
      <c r="V67" s="2286">
        <v>17500000</v>
      </c>
      <c r="W67">
        <v>25</v>
      </c>
      <c r="X67" s="2910" t="s">
        <v>559</v>
      </c>
      <c r="Y67" s="2907">
        <v>2732</v>
      </c>
      <c r="Z67">
        <v>2732</v>
      </c>
      <c r="AA67" s="2907">
        <v>17360</v>
      </c>
      <c r="AB67">
        <v>17360</v>
      </c>
      <c r="AC67" s="2907">
        <v>21116</v>
      </c>
      <c r="AD67">
        <v>21116</v>
      </c>
      <c r="AE67" s="2907"/>
      <c r="AF67"/>
      <c r="AG67" s="2907">
        <v>4451</v>
      </c>
      <c r="AH67">
        <v>4451</v>
      </c>
      <c r="AI67" s="2907"/>
      <c r="AJ67"/>
      <c r="AK67" s="2907">
        <v>247</v>
      </c>
      <c r="AL67">
        <v>247</v>
      </c>
      <c r="AM67" s="2907">
        <v>217</v>
      </c>
      <c r="AN67">
        <v>217</v>
      </c>
      <c r="AO67" s="2907">
        <v>60</v>
      </c>
      <c r="AP67">
        <v>60</v>
      </c>
      <c r="AQ67" s="2907">
        <v>2484</v>
      </c>
      <c r="AR67">
        <v>2484</v>
      </c>
      <c r="AS67" s="2907">
        <v>4575</v>
      </c>
      <c r="AT67">
        <v>4575</v>
      </c>
      <c r="AU67" s="2907">
        <v>56</v>
      </c>
      <c r="AV67">
        <v>56</v>
      </c>
      <c r="AW67" s="2905">
        <v>2</v>
      </c>
      <c r="AX67">
        <v>94193139</v>
      </c>
      <c r="AY67">
        <v>89500000</v>
      </c>
      <c r="AZ67" s="2925">
        <f>+AY67/AX67</f>
        <v>0.9501753625601117</v>
      </c>
      <c r="BA67" s="2905" t="s">
        <v>1829</v>
      </c>
      <c r="BB67" s="2905" t="s">
        <v>1825</v>
      </c>
      <c r="BC67" s="2898">
        <v>42583</v>
      </c>
      <c r="BD67" s="2918">
        <v>42583</v>
      </c>
      <c r="BE67" s="2898">
        <v>42735</v>
      </c>
      <c r="BF67" s="2918">
        <v>42735</v>
      </c>
      <c r="BG67" s="2905" t="s">
        <v>519</v>
      </c>
    </row>
    <row r="68" spans="1:59" ht="104.25" customHeight="1">
      <c r="A68" s="3737"/>
      <c r="B68" s="3738"/>
      <c r="C68" s="3736"/>
      <c r="D68" s="3738"/>
      <c r="E68" s="3736"/>
      <c r="F68" s="3738"/>
      <c r="G68" s="618">
        <v>99</v>
      </c>
      <c r="H68" s="2167" t="s">
        <v>650</v>
      </c>
      <c r="I68" s="618" t="s">
        <v>65</v>
      </c>
      <c r="J68" s="216">
        <v>150</v>
      </c>
      <c r="K68" s="707">
        <v>150</v>
      </c>
      <c r="L68" s="2906"/>
      <c r="M68" s="2906"/>
      <c r="N68" s="2909"/>
      <c r="O68" s="670">
        <v>0</v>
      </c>
      <c r="P68"/>
      <c r="Q68"/>
      <c r="R68" s="706" t="s">
        <v>651</v>
      </c>
      <c r="S68" s="2175" t="s">
        <v>650</v>
      </c>
      <c r="T68" s="2292">
        <v>0</v>
      </c>
      <c r="U68" s="2286">
        <v>0</v>
      </c>
      <c r="V68" s="2286">
        <v>0</v>
      </c>
      <c r="W68"/>
      <c r="X68" s="3292"/>
      <c r="Y68" s="2908"/>
      <c r="Z68"/>
      <c r="AA68" s="2908"/>
      <c r="AB68"/>
      <c r="AC68" s="2908"/>
      <c r="AD68"/>
      <c r="AE68" s="2908"/>
      <c r="AF68"/>
      <c r="AG68" s="2908"/>
      <c r="AH68"/>
      <c r="AI68" s="2908"/>
      <c r="AJ68"/>
      <c r="AK68" s="2908"/>
      <c r="AL68"/>
      <c r="AM68" s="2908"/>
      <c r="AN68"/>
      <c r="AO68" s="2908"/>
      <c r="AP68"/>
      <c r="AQ68" s="2908"/>
      <c r="AR68"/>
      <c r="AS68" s="2908"/>
      <c r="AT68"/>
      <c r="AU68" s="2908"/>
      <c r="AV68"/>
      <c r="AW68" s="2906"/>
      <c r="AX68"/>
      <c r="AY68"/>
      <c r="AZ68" s="3271"/>
      <c r="BA68" s="2906"/>
      <c r="BB68" s="2906"/>
      <c r="BC68" s="2899"/>
      <c r="BD68" s="2919"/>
      <c r="BE68" s="2899"/>
      <c r="BF68" s="2919"/>
      <c r="BG68"/>
    </row>
    <row r="69" spans="1:59" ht="84" customHeight="1">
      <c r="A69" s="3737"/>
      <c r="B69" s="3738"/>
      <c r="C69" s="3736"/>
      <c r="D69" s="3738"/>
      <c r="E69" s="3736"/>
      <c r="F69" s="3738"/>
      <c r="G69" s="618">
        <v>100</v>
      </c>
      <c r="H69" s="2167" t="s">
        <v>652</v>
      </c>
      <c r="I69" s="618" t="s">
        <v>65</v>
      </c>
      <c r="J69" s="216">
        <v>6</v>
      </c>
      <c r="K69" s="707">
        <v>6</v>
      </c>
      <c r="L69" s="2906"/>
      <c r="M69" s="2906"/>
      <c r="N69" s="2909"/>
      <c r="O69" s="670">
        <v>0</v>
      </c>
      <c r="P69"/>
      <c r="Q69"/>
      <c r="R69" s="706" t="s">
        <v>653</v>
      </c>
      <c r="S69" s="2175" t="s">
        <v>652</v>
      </c>
      <c r="T69" s="2292">
        <v>0</v>
      </c>
      <c r="U69" s="2286">
        <v>0</v>
      </c>
      <c r="V69" s="2286">
        <v>0</v>
      </c>
      <c r="W69"/>
      <c r="X69" s="3292"/>
      <c r="Y69" s="2908"/>
      <c r="Z69"/>
      <c r="AA69" s="2908"/>
      <c r="AB69"/>
      <c r="AC69" s="2908"/>
      <c r="AD69"/>
      <c r="AE69" s="2908"/>
      <c r="AF69"/>
      <c r="AG69" s="2908"/>
      <c r="AH69"/>
      <c r="AI69" s="2908"/>
      <c r="AJ69"/>
      <c r="AK69" s="2908"/>
      <c r="AL69"/>
      <c r="AM69" s="2908"/>
      <c r="AN69"/>
      <c r="AO69" s="2908"/>
      <c r="AP69"/>
      <c r="AQ69" s="2908"/>
      <c r="AR69"/>
      <c r="AS69" s="2908"/>
      <c r="AT69"/>
      <c r="AU69" s="2908"/>
      <c r="AV69"/>
      <c r="AW69" s="2906"/>
      <c r="AX69"/>
      <c r="AY69"/>
      <c r="AZ69" s="3271"/>
      <c r="BA69" s="2906"/>
      <c r="BB69" s="2906"/>
      <c r="BC69" s="2899"/>
      <c r="BD69" s="2919"/>
      <c r="BE69" s="2899"/>
      <c r="BF69" s="2919"/>
      <c r="BG69"/>
    </row>
    <row r="70" spans="1:59" ht="72" customHeight="1">
      <c r="A70" s="3737"/>
      <c r="B70" s="3738"/>
      <c r="C70" s="3736"/>
      <c r="D70" s="3738"/>
      <c r="E70" s="3736"/>
      <c r="F70" s="3738"/>
      <c r="G70" s="618">
        <v>101</v>
      </c>
      <c r="H70" s="2167" t="s">
        <v>654</v>
      </c>
      <c r="I70" s="618" t="s">
        <v>65</v>
      </c>
      <c r="J70" s="216">
        <v>54</v>
      </c>
      <c r="K70" s="707">
        <v>24</v>
      </c>
      <c r="L70" s="2906"/>
      <c r="M70" s="2906"/>
      <c r="N70" s="2909"/>
      <c r="O70" s="670">
        <v>0.725</v>
      </c>
      <c r="P70"/>
      <c r="Q70"/>
      <c r="R70" s="706" t="s">
        <v>655</v>
      </c>
      <c r="S70" s="2175" t="s">
        <v>654</v>
      </c>
      <c r="T70" s="2292">
        <v>72500000</v>
      </c>
      <c r="U70" s="2286">
        <v>66693139</v>
      </c>
      <c r="V70" s="2286">
        <v>62000000</v>
      </c>
      <c r="W70"/>
      <c r="X70" s="3292"/>
      <c r="Y70" s="2908"/>
      <c r="Z70"/>
      <c r="AA70" s="2908"/>
      <c r="AB70"/>
      <c r="AC70" s="2908"/>
      <c r="AD70"/>
      <c r="AE70" s="2908"/>
      <c r="AF70"/>
      <c r="AG70" s="2908"/>
      <c r="AH70"/>
      <c r="AI70" s="2908"/>
      <c r="AJ70"/>
      <c r="AK70" s="2908"/>
      <c r="AL70"/>
      <c r="AM70" s="2908"/>
      <c r="AN70"/>
      <c r="AO70" s="2908"/>
      <c r="AP70"/>
      <c r="AQ70" s="2908"/>
      <c r="AR70"/>
      <c r="AS70" s="2908"/>
      <c r="AT70"/>
      <c r="AU70" s="2908"/>
      <c r="AV70"/>
      <c r="AW70" s="2906"/>
      <c r="AX70"/>
      <c r="AY70"/>
      <c r="AZ70" s="3271"/>
      <c r="BA70" s="2906"/>
      <c r="BB70" s="2906"/>
      <c r="BC70" s="2899"/>
      <c r="BD70" s="2919"/>
      <c r="BE70" s="2899"/>
      <c r="BF70" s="2919"/>
      <c r="BG70"/>
    </row>
    <row r="71" spans="1:59" ht="72" customHeight="1">
      <c r="A71" s="3737"/>
      <c r="B71" s="3738"/>
      <c r="C71" s="3736"/>
      <c r="D71" s="3738"/>
      <c r="E71" s="3739"/>
      <c r="F71" s="3741"/>
      <c r="G71" s="618">
        <v>102</v>
      </c>
      <c r="H71" s="2167" t="s">
        <v>656</v>
      </c>
      <c r="I71" s="618" t="s">
        <v>65</v>
      </c>
      <c r="J71" s="216">
        <v>0.875</v>
      </c>
      <c r="K71" s="707">
        <v>1</v>
      </c>
      <c r="L71" s="2941"/>
      <c r="M71" s="2941"/>
      <c r="N71" s="2909"/>
      <c r="O71" s="670">
        <v>0.1</v>
      </c>
      <c r="P71"/>
      <c r="Q71"/>
      <c r="R71" s="706" t="s">
        <v>657</v>
      </c>
      <c r="S71" s="2175" t="s">
        <v>656</v>
      </c>
      <c r="T71" s="2292">
        <v>10000000</v>
      </c>
      <c r="U71" s="2286">
        <v>10000000</v>
      </c>
      <c r="V71" s="2286">
        <v>10000000</v>
      </c>
      <c r="W71"/>
      <c r="X71" s="3293"/>
      <c r="Y71" s="3756"/>
      <c r="Z71"/>
      <c r="AA71" s="3756"/>
      <c r="AB71"/>
      <c r="AC71" s="3756"/>
      <c r="AD71"/>
      <c r="AE71" s="3756"/>
      <c r="AF71"/>
      <c r="AG71" s="3756"/>
      <c r="AH71"/>
      <c r="AI71" s="3756"/>
      <c r="AJ71"/>
      <c r="AK71" s="3756"/>
      <c r="AL71"/>
      <c r="AM71" s="3756"/>
      <c r="AN71"/>
      <c r="AO71" s="3756"/>
      <c r="AP71"/>
      <c r="AQ71" s="3756"/>
      <c r="AR71"/>
      <c r="AS71" s="3756"/>
      <c r="AT71"/>
      <c r="AU71" s="3756"/>
      <c r="AV71"/>
      <c r="AW71" s="2941"/>
      <c r="AX71"/>
      <c r="AY71"/>
      <c r="AZ71" s="3272"/>
      <c r="BA71" s="2941"/>
      <c r="BB71" s="2941"/>
      <c r="BC71" s="3721"/>
      <c r="BD71" s="2937"/>
      <c r="BE71" s="3721"/>
      <c r="BF71" s="2937"/>
      <c r="BG71"/>
    </row>
    <row r="72" spans="1:59" ht="15">
      <c r="A72" s="3737"/>
      <c r="B72" s="3738"/>
      <c r="C72" s="3736"/>
      <c r="D72" s="3738"/>
      <c r="E72" s="662">
        <v>24</v>
      </c>
      <c r="F72" s="632" t="s">
        <v>658</v>
      </c>
      <c r="G72" s="633"/>
      <c r="H72" s="476"/>
      <c r="I72" s="633"/>
      <c r="J72" s="633"/>
      <c r="K72" s="681"/>
      <c r="L72" s="633"/>
      <c r="M72" s="633"/>
      <c r="N72" s="633"/>
      <c r="O72" s="633"/>
      <c r="P72" s="633"/>
      <c r="Q72" s="633"/>
      <c r="R72" s="476"/>
      <c r="S72" s="476"/>
      <c r="T72" s="2301"/>
      <c r="U72" s="2302"/>
      <c r="V72" s="2302"/>
      <c r="W72" s="2181"/>
      <c r="X72" s="476"/>
      <c r="Y72" s="682"/>
      <c r="Z72" s="683"/>
      <c r="AA72" s="682"/>
      <c r="AB72" s="683"/>
      <c r="AC72" s="682"/>
      <c r="AD72" s="683"/>
      <c r="AE72" s="682"/>
      <c r="AF72" s="683"/>
      <c r="AG72" s="682"/>
      <c r="AH72" s="683"/>
      <c r="AI72" s="682"/>
      <c r="AJ72" s="683"/>
      <c r="AK72" s="682"/>
      <c r="AL72" s="683"/>
      <c r="AM72" s="682"/>
      <c r="AN72" s="683"/>
      <c r="AO72" s="682"/>
      <c r="AP72" s="683"/>
      <c r="AQ72" s="682"/>
      <c r="AR72" s="683"/>
      <c r="AS72" s="682"/>
      <c r="AT72" s="683"/>
      <c r="AU72" s="682"/>
      <c r="AV72" s="683"/>
      <c r="AW72" s="633"/>
      <c r="AX72" s="633"/>
      <c r="AY72" s="633"/>
      <c r="AZ72" s="633"/>
      <c r="BA72" s="1988"/>
      <c r="BB72" s="1988"/>
      <c r="BC72" s="1988"/>
      <c r="BD72" s="681"/>
      <c r="BE72" s="1988"/>
      <c r="BF72" s="681"/>
      <c r="BG72" s="685"/>
    </row>
    <row r="73" spans="1:59" ht="72" customHeight="1">
      <c r="A73" s="3737"/>
      <c r="B73" s="3738"/>
      <c r="C73" s="3736"/>
      <c r="D73" s="3738"/>
      <c r="E73" s="3733"/>
      <c r="F73" s="3735"/>
      <c r="G73" s="618">
        <v>103</v>
      </c>
      <c r="H73" s="2167" t="s">
        <v>659</v>
      </c>
      <c r="I73" s="618" t="s">
        <v>65</v>
      </c>
      <c r="J73" s="216">
        <v>4</v>
      </c>
      <c r="K73" s="872">
        <v>4</v>
      </c>
      <c r="L73" s="614"/>
      <c r="M73" s="2905">
        <v>95</v>
      </c>
      <c r="N73" s="2909" t="s">
        <v>660</v>
      </c>
      <c r="O73" s="670">
        <v>0.1111111111111111</v>
      </c>
      <c r="P73">
        <v>180000000</v>
      </c>
      <c r="Q73" s="2910" t="s">
        <v>661</v>
      </c>
      <c r="R73" s="2909" t="s">
        <v>662</v>
      </c>
      <c r="S73" s="2167" t="s">
        <v>659</v>
      </c>
      <c r="T73" s="2292">
        <v>20000000</v>
      </c>
      <c r="U73" s="2286">
        <v>0</v>
      </c>
      <c r="V73" s="2286">
        <v>0</v>
      </c>
      <c r="W73" s="2176"/>
      <c r="X73" s="2179" t="s">
        <v>559</v>
      </c>
      <c r="Y73" s="2907">
        <v>2732</v>
      </c>
      <c r="Z73">
        <v>2732</v>
      </c>
      <c r="AA73" s="2907">
        <v>17360</v>
      </c>
      <c r="AB73">
        <v>17360</v>
      </c>
      <c r="AC73" s="2907">
        <v>21116</v>
      </c>
      <c r="AD73">
        <v>21116</v>
      </c>
      <c r="AE73" s="2907"/>
      <c r="AF73"/>
      <c r="AG73" s="2907">
        <v>4451</v>
      </c>
      <c r="AH73">
        <v>4451</v>
      </c>
      <c r="AI73" s="2907"/>
      <c r="AJ73"/>
      <c r="AK73" s="2907">
        <v>247</v>
      </c>
      <c r="AL73">
        <v>247</v>
      </c>
      <c r="AM73" s="2907">
        <v>217</v>
      </c>
      <c r="AN73">
        <v>217</v>
      </c>
      <c r="AO73" s="2907">
        <v>60</v>
      </c>
      <c r="AP73">
        <v>60</v>
      </c>
      <c r="AQ73" s="2907">
        <v>2484</v>
      </c>
      <c r="AR73">
        <v>2484</v>
      </c>
      <c r="AS73" s="2907">
        <v>4575</v>
      </c>
      <c r="AT73">
        <v>4575</v>
      </c>
      <c r="AU73" s="2907">
        <v>56</v>
      </c>
      <c r="AV73">
        <v>56</v>
      </c>
      <c r="AW73" s="2905"/>
      <c r="AX73">
        <f>988000+30000000</f>
        <v>30988000</v>
      </c>
      <c r="AY73">
        <f>988000+10000000</f>
        <v>10988000</v>
      </c>
      <c r="AZ73" s="2925">
        <f>+AY73/AX73</f>
        <v>0.35458887311217246</v>
      </c>
      <c r="BA73" s="2905" t="s">
        <v>1826</v>
      </c>
      <c r="BB73" s="2905" t="s">
        <v>1830</v>
      </c>
      <c r="BC73" s="2898">
        <v>42583</v>
      </c>
      <c r="BD73" s="2918">
        <v>42583</v>
      </c>
      <c r="BE73" s="2898">
        <v>42735</v>
      </c>
      <c r="BF73" s="2918">
        <v>42735</v>
      </c>
      <c r="BG73" s="2905" t="s">
        <v>519</v>
      </c>
    </row>
    <row r="74" spans="1:59" ht="72" customHeight="1">
      <c r="A74" s="3737"/>
      <c r="B74" s="3738"/>
      <c r="C74" s="3736"/>
      <c r="D74" s="3738"/>
      <c r="E74" s="3736"/>
      <c r="F74" s="3738"/>
      <c r="G74" s="618">
        <v>104</v>
      </c>
      <c r="H74" s="2167" t="s">
        <v>663</v>
      </c>
      <c r="I74" s="618" t="s">
        <v>65</v>
      </c>
      <c r="J74" s="216">
        <v>10</v>
      </c>
      <c r="K74" s="872">
        <v>10</v>
      </c>
      <c r="L74" s="621"/>
      <c r="M74" s="2906"/>
      <c r="N74" s="2909"/>
      <c r="O74" s="670">
        <v>0.16666666666666666</v>
      </c>
      <c r="P74"/>
      <c r="Q74"/>
      <c r="R74"/>
      <c r="S74" s="2167" t="s">
        <v>663</v>
      </c>
      <c r="T74" s="2292">
        <v>30000000</v>
      </c>
      <c r="U74" s="2286">
        <v>30000000</v>
      </c>
      <c r="V74" s="2286">
        <v>10000000</v>
      </c>
      <c r="W74" s="2180"/>
      <c r="X74" s="2179" t="s">
        <v>559</v>
      </c>
      <c r="Y74" s="2908"/>
      <c r="Z74"/>
      <c r="AA74" s="2908"/>
      <c r="AB74"/>
      <c r="AC74" s="2908"/>
      <c r="AD74"/>
      <c r="AE74" s="2908"/>
      <c r="AF74"/>
      <c r="AG74" s="2908"/>
      <c r="AH74"/>
      <c r="AI74" s="2908"/>
      <c r="AJ74"/>
      <c r="AK74" s="2908"/>
      <c r="AL74"/>
      <c r="AM74" s="2908"/>
      <c r="AN74"/>
      <c r="AO74" s="2908"/>
      <c r="AP74"/>
      <c r="AQ74" s="2908"/>
      <c r="AR74"/>
      <c r="AS74" s="2908"/>
      <c r="AT74"/>
      <c r="AU74" s="2908"/>
      <c r="AV74"/>
      <c r="AW74" s="2906"/>
      <c r="AX74"/>
      <c r="AY74"/>
      <c r="AZ74" s="3271"/>
      <c r="BA74" s="2906"/>
      <c r="BB74" s="2906"/>
      <c r="BC74" s="2899"/>
      <c r="BD74" s="2919"/>
      <c r="BE74" s="2899"/>
      <c r="BF74" s="2919"/>
      <c r="BG74"/>
    </row>
    <row r="75" spans="1:59" ht="81" customHeight="1">
      <c r="A75" s="3737"/>
      <c r="B75" s="3738"/>
      <c r="C75" s="3736"/>
      <c r="D75" s="3738"/>
      <c r="E75" s="3736"/>
      <c r="F75" s="3738"/>
      <c r="G75" s="618">
        <v>105</v>
      </c>
      <c r="H75" s="2167" t="s">
        <v>2128</v>
      </c>
      <c r="I75" s="618" t="s">
        <v>65</v>
      </c>
      <c r="J75" s="216">
        <v>47</v>
      </c>
      <c r="K75" s="872">
        <v>45</v>
      </c>
      <c r="L75" s="738" t="s">
        <v>665</v>
      </c>
      <c r="M75" s="2906"/>
      <c r="N75" s="2909"/>
      <c r="O75" s="670">
        <v>0.16666666666666666</v>
      </c>
      <c r="P75"/>
      <c r="Q75"/>
      <c r="R75"/>
      <c r="S75" s="2167" t="s">
        <v>664</v>
      </c>
      <c r="T75" s="2292">
        <v>0</v>
      </c>
      <c r="U75" s="2286">
        <v>0</v>
      </c>
      <c r="V75" s="2286">
        <v>0</v>
      </c>
      <c r="W75" s="2180">
        <v>20</v>
      </c>
      <c r="X75" s="2179" t="s">
        <v>232</v>
      </c>
      <c r="Y75" s="2908"/>
      <c r="Z75"/>
      <c r="AA75" s="2908"/>
      <c r="AB75"/>
      <c r="AC75" s="2908"/>
      <c r="AD75"/>
      <c r="AE75" s="2908"/>
      <c r="AF75"/>
      <c r="AG75" s="2908"/>
      <c r="AH75"/>
      <c r="AI75" s="2908"/>
      <c r="AJ75"/>
      <c r="AK75" s="2908"/>
      <c r="AL75"/>
      <c r="AM75" s="2908"/>
      <c r="AN75"/>
      <c r="AO75" s="2908"/>
      <c r="AP75"/>
      <c r="AQ75" s="2908"/>
      <c r="AR75"/>
      <c r="AS75" s="2908"/>
      <c r="AT75"/>
      <c r="AU75" s="2908"/>
      <c r="AV75"/>
      <c r="AW75" s="2906"/>
      <c r="AX75"/>
      <c r="AY75"/>
      <c r="AZ75" s="3271"/>
      <c r="BA75" s="2906"/>
      <c r="BB75" s="2906"/>
      <c r="BC75" s="2899"/>
      <c r="BD75" s="2919"/>
      <c r="BE75" s="2899"/>
      <c r="BF75" s="2919"/>
      <c r="BG75"/>
    </row>
    <row r="76" spans="1:59" ht="72" customHeight="1">
      <c r="A76" s="3737"/>
      <c r="B76" s="3738"/>
      <c r="C76" s="3736"/>
      <c r="D76" s="3738"/>
      <c r="E76" s="3736"/>
      <c r="F76" s="3738"/>
      <c r="G76" s="618">
        <v>106</v>
      </c>
      <c r="H76" s="2167" t="s">
        <v>666</v>
      </c>
      <c r="I76" s="618" t="s">
        <v>65</v>
      </c>
      <c r="J76" s="216">
        <v>1</v>
      </c>
      <c r="K76" s="669">
        <v>0</v>
      </c>
      <c r="L76" s="738" t="s">
        <v>667</v>
      </c>
      <c r="M76" s="2906"/>
      <c r="N76" s="2909"/>
      <c r="O76" s="670">
        <v>0.2777777777777778</v>
      </c>
      <c r="P76"/>
      <c r="Q76"/>
      <c r="R76"/>
      <c r="S76" s="2167" t="s">
        <v>666</v>
      </c>
      <c r="T76" s="2292">
        <v>0</v>
      </c>
      <c r="U76" s="2286"/>
      <c r="V76" s="2286"/>
      <c r="W76" s="2180">
        <v>25</v>
      </c>
      <c r="X76" s="2179" t="s">
        <v>232</v>
      </c>
      <c r="Y76" s="2908"/>
      <c r="Z76"/>
      <c r="AA76" s="2908"/>
      <c r="AB76"/>
      <c r="AC76" s="2908"/>
      <c r="AD76"/>
      <c r="AE76" s="2908"/>
      <c r="AF76"/>
      <c r="AG76" s="2908"/>
      <c r="AH76"/>
      <c r="AI76" s="2908"/>
      <c r="AJ76"/>
      <c r="AK76" s="2908"/>
      <c r="AL76"/>
      <c r="AM76" s="2908"/>
      <c r="AN76"/>
      <c r="AO76" s="2908"/>
      <c r="AP76"/>
      <c r="AQ76" s="2908"/>
      <c r="AR76"/>
      <c r="AS76" s="2908"/>
      <c r="AT76"/>
      <c r="AU76" s="2908"/>
      <c r="AV76"/>
      <c r="AW76" s="2906"/>
      <c r="AX76"/>
      <c r="AY76"/>
      <c r="AZ76" s="3271"/>
      <c r="BA76" s="2906"/>
      <c r="BB76" s="2906"/>
      <c r="BC76" s="2899"/>
      <c r="BD76" s="2919"/>
      <c r="BE76" s="2899"/>
      <c r="BF76" s="2919"/>
      <c r="BG76"/>
    </row>
    <row r="77" spans="1:59" ht="81.75" customHeight="1">
      <c r="A77" s="3737"/>
      <c r="B77" s="3738"/>
      <c r="C77" s="3739"/>
      <c r="D77" s="3741"/>
      <c r="E77" s="3739"/>
      <c r="F77" s="3741"/>
      <c r="G77" s="618">
        <v>107</v>
      </c>
      <c r="H77" s="2167" t="s">
        <v>668</v>
      </c>
      <c r="I77" s="618" t="s">
        <v>65</v>
      </c>
      <c r="J77" s="216">
        <v>1</v>
      </c>
      <c r="K77" s="2406">
        <v>1</v>
      </c>
      <c r="L77" s="615"/>
      <c r="M77" s="2941"/>
      <c r="N77" s="2909"/>
      <c r="O77" s="670">
        <v>0.2777777777777778</v>
      </c>
      <c r="P77"/>
      <c r="Q77"/>
      <c r="R77"/>
      <c r="S77" s="2167" t="s">
        <v>668</v>
      </c>
      <c r="T77" s="2292">
        <v>130000000</v>
      </c>
      <c r="U77" s="2286">
        <v>988000</v>
      </c>
      <c r="V77" s="2286">
        <v>988000</v>
      </c>
      <c r="W77" s="2177"/>
      <c r="X77" s="2179" t="s">
        <v>2129</v>
      </c>
      <c r="Y77" s="3756"/>
      <c r="Z77"/>
      <c r="AA77" s="3756"/>
      <c r="AB77"/>
      <c r="AC77" s="3756"/>
      <c r="AD77"/>
      <c r="AE77" s="3756"/>
      <c r="AF77"/>
      <c r="AG77" s="3756"/>
      <c r="AH77"/>
      <c r="AI77" s="3756"/>
      <c r="AJ77"/>
      <c r="AK77" s="3756"/>
      <c r="AL77"/>
      <c r="AM77" s="3756"/>
      <c r="AN77"/>
      <c r="AO77" s="3756"/>
      <c r="AP77"/>
      <c r="AQ77" s="3756"/>
      <c r="AR77"/>
      <c r="AS77" s="3756"/>
      <c r="AT77"/>
      <c r="AU77" s="3756"/>
      <c r="AV77"/>
      <c r="AW77" s="2941"/>
      <c r="AX77"/>
      <c r="AY77"/>
      <c r="AZ77" s="3272"/>
      <c r="BA77" s="2941"/>
      <c r="BB77" s="2941"/>
      <c r="BC77" s="3721"/>
      <c r="BD77" s="2937"/>
      <c r="BE77" s="3721"/>
      <c r="BF77" s="2937"/>
      <c r="BG77"/>
    </row>
    <row r="78" spans="1:59" ht="15">
      <c r="A78" s="3737"/>
      <c r="B78" s="3738"/>
      <c r="C78" s="739">
        <v>8</v>
      </c>
      <c r="D78" s="740" t="s">
        <v>669</v>
      </c>
      <c r="E78" s="609"/>
      <c r="F78" s="609"/>
      <c r="G78" s="609"/>
      <c r="H78" s="2104"/>
      <c r="I78" s="609"/>
      <c r="J78" s="609"/>
      <c r="K78" s="741"/>
      <c r="L78" s="609"/>
      <c r="M78" s="609"/>
      <c r="N78" s="609"/>
      <c r="O78" s="609"/>
      <c r="P78" s="609"/>
      <c r="Q78" s="609"/>
      <c r="R78" s="2104"/>
      <c r="S78" s="2104"/>
      <c r="T78" s="2312"/>
      <c r="U78" s="2313"/>
      <c r="V78" s="2313"/>
      <c r="W78" s="2109"/>
      <c r="X78" s="2104"/>
      <c r="Y78" s="742"/>
      <c r="Z78" s="743"/>
      <c r="AA78" s="742"/>
      <c r="AB78" s="743"/>
      <c r="AC78" s="742"/>
      <c r="AD78" s="743"/>
      <c r="AE78" s="742"/>
      <c r="AF78" s="743"/>
      <c r="AG78" s="742"/>
      <c r="AH78" s="743"/>
      <c r="AI78" s="742"/>
      <c r="AJ78" s="743"/>
      <c r="AK78" s="742"/>
      <c r="AL78" s="743"/>
      <c r="AM78" s="742"/>
      <c r="AN78" s="743"/>
      <c r="AO78" s="742"/>
      <c r="AP78" s="743"/>
      <c r="AQ78" s="742"/>
      <c r="AR78" s="743"/>
      <c r="AS78" s="742"/>
      <c r="AT78" s="743"/>
      <c r="AU78" s="742"/>
      <c r="AV78" s="743"/>
      <c r="AW78" s="609"/>
      <c r="AX78" s="744"/>
      <c r="AY78" s="609"/>
      <c r="AZ78" s="609"/>
      <c r="BA78" s="1996"/>
      <c r="BB78" s="1996"/>
      <c r="BC78" s="1996"/>
      <c r="BD78" s="741"/>
      <c r="BE78" s="1996"/>
      <c r="BF78" s="741"/>
      <c r="BG78" s="745"/>
    </row>
    <row r="79" spans="1:59" ht="15">
      <c r="A79" s="3737"/>
      <c r="B79" s="3738"/>
      <c r="C79" s="3736"/>
      <c r="D79" s="3738"/>
      <c r="E79" s="746">
        <v>25</v>
      </c>
      <c r="F79" s="747" t="s">
        <v>670</v>
      </c>
      <c r="G79" s="748"/>
      <c r="H79" s="1365"/>
      <c r="I79" s="748"/>
      <c r="J79" s="748"/>
      <c r="K79" s="749"/>
      <c r="L79" s="748"/>
      <c r="M79" s="748"/>
      <c r="N79" s="748"/>
      <c r="O79" s="748"/>
      <c r="P79" s="748"/>
      <c r="Q79" s="748"/>
      <c r="R79" s="1365"/>
      <c r="S79" s="1365"/>
      <c r="T79" s="2314"/>
      <c r="U79" s="2315"/>
      <c r="V79" s="2315"/>
      <c r="W79" s="1366"/>
      <c r="X79" s="1365"/>
      <c r="Y79" s="750"/>
      <c r="Z79" s="751"/>
      <c r="AA79" s="750"/>
      <c r="AB79" s="751"/>
      <c r="AC79" s="750"/>
      <c r="AD79" s="751"/>
      <c r="AE79" s="750"/>
      <c r="AF79" s="751"/>
      <c r="AG79" s="750"/>
      <c r="AH79" s="751"/>
      <c r="AI79" s="750"/>
      <c r="AJ79" s="751"/>
      <c r="AK79" s="750"/>
      <c r="AL79" s="751"/>
      <c r="AM79" s="750"/>
      <c r="AN79" s="751"/>
      <c r="AO79" s="750"/>
      <c r="AP79" s="751"/>
      <c r="AQ79" s="750"/>
      <c r="AR79" s="751"/>
      <c r="AS79" s="750"/>
      <c r="AT79" s="751"/>
      <c r="AU79" s="750"/>
      <c r="AV79" s="751"/>
      <c r="AW79" s="748"/>
      <c r="AX79" s="752"/>
      <c r="AY79" s="748"/>
      <c r="AZ79" s="748"/>
      <c r="BA79" s="748"/>
      <c r="BB79" s="748"/>
      <c r="BC79" s="748"/>
      <c r="BD79" s="749"/>
      <c r="BE79" s="748"/>
      <c r="BF79" s="749"/>
      <c r="BG79" s="753"/>
    </row>
    <row r="80" spans="1:59" ht="109.5" customHeight="1">
      <c r="A80" s="3737"/>
      <c r="B80" s="3738"/>
      <c r="C80" s="3736"/>
      <c r="D80" s="3738"/>
      <c r="E80" s="3733"/>
      <c r="F80" s="3735"/>
      <c r="G80" s="618">
        <v>108</v>
      </c>
      <c r="H80" s="2167" t="s">
        <v>671</v>
      </c>
      <c r="I80" s="618" t="s">
        <v>65</v>
      </c>
      <c r="J80" s="216">
        <v>4</v>
      </c>
      <c r="K80" s="754">
        <v>4</v>
      </c>
      <c r="L80" s="2905" t="s">
        <v>672</v>
      </c>
      <c r="M80" s="2905">
        <v>96</v>
      </c>
      <c r="N80" s="2909" t="s">
        <v>673</v>
      </c>
      <c r="O80" s="670">
        <v>0.13</v>
      </c>
      <c r="P80">
        <v>80000000</v>
      </c>
      <c r="Q80" s="2910" t="s">
        <v>674</v>
      </c>
      <c r="R80" s="2072" t="s">
        <v>675</v>
      </c>
      <c r="S80" s="2167" t="s">
        <v>671</v>
      </c>
      <c r="T80" s="2292">
        <v>10000000</v>
      </c>
      <c r="U80" s="2286">
        <v>7120160</v>
      </c>
      <c r="V80" s="2286">
        <v>7120160</v>
      </c>
      <c r="W80">
        <v>20</v>
      </c>
      <c r="X80" s="2910" t="s">
        <v>232</v>
      </c>
      <c r="Y80" s="2907">
        <v>2732</v>
      </c>
      <c r="Z80">
        <v>2732</v>
      </c>
      <c r="AA80" s="2907">
        <v>17360</v>
      </c>
      <c r="AB80">
        <v>17360</v>
      </c>
      <c r="AC80" s="2907">
        <v>21116</v>
      </c>
      <c r="AD80">
        <v>21116</v>
      </c>
      <c r="AE80" s="2907"/>
      <c r="AF80"/>
      <c r="AG80" s="2907">
        <v>4451</v>
      </c>
      <c r="AH80">
        <v>4451</v>
      </c>
      <c r="AI80" s="2907"/>
      <c r="AJ80"/>
      <c r="AK80" s="2907">
        <v>247</v>
      </c>
      <c r="AL80">
        <v>247</v>
      </c>
      <c r="AM80" s="2907">
        <v>217</v>
      </c>
      <c r="AN80">
        <v>217</v>
      </c>
      <c r="AO80" s="2907">
        <v>60</v>
      </c>
      <c r="AP80">
        <v>60</v>
      </c>
      <c r="AQ80" s="2907">
        <v>2484</v>
      </c>
      <c r="AR80">
        <v>2484</v>
      </c>
      <c r="AS80" s="2907">
        <v>4575</v>
      </c>
      <c r="AT80">
        <v>4575</v>
      </c>
      <c r="AU80" s="2907">
        <v>56</v>
      </c>
      <c r="AV80">
        <v>56</v>
      </c>
      <c r="AW80" s="2905">
        <v>2</v>
      </c>
      <c r="AX80">
        <v>9120160</v>
      </c>
      <c r="AY80">
        <v>9120160</v>
      </c>
      <c r="AZ80" s="2925">
        <f>+AY80/AX80</f>
        <v>1</v>
      </c>
      <c r="BA80" s="2905" t="s">
        <v>676</v>
      </c>
      <c r="BB80" s="2905" t="s">
        <v>1827</v>
      </c>
      <c r="BC80" s="2898">
        <v>42583</v>
      </c>
      <c r="BD80" s="2918">
        <v>42614</v>
      </c>
      <c r="BE80" s="2898">
        <v>42735</v>
      </c>
      <c r="BF80" s="2918">
        <v>42704</v>
      </c>
      <c r="BG80" s="2905" t="s">
        <v>519</v>
      </c>
    </row>
    <row r="81" spans="1:59" ht="129.75" customHeight="1">
      <c r="A81" s="3737"/>
      <c r="B81" s="3738"/>
      <c r="C81" s="3736"/>
      <c r="D81" s="3738"/>
      <c r="E81" s="3739"/>
      <c r="F81" s="3741"/>
      <c r="G81" s="618">
        <v>109</v>
      </c>
      <c r="H81" s="2167" t="s">
        <v>677</v>
      </c>
      <c r="I81" s="618" t="s">
        <v>65</v>
      </c>
      <c r="J81" s="216">
        <v>52</v>
      </c>
      <c r="K81" s="2354">
        <v>52</v>
      </c>
      <c r="L81" s="2941"/>
      <c r="M81" s="2941"/>
      <c r="N81" s="2909"/>
      <c r="O81" s="670">
        <v>0.87</v>
      </c>
      <c r="P81"/>
      <c r="Q81"/>
      <c r="R81" s="2072" t="s">
        <v>678</v>
      </c>
      <c r="S81" s="2167" t="s">
        <v>677</v>
      </c>
      <c r="T81" s="2292">
        <v>70000000</v>
      </c>
      <c r="U81" s="2286">
        <v>2000000</v>
      </c>
      <c r="V81" s="2286">
        <v>2000000</v>
      </c>
      <c r="W81"/>
      <c r="X81"/>
      <c r="Y81" s="3756"/>
      <c r="Z81"/>
      <c r="AA81" s="3756"/>
      <c r="AB81"/>
      <c r="AC81" s="3756"/>
      <c r="AD81"/>
      <c r="AE81" s="3756"/>
      <c r="AF81"/>
      <c r="AG81" s="3756"/>
      <c r="AH81"/>
      <c r="AI81" s="3756"/>
      <c r="AJ81"/>
      <c r="AK81" s="3756"/>
      <c r="AL81"/>
      <c r="AM81" s="3756"/>
      <c r="AN81"/>
      <c r="AO81" s="3756"/>
      <c r="AP81"/>
      <c r="AQ81" s="3756"/>
      <c r="AR81"/>
      <c r="AS81" s="3756"/>
      <c r="AT81"/>
      <c r="AU81" s="3756"/>
      <c r="AV81"/>
      <c r="AW81" s="2941"/>
      <c r="AX81"/>
      <c r="AY81"/>
      <c r="AZ81" s="3272"/>
      <c r="BA81" s="2941"/>
      <c r="BB81" s="2941"/>
      <c r="BC81" s="3721"/>
      <c r="BD81" s="2937"/>
      <c r="BE81" s="3721"/>
      <c r="BF81" s="2937"/>
      <c r="BG81"/>
    </row>
    <row r="82" spans="1:59" ht="15">
      <c r="A82" s="3737"/>
      <c r="B82" s="3738"/>
      <c r="C82" s="3736"/>
      <c r="D82" s="3738"/>
      <c r="E82" s="662">
        <v>26</v>
      </c>
      <c r="F82" s="632" t="s">
        <v>679</v>
      </c>
      <c r="G82" s="732"/>
      <c r="H82" s="1212"/>
      <c r="I82" s="732"/>
      <c r="J82" s="732"/>
      <c r="K82" s="733"/>
      <c r="L82" s="732"/>
      <c r="M82" s="732"/>
      <c r="N82" s="732"/>
      <c r="O82" s="732"/>
      <c r="P82" s="732"/>
      <c r="Q82" s="732"/>
      <c r="R82" s="1212"/>
      <c r="S82" s="1212"/>
      <c r="T82" s="2310"/>
      <c r="U82" s="2311"/>
      <c r="V82" s="2311"/>
      <c r="W82" s="264"/>
      <c r="X82" s="1212"/>
      <c r="Y82" s="734"/>
      <c r="Z82" s="735"/>
      <c r="AA82" s="734"/>
      <c r="AB82" s="735"/>
      <c r="AC82" s="734"/>
      <c r="AD82" s="735"/>
      <c r="AE82" s="734"/>
      <c r="AF82" s="735"/>
      <c r="AG82" s="734"/>
      <c r="AH82" s="735"/>
      <c r="AI82" s="734"/>
      <c r="AJ82" s="735"/>
      <c r="AK82" s="734"/>
      <c r="AL82" s="735"/>
      <c r="AM82" s="734"/>
      <c r="AN82" s="735"/>
      <c r="AO82" s="734"/>
      <c r="AP82" s="735"/>
      <c r="AQ82" s="734"/>
      <c r="AR82" s="735"/>
      <c r="AS82" s="734"/>
      <c r="AT82" s="735"/>
      <c r="AU82" s="734"/>
      <c r="AV82" s="735"/>
      <c r="AW82" s="732"/>
      <c r="AX82" s="736"/>
      <c r="AY82" s="732"/>
      <c r="AZ82" s="732"/>
      <c r="BA82" s="732"/>
      <c r="BB82" s="732"/>
      <c r="BC82" s="732"/>
      <c r="BD82" s="733"/>
      <c r="BE82" s="732"/>
      <c r="BF82" s="733"/>
      <c r="BG82" s="737"/>
    </row>
    <row r="83" spans="1:59" ht="70.5" customHeight="1">
      <c r="A83" s="3737"/>
      <c r="B83" s="3738"/>
      <c r="C83" s="3736"/>
      <c r="D83" s="3738"/>
      <c r="E83" s="3733"/>
      <c r="F83" s="3735"/>
      <c r="G83" s="2931">
        <v>110</v>
      </c>
      <c r="H83" s="2909" t="s">
        <v>680</v>
      </c>
      <c r="I83" s="2931" t="s">
        <v>65</v>
      </c>
      <c r="J83" s="3722">
        <v>200</v>
      </c>
      <c r="K83">
        <v>175</v>
      </c>
      <c r="L83" s="756" t="s">
        <v>681</v>
      </c>
      <c r="M83" s="2931">
        <v>97</v>
      </c>
      <c r="N83" s="2909" t="s">
        <v>682</v>
      </c>
      <c r="O83" s="3769">
        <v>1</v>
      </c>
      <c r="P83" s="2926">
        <v>929538539.44</v>
      </c>
      <c r="Q83" s="2905" t="s">
        <v>683</v>
      </c>
      <c r="R83" s="2910" t="s">
        <v>684</v>
      </c>
      <c r="S83" s="2910" t="s">
        <v>680</v>
      </c>
      <c r="T83">
        <v>929538539</v>
      </c>
      <c r="U83">
        <v>592376257</v>
      </c>
      <c r="V83">
        <v>592376257</v>
      </c>
      <c r="W83" s="2176">
        <v>35</v>
      </c>
      <c r="X83" s="2168" t="s">
        <v>685</v>
      </c>
      <c r="Y83" s="2907">
        <v>2732</v>
      </c>
      <c r="Z83">
        <v>2732</v>
      </c>
      <c r="AA83" s="2907">
        <v>17360</v>
      </c>
      <c r="AB83">
        <v>17360</v>
      </c>
      <c r="AC83" s="2907">
        <v>21116</v>
      </c>
      <c r="AD83">
        <v>21116</v>
      </c>
      <c r="AE83" s="2907"/>
      <c r="AF83"/>
      <c r="AG83" s="2907">
        <v>4451</v>
      </c>
      <c r="AH83">
        <v>4451</v>
      </c>
      <c r="AI83" s="2907"/>
      <c r="AJ83"/>
      <c r="AK83" s="2907">
        <v>247</v>
      </c>
      <c r="AL83">
        <v>247</v>
      </c>
      <c r="AM83" s="2907">
        <v>217</v>
      </c>
      <c r="AN83">
        <v>217</v>
      </c>
      <c r="AO83" s="2907">
        <v>60</v>
      </c>
      <c r="AP83">
        <v>60</v>
      </c>
      <c r="AQ83" s="2907">
        <v>2484</v>
      </c>
      <c r="AR83">
        <v>2484</v>
      </c>
      <c r="AS83" s="2907">
        <v>4575</v>
      </c>
      <c r="AT83">
        <v>4575</v>
      </c>
      <c r="AU83" s="2907">
        <v>56</v>
      </c>
      <c r="AV83">
        <v>56</v>
      </c>
      <c r="AW83" s="2905">
        <v>1</v>
      </c>
      <c r="AX83" s="2942">
        <v>592376257</v>
      </c>
      <c r="AY83">
        <v>592376257</v>
      </c>
      <c r="AZ83" s="2925">
        <f>+AY83/AX83</f>
        <v>1</v>
      </c>
      <c r="BA83" s="2905"/>
      <c r="BB83" t="s">
        <v>691</v>
      </c>
      <c r="BC83" s="2898">
        <v>42583</v>
      </c>
      <c r="BD83" s="2918">
        <v>42552</v>
      </c>
      <c r="BE83" s="2898">
        <v>42735</v>
      </c>
      <c r="BF83" s="2918">
        <v>11688</v>
      </c>
      <c r="BG83" s="2905" t="s">
        <v>519</v>
      </c>
    </row>
    <row r="84" spans="1:59" ht="70.5" customHeight="1">
      <c r="A84" s="3737"/>
      <c r="B84" s="3738"/>
      <c r="C84" s="3736"/>
      <c r="D84" s="3738"/>
      <c r="E84" s="3736"/>
      <c r="F84" s="3738"/>
      <c r="G84" s="2931"/>
      <c r="H84" s="2909"/>
      <c r="I84" s="2931"/>
      <c r="J84" s="3722"/>
      <c r="K84"/>
      <c r="L84" s="738" t="s">
        <v>686</v>
      </c>
      <c r="M84" s="2931"/>
      <c r="N84" s="2909"/>
      <c r="O84" s="3769"/>
      <c r="P84" s="2926"/>
      <c r="Q84" s="2906"/>
      <c r="R84" s="3292"/>
      <c r="S84" s="3292"/>
      <c r="T84"/>
      <c r="U84"/>
      <c r="V84"/>
      <c r="W84">
        <v>25</v>
      </c>
      <c r="X84" t="s">
        <v>559</v>
      </c>
      <c r="Y84" s="2908"/>
      <c r="Z84"/>
      <c r="AA84" s="2908"/>
      <c r="AB84"/>
      <c r="AC84" s="2908"/>
      <c r="AD84"/>
      <c r="AE84" s="2908"/>
      <c r="AF84"/>
      <c r="AG84" s="2908"/>
      <c r="AH84"/>
      <c r="AI84" s="2908"/>
      <c r="AJ84"/>
      <c r="AK84" s="2908"/>
      <c r="AL84"/>
      <c r="AM84" s="2908"/>
      <c r="AN84"/>
      <c r="AO84" s="2908"/>
      <c r="AP84"/>
      <c r="AQ84" s="2908"/>
      <c r="AR84"/>
      <c r="AS84" s="2908"/>
      <c r="AT84"/>
      <c r="AU84" s="2908"/>
      <c r="AV84"/>
      <c r="AW84" s="2906"/>
      <c r="AX84" s="2942"/>
      <c r="AY84"/>
      <c r="AZ84" s="3271"/>
      <c r="BA84" s="2906"/>
      <c r="BB84"/>
      <c r="BC84" s="2899"/>
      <c r="BD84" s="2919"/>
      <c r="BE84" s="2899"/>
      <c r="BF84" s="2919"/>
      <c r="BG84" s="2906"/>
    </row>
    <row r="85" spans="1:59" ht="70.5" customHeight="1">
      <c r="A85" s="3737"/>
      <c r="B85" s="3738"/>
      <c r="C85" s="3736"/>
      <c r="D85" s="3738"/>
      <c r="E85" s="3736"/>
      <c r="F85" s="3738"/>
      <c r="G85" s="2931"/>
      <c r="H85" s="2909"/>
      <c r="I85" s="2931"/>
      <c r="J85" s="3722"/>
      <c r="K85"/>
      <c r="L85" s="757" t="s">
        <v>687</v>
      </c>
      <c r="M85" s="2931"/>
      <c r="N85" s="2909"/>
      <c r="O85" s="3769"/>
      <c r="P85" s="2926"/>
      <c r="Q85" s="2906"/>
      <c r="R85" s="3292"/>
      <c r="S85" s="3292"/>
      <c r="T85"/>
      <c r="U85"/>
      <c r="V85"/>
      <c r="W85"/>
      <c r="X85"/>
      <c r="Y85" s="3756"/>
      <c r="Z85"/>
      <c r="AA85" s="3756"/>
      <c r="AB85"/>
      <c r="AC85" s="3756"/>
      <c r="AD85"/>
      <c r="AE85" s="3756"/>
      <c r="AF85"/>
      <c r="AG85" s="3756"/>
      <c r="AH85"/>
      <c r="AI85" s="3756"/>
      <c r="AJ85"/>
      <c r="AK85" s="3756"/>
      <c r="AL85"/>
      <c r="AM85" s="3756"/>
      <c r="AN85"/>
      <c r="AO85" s="3756"/>
      <c r="AP85"/>
      <c r="AQ85" s="3756"/>
      <c r="AR85"/>
      <c r="AS85" s="3756"/>
      <c r="AT85"/>
      <c r="AU85" s="3756"/>
      <c r="AV85"/>
      <c r="AW85" s="2941"/>
      <c r="AX85" s="2942"/>
      <c r="AY85"/>
      <c r="AZ85" s="3272"/>
      <c r="BA85" s="2941"/>
      <c r="BB85"/>
      <c r="BC85" s="3721"/>
      <c r="BD85" s="2937"/>
      <c r="BE85" s="3721"/>
      <c r="BF85" s="2937"/>
      <c r="BG85" s="2941"/>
    </row>
    <row r="86" spans="1:59" ht="70.5" customHeight="1">
      <c r="A86" s="3737"/>
      <c r="B86" s="3738"/>
      <c r="C86" s="3736"/>
      <c r="D86" s="3738"/>
      <c r="E86" s="3739"/>
      <c r="F86" s="3741"/>
      <c r="G86" s="618">
        <f>G83</f>
        <v>110</v>
      </c>
      <c r="H86" s="2167" t="s">
        <v>680</v>
      </c>
      <c r="I86" s="618" t="s">
        <v>248</v>
      </c>
      <c r="J86" s="216">
        <v>200</v>
      </c>
      <c r="K86" s="871">
        <v>175</v>
      </c>
      <c r="L86" s="757" t="s">
        <v>688</v>
      </c>
      <c r="M86" s="618">
        <v>8</v>
      </c>
      <c r="N86" s="624" t="s">
        <v>689</v>
      </c>
      <c r="O86" s="670">
        <v>1</v>
      </c>
      <c r="P86" s="620">
        <v>585122890.56</v>
      </c>
      <c r="Q86" s="2941"/>
      <c r="R86" s="3293"/>
      <c r="S86" s="3293"/>
      <c r="T86" s="2292">
        <v>585122891</v>
      </c>
      <c r="U86" s="2316">
        <v>496392994</v>
      </c>
      <c r="V86" s="2316">
        <v>496392994</v>
      </c>
      <c r="W86" s="688">
        <v>25</v>
      </c>
      <c r="X86" s="2175" t="s">
        <v>559</v>
      </c>
      <c r="Y86" s="216"/>
      <c r="Z86" s="635"/>
      <c r="AA86" s="216"/>
      <c r="AB86" s="635"/>
      <c r="AC86" s="216"/>
      <c r="AD86" s="635"/>
      <c r="AE86" s="216"/>
      <c r="AF86" s="635"/>
      <c r="AG86" s="216"/>
      <c r="AH86" s="635"/>
      <c r="AI86" s="216"/>
      <c r="AJ86" s="635"/>
      <c r="AK86" s="216"/>
      <c r="AL86" s="635"/>
      <c r="AM86" s="216"/>
      <c r="AN86" s="635"/>
      <c r="AO86" s="216"/>
      <c r="AP86" s="635"/>
      <c r="AQ86" s="216"/>
      <c r="AR86" s="635"/>
      <c r="AS86" s="216"/>
      <c r="AT86" s="635"/>
      <c r="AU86" s="216"/>
      <c r="AV86" s="635"/>
      <c r="AW86" s="618">
        <v>1</v>
      </c>
      <c r="AX86" s="759">
        <v>496392994</v>
      </c>
      <c r="AY86" s="759">
        <v>496392994</v>
      </c>
      <c r="AZ86" s="625">
        <f>+AY86/AX86</f>
        <v>1</v>
      </c>
      <c r="BA86" s="1957" t="s">
        <v>690</v>
      </c>
      <c r="BB86"/>
      <c r="BC86" s="1952">
        <v>42583</v>
      </c>
      <c r="BD86" s="2005">
        <v>42552</v>
      </c>
      <c r="BE86" s="1952">
        <v>42735</v>
      </c>
      <c r="BF86" s="2005">
        <v>11688</v>
      </c>
      <c r="BG86" s="1957" t="s">
        <v>519</v>
      </c>
    </row>
    <row r="87" spans="1:59" ht="15">
      <c r="A87" s="3737"/>
      <c r="B87" s="3738"/>
      <c r="C87" s="3736"/>
      <c r="D87" s="3738"/>
      <c r="E87" s="662">
        <v>27</v>
      </c>
      <c r="F87" s="663" t="s">
        <v>692</v>
      </c>
      <c r="G87" s="51"/>
      <c r="H87" s="476"/>
      <c r="I87" s="51"/>
      <c r="J87" s="51"/>
      <c r="K87" s="475"/>
      <c r="L87" s="51"/>
      <c r="M87" s="51"/>
      <c r="N87" s="51"/>
      <c r="O87" s="51"/>
      <c r="P87" s="51"/>
      <c r="Q87" s="51"/>
      <c r="R87" s="476"/>
      <c r="S87" s="476"/>
      <c r="T87" s="1901"/>
      <c r="U87" s="2300"/>
      <c r="V87" s="2300"/>
      <c r="W87" s="2181"/>
      <c r="X87" s="476"/>
      <c r="Y87" s="673"/>
      <c r="Z87" s="674"/>
      <c r="AA87" s="673"/>
      <c r="AB87" s="674"/>
      <c r="AC87" s="673"/>
      <c r="AD87" s="674"/>
      <c r="AE87" s="673"/>
      <c r="AF87" s="674"/>
      <c r="AG87" s="673"/>
      <c r="AH87" s="674"/>
      <c r="AI87" s="673"/>
      <c r="AJ87" s="674"/>
      <c r="AK87" s="673"/>
      <c r="AL87" s="674"/>
      <c r="AM87" s="673"/>
      <c r="AN87" s="674"/>
      <c r="AO87" s="673"/>
      <c r="AP87" s="674"/>
      <c r="AQ87" s="673"/>
      <c r="AR87" s="674"/>
      <c r="AS87" s="673"/>
      <c r="AT87" s="674"/>
      <c r="AU87" s="673"/>
      <c r="AV87" s="674"/>
      <c r="AW87" s="51"/>
      <c r="AX87" s="664"/>
      <c r="AY87" s="51"/>
      <c r="AZ87" s="51"/>
      <c r="BA87" s="51"/>
      <c r="BB87" s="51"/>
      <c r="BC87" s="51"/>
      <c r="BD87" s="475"/>
      <c r="BE87" s="51"/>
      <c r="BF87" s="475"/>
      <c r="BG87" s="665"/>
    </row>
    <row r="88" spans="1:59" ht="140.25" customHeight="1">
      <c r="A88" s="3737"/>
      <c r="B88" s="3738"/>
      <c r="C88" s="3736"/>
      <c r="D88" s="3738"/>
      <c r="E88" s="3733"/>
      <c r="F88" s="3735"/>
      <c r="G88" s="618">
        <v>111</v>
      </c>
      <c r="H88" s="2167" t="s">
        <v>693</v>
      </c>
      <c r="I88" s="618" t="s">
        <v>65</v>
      </c>
      <c r="J88" s="760">
        <v>1</v>
      </c>
      <c r="K88" s="761">
        <v>1</v>
      </c>
      <c r="L88" s="618" t="s">
        <v>694</v>
      </c>
      <c r="M88" s="618">
        <v>98</v>
      </c>
      <c r="N88" s="624" t="s">
        <v>695</v>
      </c>
      <c r="O88" s="670">
        <v>1</v>
      </c>
      <c r="P88" s="686">
        <v>7710882667.89</v>
      </c>
      <c r="Q88" s="624" t="s">
        <v>696</v>
      </c>
      <c r="R88" s="2072" t="s">
        <v>697</v>
      </c>
      <c r="S88" s="2167" t="s">
        <v>693</v>
      </c>
      <c r="T88" s="2285">
        <v>7710882667.89</v>
      </c>
      <c r="U88" s="2286">
        <v>7265325593.04</v>
      </c>
      <c r="V88" s="2286">
        <v>7263125592.04</v>
      </c>
      <c r="W88" s="688">
        <v>25</v>
      </c>
      <c r="X88" s="2175" t="s">
        <v>559</v>
      </c>
      <c r="Y88" s="216">
        <v>2732</v>
      </c>
      <c r="Z88" s="635">
        <v>2732</v>
      </c>
      <c r="AA88" s="216">
        <v>17360</v>
      </c>
      <c r="AB88" s="635">
        <v>17360</v>
      </c>
      <c r="AC88" s="216">
        <v>21116</v>
      </c>
      <c r="AD88" s="635">
        <v>21116</v>
      </c>
      <c r="AE88" s="216"/>
      <c r="AF88" s="635"/>
      <c r="AG88" s="216">
        <v>4451</v>
      </c>
      <c r="AH88" s="635">
        <v>4451</v>
      </c>
      <c r="AI88" s="216"/>
      <c r="AJ88" s="635"/>
      <c r="AK88" s="216">
        <v>247</v>
      </c>
      <c r="AL88" s="635">
        <v>247</v>
      </c>
      <c r="AM88" s="216">
        <v>217</v>
      </c>
      <c r="AN88" s="635">
        <v>217</v>
      </c>
      <c r="AO88" s="216">
        <v>60</v>
      </c>
      <c r="AP88" s="635">
        <v>60</v>
      </c>
      <c r="AQ88" s="216">
        <v>2484</v>
      </c>
      <c r="AR88" s="635">
        <v>2484</v>
      </c>
      <c r="AS88" s="216">
        <v>4575</v>
      </c>
      <c r="AT88" s="635">
        <v>4575</v>
      </c>
      <c r="AU88" s="216">
        <v>56</v>
      </c>
      <c r="AV88" s="635">
        <v>56</v>
      </c>
      <c r="AW88" t="s">
        <v>566</v>
      </c>
      <c r="AX88" s="687">
        <v>7265325592.04</v>
      </c>
      <c r="AY88" s="687">
        <v>7263125592.04</v>
      </c>
      <c r="AZ88" s="625">
        <f>+AX88/T88</f>
        <v>0.9422171111868413</v>
      </c>
      <c r="BA88" s="758" t="s">
        <v>559</v>
      </c>
      <c r="BB88" t="s">
        <v>715</v>
      </c>
      <c r="BC88" s="1952">
        <v>42583</v>
      </c>
      <c r="BD88" s="2005">
        <v>42583</v>
      </c>
      <c r="BE88" s="1952">
        <v>42735</v>
      </c>
      <c r="BF88" s="1952">
        <v>42735</v>
      </c>
      <c r="BG88" s="1957" t="s">
        <v>519</v>
      </c>
    </row>
    <row r="89" spans="1:59" ht="139.5" customHeight="1">
      <c r="A89" s="3737"/>
      <c r="B89" s="3738"/>
      <c r="C89" s="3736"/>
      <c r="D89" s="3738"/>
      <c r="E89" s="3739"/>
      <c r="F89" s="3741"/>
      <c r="G89" s="618">
        <v>111</v>
      </c>
      <c r="H89" s="2167" t="s">
        <v>693</v>
      </c>
      <c r="I89" s="618" t="s">
        <v>65</v>
      </c>
      <c r="J89" s="760">
        <v>1</v>
      </c>
      <c r="K89" s="761">
        <v>1</v>
      </c>
      <c r="L89" s="618" t="s">
        <v>698</v>
      </c>
      <c r="M89" s="618">
        <v>99</v>
      </c>
      <c r="N89" s="624" t="s">
        <v>570</v>
      </c>
      <c r="O89" s="670">
        <v>1</v>
      </c>
      <c r="P89" s="762">
        <v>6500674020.11</v>
      </c>
      <c r="Q89" s="624" t="s">
        <v>696</v>
      </c>
      <c r="R89" s="2072" t="s">
        <v>699</v>
      </c>
      <c r="S89" s="2167" t="s">
        <v>693</v>
      </c>
      <c r="T89" s="2292">
        <v>6500674020.11</v>
      </c>
      <c r="U89" s="2286">
        <v>6500674020.11</v>
      </c>
      <c r="V89" s="2286">
        <v>6500674020.11</v>
      </c>
      <c r="W89" s="2180">
        <v>25</v>
      </c>
      <c r="X89" s="2179" t="s">
        <v>559</v>
      </c>
      <c r="Y89" s="216">
        <v>2732</v>
      </c>
      <c r="Z89" s="635">
        <v>2732</v>
      </c>
      <c r="AA89" s="216">
        <v>17360</v>
      </c>
      <c r="AB89" s="635">
        <v>17360</v>
      </c>
      <c r="AC89" s="216">
        <v>21116</v>
      </c>
      <c r="AD89" s="635">
        <v>21116</v>
      </c>
      <c r="AE89" s="216"/>
      <c r="AF89" s="635"/>
      <c r="AG89" s="216">
        <v>4451</v>
      </c>
      <c r="AH89" s="635">
        <v>4451</v>
      </c>
      <c r="AI89" s="216"/>
      <c r="AJ89" s="635"/>
      <c r="AK89" s="216">
        <v>247</v>
      </c>
      <c r="AL89" s="635">
        <v>247</v>
      </c>
      <c r="AM89" s="216">
        <v>217</v>
      </c>
      <c r="AN89" s="635">
        <v>217</v>
      </c>
      <c r="AO89" s="216">
        <v>60</v>
      </c>
      <c r="AP89" s="635">
        <v>60</v>
      </c>
      <c r="AQ89" s="216">
        <v>2484</v>
      </c>
      <c r="AR89" s="635">
        <v>2484</v>
      </c>
      <c r="AS89" s="216">
        <v>4575</v>
      </c>
      <c r="AT89" s="635">
        <v>4575</v>
      </c>
      <c r="AU89" s="216">
        <v>56</v>
      </c>
      <c r="AV89" s="635">
        <v>56</v>
      </c>
      <c r="AW89"/>
      <c r="AX89" s="687">
        <v>6500674020.11</v>
      </c>
      <c r="AY89" s="687">
        <v>6500674020.11</v>
      </c>
      <c r="AZ89" s="625">
        <f>+AY89/AX89</f>
        <v>1</v>
      </c>
      <c r="BA89" s="714" t="s">
        <v>559</v>
      </c>
      <c r="BB89"/>
      <c r="BC89" s="1952">
        <v>42371</v>
      </c>
      <c r="BD89" s="2005">
        <v>42582</v>
      </c>
      <c r="BE89" s="1952">
        <v>42521</v>
      </c>
      <c r="BF89" s="2005">
        <v>42582</v>
      </c>
      <c r="BG89" s="1957" t="s">
        <v>519</v>
      </c>
    </row>
    <row r="90" spans="1:59" ht="15">
      <c r="A90" s="3737"/>
      <c r="B90" s="3738"/>
      <c r="C90" s="3736"/>
      <c r="D90" s="3738"/>
      <c r="E90" s="662">
        <v>28</v>
      </c>
      <c r="F90" s="632" t="s">
        <v>700</v>
      </c>
      <c r="G90" s="633"/>
      <c r="H90" s="476"/>
      <c r="I90" s="633"/>
      <c r="J90" s="633"/>
      <c r="K90" s="681"/>
      <c r="L90" s="633"/>
      <c r="M90" s="633"/>
      <c r="N90" s="633"/>
      <c r="O90" s="633"/>
      <c r="P90" s="633"/>
      <c r="Q90" s="633"/>
      <c r="R90" s="476"/>
      <c r="S90" s="476"/>
      <c r="T90" s="2301"/>
      <c r="U90" s="2302"/>
      <c r="V90" s="2302"/>
      <c r="W90" s="2181"/>
      <c r="X90" s="476"/>
      <c r="Y90" s="682"/>
      <c r="Z90" s="683"/>
      <c r="AA90" s="682"/>
      <c r="AB90" s="683"/>
      <c r="AC90" s="682"/>
      <c r="AD90" s="683"/>
      <c r="AE90" s="682"/>
      <c r="AF90" s="683"/>
      <c r="AG90" s="682"/>
      <c r="AH90" s="683"/>
      <c r="AI90" s="682"/>
      <c r="AJ90" s="683"/>
      <c r="AK90" s="682"/>
      <c r="AL90" s="683"/>
      <c r="AM90" s="682"/>
      <c r="AN90" s="683"/>
      <c r="AO90" s="682"/>
      <c r="AP90" s="683"/>
      <c r="AQ90" s="682"/>
      <c r="AR90" s="683"/>
      <c r="AS90" s="682"/>
      <c r="AT90" s="683"/>
      <c r="AU90" s="682"/>
      <c r="AV90" s="683"/>
      <c r="AW90" s="633"/>
      <c r="AX90" s="684"/>
      <c r="AY90" s="633"/>
      <c r="AZ90" s="633"/>
      <c r="BA90" s="1988"/>
      <c r="BB90" s="1988"/>
      <c r="BC90" s="1988"/>
      <c r="BD90" s="681"/>
      <c r="BE90" s="1988"/>
      <c r="BF90" s="681"/>
      <c r="BG90" s="685"/>
    </row>
    <row r="91" spans="1:59" ht="72" customHeight="1">
      <c r="A91" s="3737"/>
      <c r="B91" s="3738"/>
      <c r="C91" s="3736"/>
      <c r="D91" s="3738"/>
      <c r="E91" s="3733"/>
      <c r="F91" s="3735"/>
      <c r="G91" s="618">
        <v>112</v>
      </c>
      <c r="H91" s="2167" t="s">
        <v>701</v>
      </c>
      <c r="I91" s="618" t="s">
        <v>65</v>
      </c>
      <c r="J91" s="216">
        <v>8</v>
      </c>
      <c r="K91" s="872">
        <v>14</v>
      </c>
      <c r="L91" s="764" t="s">
        <v>702</v>
      </c>
      <c r="M91" s="2905">
        <v>100</v>
      </c>
      <c r="N91" s="2909" t="s">
        <v>703</v>
      </c>
      <c r="O91" s="670">
        <v>0.37</v>
      </c>
      <c r="P91">
        <f>81142637</f>
        <v>81142637</v>
      </c>
      <c r="Q91" s="2910" t="s">
        <v>704</v>
      </c>
      <c r="R91" s="2909" t="s">
        <v>705</v>
      </c>
      <c r="S91" s="2167" t="s">
        <v>701</v>
      </c>
      <c r="T91" s="2292">
        <v>0</v>
      </c>
      <c r="U91" s="2286">
        <v>0</v>
      </c>
      <c r="V91" s="2286">
        <v>0</v>
      </c>
      <c r="W91" s="2176">
        <v>20</v>
      </c>
      <c r="X91" s="2168" t="s">
        <v>232</v>
      </c>
      <c r="Y91" s="2907">
        <v>2732</v>
      </c>
      <c r="Z91">
        <v>2732</v>
      </c>
      <c r="AA91" s="2907">
        <v>17360</v>
      </c>
      <c r="AB91">
        <v>17360</v>
      </c>
      <c r="AC91" s="2907">
        <v>21116</v>
      </c>
      <c r="AD91">
        <v>21116</v>
      </c>
      <c r="AE91" s="2907"/>
      <c r="AF91"/>
      <c r="AG91" s="2907">
        <v>4451</v>
      </c>
      <c r="AH91">
        <v>4451</v>
      </c>
      <c r="AI91" s="2907"/>
      <c r="AJ91"/>
      <c r="AK91" s="2907">
        <v>247</v>
      </c>
      <c r="AL91">
        <v>247</v>
      </c>
      <c r="AM91" s="2907">
        <v>217</v>
      </c>
      <c r="AN91">
        <v>217</v>
      </c>
      <c r="AO91" s="2907">
        <v>60</v>
      </c>
      <c r="AP91">
        <v>60</v>
      </c>
      <c r="AQ91" s="2907">
        <v>2484</v>
      </c>
      <c r="AR91">
        <v>2484</v>
      </c>
      <c r="AS91" s="2907">
        <v>4575</v>
      </c>
      <c r="AT91">
        <v>4575</v>
      </c>
      <c r="AU91" s="2907">
        <v>56</v>
      </c>
      <c r="AV91">
        <v>56</v>
      </c>
      <c r="AW91" s="614">
        <v>1</v>
      </c>
      <c r="AX91" s="626">
        <v>9900000</v>
      </c>
      <c r="AY91" s="626">
        <v>9900000</v>
      </c>
      <c r="AZ91" s="1977">
        <f>+AY91/AX91</f>
        <v>1</v>
      </c>
      <c r="BA91" s="1957" t="s">
        <v>676</v>
      </c>
      <c r="BB91" s="1957" t="s">
        <v>1828</v>
      </c>
      <c r="BC91" s="1952">
        <v>42644</v>
      </c>
      <c r="BD91" s="2005">
        <v>42644</v>
      </c>
      <c r="BE91" s="2898">
        <v>42735</v>
      </c>
      <c r="BF91" s="2898">
        <v>42735</v>
      </c>
      <c r="BG91" s="2905" t="s">
        <v>519</v>
      </c>
    </row>
    <row r="92" spans="1:59" ht="93.75" customHeight="1">
      <c r="A92" s="3737"/>
      <c r="B92" s="3738"/>
      <c r="C92" s="3739"/>
      <c r="D92" s="3741"/>
      <c r="E92" s="3739"/>
      <c r="F92" s="3741"/>
      <c r="G92" s="618">
        <v>113</v>
      </c>
      <c r="H92" s="2167" t="s">
        <v>706</v>
      </c>
      <c r="I92" s="618" t="s">
        <v>65</v>
      </c>
      <c r="J92" s="216">
        <v>1</v>
      </c>
      <c r="K92" s="872">
        <v>1</v>
      </c>
      <c r="L92" s="765" t="s">
        <v>707</v>
      </c>
      <c r="M92" s="2941"/>
      <c r="N92" s="2909"/>
      <c r="O92" s="670">
        <v>0.63</v>
      </c>
      <c r="P92"/>
      <c r="Q92"/>
      <c r="R92"/>
      <c r="S92" s="2167" t="s">
        <v>706</v>
      </c>
      <c r="T92" s="2292">
        <v>81142637</v>
      </c>
      <c r="U92" s="2286">
        <v>9900000</v>
      </c>
      <c r="V92" s="2286">
        <v>9900000</v>
      </c>
      <c r="W92" s="2177">
        <v>25</v>
      </c>
      <c r="X92" s="2174" t="s">
        <v>232</v>
      </c>
      <c r="Y92" s="3756"/>
      <c r="Z92"/>
      <c r="AA92" s="3756"/>
      <c r="AB92"/>
      <c r="AC92" s="3756"/>
      <c r="AD92"/>
      <c r="AE92" s="3756"/>
      <c r="AF92"/>
      <c r="AG92" s="3756"/>
      <c r="AH92"/>
      <c r="AI92" s="3756"/>
      <c r="AJ92"/>
      <c r="AK92" s="3756"/>
      <c r="AL92"/>
      <c r="AM92" s="3756"/>
      <c r="AN92"/>
      <c r="AO92" s="3756"/>
      <c r="AP92"/>
      <c r="AQ92" s="3756"/>
      <c r="AR92"/>
      <c r="AS92" s="3756"/>
      <c r="AT92"/>
      <c r="AU92" s="3756"/>
      <c r="AV92"/>
      <c r="AW92" s="615"/>
      <c r="AX92" s="766"/>
      <c r="AY92" s="615"/>
      <c r="AZ92" s="615"/>
      <c r="BA92" s="1957"/>
      <c r="BB92" s="1957"/>
      <c r="BC92" s="2067"/>
      <c r="BD92" s="2005"/>
      <c r="BE92" s="3721"/>
      <c r="BF92" s="3721"/>
      <c r="BG92"/>
    </row>
    <row r="93" spans="1:59" ht="14.25">
      <c r="A93" s="3737"/>
      <c r="B93" s="3738"/>
      <c r="C93" s="767">
        <v>16</v>
      </c>
      <c r="D93" s="768" t="s">
        <v>708</v>
      </c>
      <c r="E93" s="769"/>
      <c r="F93" s="769"/>
      <c r="G93" s="769"/>
      <c r="H93" s="2105"/>
      <c r="I93" s="769"/>
      <c r="J93" s="769"/>
      <c r="K93" s="770"/>
      <c r="L93" s="769"/>
      <c r="M93" s="769"/>
      <c r="N93" s="769"/>
      <c r="O93" s="769"/>
      <c r="P93" s="769"/>
      <c r="Q93" s="769"/>
      <c r="R93" s="2105"/>
      <c r="S93" s="2105"/>
      <c r="T93" s="2317"/>
      <c r="U93" s="2318"/>
      <c r="V93" s="2318"/>
      <c r="W93" s="2110"/>
      <c r="X93" s="2105"/>
      <c r="Y93" s="771"/>
      <c r="Z93" s="772"/>
      <c r="AA93" s="771"/>
      <c r="AB93" s="772"/>
      <c r="AC93" s="771"/>
      <c r="AD93" s="772"/>
      <c r="AE93" s="771"/>
      <c r="AF93" s="772"/>
      <c r="AG93" s="771"/>
      <c r="AH93" s="772"/>
      <c r="AI93" s="771"/>
      <c r="AJ93" s="772"/>
      <c r="AK93" s="771"/>
      <c r="AL93" s="772"/>
      <c r="AM93" s="771"/>
      <c r="AN93" s="772"/>
      <c r="AO93" s="771"/>
      <c r="AP93" s="772"/>
      <c r="AQ93" s="771"/>
      <c r="AR93" s="772"/>
      <c r="AS93" s="771"/>
      <c r="AT93" s="772"/>
      <c r="AU93" s="771"/>
      <c r="AV93" s="772"/>
      <c r="AW93" s="769"/>
      <c r="AX93" s="773"/>
      <c r="AY93" s="769"/>
      <c r="AZ93" s="769"/>
      <c r="BA93" s="769"/>
      <c r="BB93" s="769"/>
      <c r="BC93" s="769"/>
      <c r="BD93" s="770"/>
      <c r="BE93" s="769"/>
      <c r="BF93" s="770"/>
      <c r="BG93" s="60"/>
    </row>
    <row r="94" spans="1:59" ht="15">
      <c r="A94" s="3737"/>
      <c r="B94" s="3738"/>
      <c r="C94" s="3733"/>
      <c r="D94" s="3735"/>
      <c r="E94" s="662">
        <v>57</v>
      </c>
      <c r="F94" s="663" t="s">
        <v>709</v>
      </c>
      <c r="G94" s="51"/>
      <c r="H94" s="476"/>
      <c r="I94" s="51"/>
      <c r="J94" s="51"/>
      <c r="K94" s="475"/>
      <c r="L94" s="51"/>
      <c r="M94" s="51"/>
      <c r="N94" s="51"/>
      <c r="O94" s="51"/>
      <c r="P94" s="51"/>
      <c r="Q94" s="51"/>
      <c r="R94" s="476"/>
      <c r="S94" s="476"/>
      <c r="T94" s="1901"/>
      <c r="U94" s="2300"/>
      <c r="V94" s="2300"/>
      <c r="W94" s="2181"/>
      <c r="X94" s="476"/>
      <c r="Y94" s="673"/>
      <c r="Z94" s="674"/>
      <c r="AA94" s="673"/>
      <c r="AB94" s="674"/>
      <c r="AC94" s="673"/>
      <c r="AD94" s="674"/>
      <c r="AE94" s="673"/>
      <c r="AF94" s="674"/>
      <c r="AG94" s="673"/>
      <c r="AH94" s="674"/>
      <c r="AI94" s="673"/>
      <c r="AJ94" s="674"/>
      <c r="AK94" s="673"/>
      <c r="AL94" s="674"/>
      <c r="AM94" s="673"/>
      <c r="AN94" s="674"/>
      <c r="AO94" s="673"/>
      <c r="AP94" s="674"/>
      <c r="AQ94" s="673"/>
      <c r="AR94" s="674"/>
      <c r="AS94" s="673"/>
      <c r="AT94" s="674"/>
      <c r="AU94" s="673"/>
      <c r="AV94" s="674"/>
      <c r="AW94" s="51"/>
      <c r="AX94" s="664"/>
      <c r="AY94" s="51"/>
      <c r="AZ94" s="51"/>
      <c r="BA94" s="51"/>
      <c r="BB94" s="51"/>
      <c r="BC94" s="51"/>
      <c r="BD94" s="475"/>
      <c r="BE94" s="51"/>
      <c r="BF94" s="475"/>
      <c r="BG94" s="665"/>
    </row>
    <row r="95" spans="1:59" ht="72" customHeight="1" thickBot="1">
      <c r="A95" s="3737"/>
      <c r="B95" s="3738"/>
      <c r="C95" s="3736"/>
      <c r="D95" s="3738"/>
      <c r="E95" s="3733"/>
      <c r="F95" s="3735"/>
      <c r="G95" s="614">
        <v>182</v>
      </c>
      <c r="H95" s="2168" t="s">
        <v>710</v>
      </c>
      <c r="I95" s="614" t="s">
        <v>65</v>
      </c>
      <c r="J95" s="623">
        <v>1</v>
      </c>
      <c r="K95" s="2015">
        <v>0</v>
      </c>
      <c r="L95" s="614" t="s">
        <v>711</v>
      </c>
      <c r="M95" s="614">
        <v>101</v>
      </c>
      <c r="N95" s="612" t="s">
        <v>712</v>
      </c>
      <c r="O95" s="709">
        <v>1</v>
      </c>
      <c r="P95" s="774">
        <v>40000000</v>
      </c>
      <c r="Q95" s="612" t="s">
        <v>713</v>
      </c>
      <c r="R95" s="2073" t="s">
        <v>714</v>
      </c>
      <c r="S95" s="2168" t="s">
        <v>710</v>
      </c>
      <c r="T95" s="2307">
        <v>40000000</v>
      </c>
      <c r="U95" s="2286">
        <v>0</v>
      </c>
      <c r="V95" s="2286">
        <v>0</v>
      </c>
      <c r="W95" s="2176">
        <v>20</v>
      </c>
      <c r="X95" s="2168" t="s">
        <v>232</v>
      </c>
      <c r="Y95" s="623">
        <v>2732</v>
      </c>
      <c r="Z95" s="763">
        <v>2732</v>
      </c>
      <c r="AA95" s="623">
        <v>17360</v>
      </c>
      <c r="AB95" s="763">
        <v>17360</v>
      </c>
      <c r="AC95" s="623">
        <v>21116</v>
      </c>
      <c r="AD95" s="763">
        <v>21116</v>
      </c>
      <c r="AE95" s="623"/>
      <c r="AF95" s="763"/>
      <c r="AG95" s="623">
        <v>4451</v>
      </c>
      <c r="AH95" s="763">
        <v>4451</v>
      </c>
      <c r="AI95" s="623"/>
      <c r="AJ95" s="763"/>
      <c r="AK95" s="623">
        <v>247</v>
      </c>
      <c r="AL95" s="763">
        <v>247</v>
      </c>
      <c r="AM95" s="623">
        <v>217</v>
      </c>
      <c r="AN95" s="763">
        <v>217</v>
      </c>
      <c r="AO95" s="623">
        <v>60</v>
      </c>
      <c r="AP95" s="763">
        <v>60</v>
      </c>
      <c r="AQ95" s="623">
        <v>2484</v>
      </c>
      <c r="AR95" s="763">
        <v>2484</v>
      </c>
      <c r="AS95" s="623">
        <v>4575</v>
      </c>
      <c r="AT95" s="763">
        <v>4575</v>
      </c>
      <c r="AU95" s="623">
        <v>56</v>
      </c>
      <c r="AV95" s="763">
        <v>56</v>
      </c>
      <c r="AW95" s="614"/>
      <c r="AX95" s="775">
        <v>0</v>
      </c>
      <c r="AY95" s="614">
        <v>0</v>
      </c>
      <c r="AZ95" s="614"/>
      <c r="BA95" s="1954"/>
      <c r="BB95" s="1954"/>
      <c r="BC95" s="1953"/>
      <c r="BD95" s="1966"/>
      <c r="BE95" s="1953"/>
      <c r="BF95" s="1953"/>
      <c r="BG95" s="1954" t="s">
        <v>519</v>
      </c>
    </row>
    <row r="96" spans="1:59" ht="30.75" customHeight="1" thickBot="1">
      <c r="A96" s="3265" t="s">
        <v>96</v>
      </c>
      <c r="B96" s="3266"/>
      <c r="C96" s="3266"/>
      <c r="D96" s="3266"/>
      <c r="E96" s="3266"/>
      <c r="F96" s="3266"/>
      <c r="G96" s="3266"/>
      <c r="H96" s="3266"/>
      <c r="I96" s="3266"/>
      <c r="J96" s="3266"/>
      <c r="K96" s="3266"/>
      <c r="L96" s="3266"/>
      <c r="M96" s="3266"/>
      <c r="N96" s="3266"/>
      <c r="O96" s="3267"/>
      <c r="P96" s="776">
        <f>SUM(P8:P95)</f>
        <v>129442224490.84</v>
      </c>
      <c r="Q96" s="777"/>
      <c r="R96" s="2111"/>
      <c r="S96" s="2113"/>
      <c r="T96" s="2319">
        <f>SUM(T8:T95)</f>
        <v>129524353288.84</v>
      </c>
      <c r="U96" s="2320">
        <f>SUM(U8:U95)</f>
        <v>123896893052</v>
      </c>
      <c r="V96" s="2320">
        <f>SUM(V8:V95)</f>
        <v>123301130311.28</v>
      </c>
      <c r="W96" s="2287"/>
      <c r="X96" s="2290"/>
      <c r="Y96" s="79"/>
      <c r="Z96" s="779"/>
      <c r="AA96" s="79"/>
      <c r="AB96" s="779"/>
      <c r="AC96" s="79"/>
      <c r="AD96" s="779"/>
      <c r="AE96" s="79"/>
      <c r="AF96" s="779"/>
      <c r="AG96" s="79"/>
      <c r="AH96" s="779"/>
      <c r="AI96" s="79"/>
      <c r="AJ96" s="779"/>
      <c r="AK96" s="79"/>
      <c r="AL96" s="779"/>
      <c r="AM96" s="79"/>
      <c r="AN96" s="779"/>
      <c r="AO96" s="79"/>
      <c r="AP96" s="779"/>
      <c r="AQ96" s="79"/>
      <c r="AR96" s="779"/>
      <c r="AS96" s="79"/>
      <c r="AT96" s="779"/>
      <c r="AU96" s="79"/>
      <c r="AV96" s="779"/>
      <c r="AW96" s="79"/>
      <c r="AX96" s="776">
        <f>SUM(AX14:AX95)</f>
        <v>123896893050</v>
      </c>
      <c r="AY96" s="776">
        <f>SUM(AY14:AY95)</f>
        <v>123301130311</v>
      </c>
      <c r="AZ96" s="79"/>
      <c r="BA96" s="79"/>
      <c r="BB96" s="79"/>
      <c r="BC96" s="79"/>
      <c r="BD96" s="779"/>
      <c r="BE96" s="79"/>
      <c r="BF96" s="779"/>
      <c r="BG96" s="778"/>
    </row>
    <row r="97" spans="50:51" ht="18.75" customHeight="1">
      <c r="AX97" s="781"/>
      <c r="AY97" s="781"/>
    </row>
    <row r="98" spans="19:51" ht="30" customHeight="1">
      <c r="S98" s="2106"/>
      <c r="T98" s="2323"/>
      <c r="U98" s="2324"/>
      <c r="V98" s="2324"/>
      <c r="W98" s="2289"/>
      <c r="AX98" s="782"/>
      <c r="AY98" s="782"/>
    </row>
    <row r="99" spans="19:51" ht="14.25">
      <c r="S99" s="2114"/>
      <c r="T99" s="2325"/>
      <c r="U99" s="2326"/>
      <c r="V99" s="2326"/>
      <c r="W99" s="2289"/>
      <c r="AX99" s="783"/>
      <c r="AY99" s="20"/>
    </row>
    <row r="100" spans="17:51" ht="34.5" customHeight="1">
      <c r="Q100" s="780"/>
      <c r="S100" s="2114"/>
      <c r="T100" s="2874"/>
      <c r="U100" s="2324"/>
      <c r="V100" s="2796"/>
      <c r="W100" s="2289"/>
      <c r="AX100" s="783"/>
      <c r="AY100" s="20"/>
    </row>
    <row r="101" spans="19:23" ht="14.25">
      <c r="S101" s="2114"/>
      <c r="T101" s="2325"/>
      <c r="U101" s="2326"/>
      <c r="V101" s="2326"/>
      <c r="W101" s="2289"/>
    </row>
    <row r="102" spans="14:23" ht="30">
      <c r="N102" s="785" t="s">
        <v>715</v>
      </c>
      <c r="O102" s="786"/>
      <c r="S102" s="2114"/>
      <c r="T102" s="2326"/>
      <c r="U102" s="2326"/>
      <c r="V102" s="2326"/>
      <c r="W102" s="2289"/>
    </row>
    <row r="103" ht="14.25">
      <c r="N103" s="787" t="s">
        <v>716</v>
      </c>
    </row>
  </sheetData>
  <sheetProtection/>
  <mergeCells count="589">
    <mergeCell ref="A5:M6"/>
    <mergeCell ref="Q5:BG5"/>
    <mergeCell ref="Q6:AA6"/>
    <mergeCell ref="AB6:AY6"/>
    <mergeCell ref="BF6:BG6"/>
    <mergeCell ref="Y7:AJ7"/>
    <mergeCell ref="AK7:AV7"/>
    <mergeCell ref="D65:H65"/>
    <mergeCell ref="AW88:AW89"/>
    <mergeCell ref="BB83:BB86"/>
    <mergeCell ref="BB88:BB89"/>
    <mergeCell ref="G7:G9"/>
    <mergeCell ref="H7:H9"/>
    <mergeCell ref="I7:I9"/>
    <mergeCell ref="J7:K8"/>
    <mergeCell ref="L7:L9"/>
    <mergeCell ref="M7:M9"/>
    <mergeCell ref="T14:T17"/>
    <mergeCell ref="U14:U17"/>
    <mergeCell ref="V14:V17"/>
    <mergeCell ref="Y14:Y19"/>
    <mergeCell ref="Z14:Z19"/>
    <mergeCell ref="AA14:AA19"/>
    <mergeCell ref="N14:N19"/>
    <mergeCell ref="O14:O17"/>
    <mergeCell ref="P14:P19"/>
    <mergeCell ref="Q14:Q19"/>
    <mergeCell ref="R14:R17"/>
    <mergeCell ref="S14:S17"/>
    <mergeCell ref="N20:N21"/>
    <mergeCell ref="P20:P21"/>
    <mergeCell ref="Q20:Q21"/>
    <mergeCell ref="A1:BC4"/>
    <mergeCell ref="A7:A9"/>
    <mergeCell ref="B7:B9"/>
    <mergeCell ref="C7:C9"/>
    <mergeCell ref="D7:D9"/>
    <mergeCell ref="E7:E10"/>
    <mergeCell ref="F7:F9"/>
    <mergeCell ref="BC7:BD8"/>
    <mergeCell ref="A12:B95"/>
    <mergeCell ref="C13:D35"/>
    <mergeCell ref="E38:F45"/>
    <mergeCell ref="M38:M45"/>
    <mergeCell ref="E88:F89"/>
    <mergeCell ref="E91:F92"/>
    <mergeCell ref="M91:M92"/>
    <mergeCell ref="C79:D92"/>
    <mergeCell ref="T7:V8"/>
    <mergeCell ref="W7:W9"/>
    <mergeCell ref="X7:X9"/>
    <mergeCell ref="N7:N9"/>
    <mergeCell ref="O7:O9"/>
    <mergeCell ref="P7:P9"/>
    <mergeCell ref="Q7:Q10"/>
    <mergeCell ref="R7:R9"/>
    <mergeCell ref="S7:S9"/>
    <mergeCell ref="BG7:BG9"/>
    <mergeCell ref="Y8:Z8"/>
    <mergeCell ref="AA8:AB8"/>
    <mergeCell ref="AC8:AD8"/>
    <mergeCell ref="AE8:AF8"/>
    <mergeCell ref="AG8:AH8"/>
    <mergeCell ref="AI8:AJ8"/>
    <mergeCell ref="AK8:AL8"/>
    <mergeCell ref="AW7:BB7"/>
    <mergeCell ref="AM8:AN8"/>
    <mergeCell ref="AO8:AP8"/>
    <mergeCell ref="AQ8:AR8"/>
    <mergeCell ref="AS8:AT8"/>
    <mergeCell ref="BB8:BB9"/>
    <mergeCell ref="AU8:AV8"/>
    <mergeCell ref="AW8:AW9"/>
    <mergeCell ref="AX8:AX9"/>
    <mergeCell ref="AY8:AY9"/>
    <mergeCell ref="AZ8:AZ9"/>
    <mergeCell ref="BA8:BA9"/>
    <mergeCell ref="BE7:BF8"/>
    <mergeCell ref="E80:F81"/>
    <mergeCell ref="L80:L81"/>
    <mergeCell ref="M80:M81"/>
    <mergeCell ref="M20:M21"/>
    <mergeCell ref="E83:F86"/>
    <mergeCell ref="G83:G85"/>
    <mergeCell ref="H83:H85"/>
    <mergeCell ref="I83:I85"/>
    <mergeCell ref="J83:J85"/>
    <mergeCell ref="K83:K85"/>
    <mergeCell ref="M83:M85"/>
    <mergeCell ref="E14:F21"/>
    <mergeCell ref="G14:G17"/>
    <mergeCell ref="H14:H17"/>
    <mergeCell ref="I14:I17"/>
    <mergeCell ref="J14:J17"/>
    <mergeCell ref="K14:K17"/>
    <mergeCell ref="M14:M19"/>
    <mergeCell ref="L25:L26"/>
    <mergeCell ref="E23:F28"/>
    <mergeCell ref="L23:L24"/>
    <mergeCell ref="M23:M28"/>
    <mergeCell ref="BE20:BE21"/>
    <mergeCell ref="BF20:BF21"/>
    <mergeCell ref="BG20:BG21"/>
    <mergeCell ref="BD20:BD21"/>
    <mergeCell ref="C37:D64"/>
    <mergeCell ref="Y20:Y21"/>
    <mergeCell ref="Z20:Z21"/>
    <mergeCell ref="AZ14:AZ19"/>
    <mergeCell ref="BA14:BA19"/>
    <mergeCell ref="BB14:BB19"/>
    <mergeCell ref="AT14:AT19"/>
    <mergeCell ref="AU14:AU19"/>
    <mergeCell ref="AV14:AV19"/>
    <mergeCell ref="AW14:AW19"/>
    <mergeCell ref="AX14:AX19"/>
    <mergeCell ref="AY14:AY19"/>
    <mergeCell ref="AN14:AN19"/>
    <mergeCell ref="AO14:AO19"/>
    <mergeCell ref="AP14:AP19"/>
    <mergeCell ref="AQ14:AQ19"/>
    <mergeCell ref="AR14:AR19"/>
    <mergeCell ref="AS14:AS19"/>
    <mergeCell ref="AH14:AH19"/>
    <mergeCell ref="AI14:AI19"/>
    <mergeCell ref="BF14:BF19"/>
    <mergeCell ref="BG14:BG19"/>
    <mergeCell ref="W16:W17"/>
    <mergeCell ref="X16:X17"/>
    <mergeCell ref="BC14:BC19"/>
    <mergeCell ref="BD14:BD19"/>
    <mergeCell ref="BE14:BE19"/>
    <mergeCell ref="AK14:AK19"/>
    <mergeCell ref="AL14:AL19"/>
    <mergeCell ref="AM14:AM19"/>
    <mergeCell ref="AB14:AB19"/>
    <mergeCell ref="AC14:AC19"/>
    <mergeCell ref="AD14:AD19"/>
    <mergeCell ref="AE14:AE19"/>
    <mergeCell ref="AF14:AF19"/>
    <mergeCell ref="AG14:AG19"/>
    <mergeCell ref="AJ14:AJ19"/>
    <mergeCell ref="X23:X27"/>
    <mergeCell ref="BB20:BB21"/>
    <mergeCell ref="BC20:BC21"/>
    <mergeCell ref="AS20:AS21"/>
    <mergeCell ref="AT20:AT21"/>
    <mergeCell ref="AU20:AU21"/>
    <mergeCell ref="AV20:AV21"/>
    <mergeCell ref="AE20:AE21"/>
    <mergeCell ref="AF20:AF21"/>
    <mergeCell ref="AO20:AO21"/>
    <mergeCell ref="AP20:AP21"/>
    <mergeCell ref="AW20:AW21"/>
    <mergeCell ref="AX20:AX21"/>
    <mergeCell ref="AM20:AM21"/>
    <mergeCell ref="AN20:AN21"/>
    <mergeCell ref="AG20:AG21"/>
    <mergeCell ref="AH20:AH21"/>
    <mergeCell ref="AY20:AY21"/>
    <mergeCell ref="AZ20:AZ21"/>
    <mergeCell ref="BA20:BA21"/>
    <mergeCell ref="AD23:AD28"/>
    <mergeCell ref="AE23:AE28"/>
    <mergeCell ref="AF23:AF28"/>
    <mergeCell ref="AD20:AD21"/>
    <mergeCell ref="AA20:AA21"/>
    <mergeCell ref="AB20:AB21"/>
    <mergeCell ref="AC20:AC21"/>
    <mergeCell ref="AS23:AS28"/>
    <mergeCell ref="AT23:AT28"/>
    <mergeCell ref="AU23:AU28"/>
    <mergeCell ref="AI20:AI21"/>
    <mergeCell ref="AJ20:AJ21"/>
    <mergeCell ref="AK20:AK21"/>
    <mergeCell ref="AL20:AL21"/>
    <mergeCell ref="AQ20:AQ21"/>
    <mergeCell ref="AR20:AR21"/>
    <mergeCell ref="Y23:Y28"/>
    <mergeCell ref="Z23:Z28"/>
    <mergeCell ref="AA23:AA28"/>
    <mergeCell ref="AB23:AB28"/>
    <mergeCell ref="AC23:AC28"/>
    <mergeCell ref="AP23:AP28"/>
    <mergeCell ref="AQ23:AQ28"/>
    <mergeCell ref="AR23:AR28"/>
    <mergeCell ref="AJ23:AJ28"/>
    <mergeCell ref="AK23:AK28"/>
    <mergeCell ref="AL23:AL28"/>
    <mergeCell ref="AM23:AM28"/>
    <mergeCell ref="AN23:AN28"/>
    <mergeCell ref="AO23:AO28"/>
    <mergeCell ref="AG23:AG28"/>
    <mergeCell ref="AH23:AH28"/>
    <mergeCell ref="AI23:AI28"/>
    <mergeCell ref="BB23:BB28"/>
    <mergeCell ref="BC23:BC28"/>
    <mergeCell ref="BD23:BD28"/>
    <mergeCell ref="BE23:BE28"/>
    <mergeCell ref="BF23:BF28"/>
    <mergeCell ref="BG23:BG28"/>
    <mergeCell ref="AV23:AV28"/>
    <mergeCell ref="AW23:AW28"/>
    <mergeCell ref="AX23:AX28"/>
    <mergeCell ref="AY23:AY28"/>
    <mergeCell ref="AZ23:AZ28"/>
    <mergeCell ref="BA23:BA28"/>
    <mergeCell ref="W25:W28"/>
    <mergeCell ref="L27:L28"/>
    <mergeCell ref="E30:F35"/>
    <mergeCell ref="G31:G35"/>
    <mergeCell ref="H31:H35"/>
    <mergeCell ref="I31:I35"/>
    <mergeCell ref="J31:J35"/>
    <mergeCell ref="K31:K35"/>
    <mergeCell ref="M31:M35"/>
    <mergeCell ref="T31:T35"/>
    <mergeCell ref="U31:U35"/>
    <mergeCell ref="V31:V35"/>
    <mergeCell ref="W31:W35"/>
    <mergeCell ref="N23:N28"/>
    <mergeCell ref="P23:P28"/>
    <mergeCell ref="Q23:Q28"/>
    <mergeCell ref="W23:W24"/>
    <mergeCell ref="X31:X35"/>
    <mergeCell ref="Y31:Y35"/>
    <mergeCell ref="N31:N35"/>
    <mergeCell ref="O31:O35"/>
    <mergeCell ref="P31:P35"/>
    <mergeCell ref="Q31:Q35"/>
    <mergeCell ref="R31:R35"/>
    <mergeCell ref="S31:S35"/>
    <mergeCell ref="BG31:BG35"/>
    <mergeCell ref="Z31:Z35"/>
    <mergeCell ref="AA31:AA35"/>
    <mergeCell ref="AB31:AB35"/>
    <mergeCell ref="AC31:AC35"/>
    <mergeCell ref="AD31:AD35"/>
    <mergeCell ref="AE31:AE35"/>
    <mergeCell ref="BD31:BD35"/>
    <mergeCell ref="BE31:BE35"/>
    <mergeCell ref="BF31:BF35"/>
    <mergeCell ref="AQ31:AQ35"/>
    <mergeCell ref="AF31:AF35"/>
    <mergeCell ref="AG31:AG35"/>
    <mergeCell ref="AH31:AH35"/>
    <mergeCell ref="AI31:AI35"/>
    <mergeCell ref="AJ31:AJ35"/>
    <mergeCell ref="N38:N45"/>
    <mergeCell ref="P38:P45"/>
    <mergeCell ref="Q38:Q45"/>
    <mergeCell ref="AX31:AX35"/>
    <mergeCell ref="AY31:AY35"/>
    <mergeCell ref="AZ31:AZ35"/>
    <mergeCell ref="BA31:BA35"/>
    <mergeCell ref="BB31:BB35"/>
    <mergeCell ref="BC31:BC35"/>
    <mergeCell ref="AR31:AR35"/>
    <mergeCell ref="AS31:AS35"/>
    <mergeCell ref="AT31:AT35"/>
    <mergeCell ref="AU31:AU35"/>
    <mergeCell ref="AV31:AV35"/>
    <mergeCell ref="AW31:AW35"/>
    <mergeCell ref="AL31:AL35"/>
    <mergeCell ref="AM31:AM35"/>
    <mergeCell ref="AN31:AN35"/>
    <mergeCell ref="AO31:AO35"/>
    <mergeCell ref="AP31:AP35"/>
    <mergeCell ref="Y38:Y45"/>
    <mergeCell ref="Z38:Z45"/>
    <mergeCell ref="AA38:AA45"/>
    <mergeCell ref="AB38:AB45"/>
    <mergeCell ref="AM38:AM45"/>
    <mergeCell ref="AN38:AN45"/>
    <mergeCell ref="AO38:AO45"/>
    <mergeCell ref="AP38:AP45"/>
    <mergeCell ref="AE38:AE45"/>
    <mergeCell ref="AF38:AF45"/>
    <mergeCell ref="AG38:AG45"/>
    <mergeCell ref="AH38:AH45"/>
    <mergeCell ref="AI38:AI45"/>
    <mergeCell ref="AK31:AK35"/>
    <mergeCell ref="BC38:BC45"/>
    <mergeCell ref="BD38:BD45"/>
    <mergeCell ref="BE38:BE45"/>
    <mergeCell ref="BF38:BF45"/>
    <mergeCell ref="BG38:BG45"/>
    <mergeCell ref="E47:F56"/>
    <mergeCell ref="L47:L56"/>
    <mergeCell ref="M47:M56"/>
    <mergeCell ref="N47:N56"/>
    <mergeCell ref="P47:P56"/>
    <mergeCell ref="AW38:AW45"/>
    <mergeCell ref="AX38:AX45"/>
    <mergeCell ref="AY38:AY45"/>
    <mergeCell ref="AZ38:AZ45"/>
    <mergeCell ref="BA38:BA45"/>
    <mergeCell ref="BB38:BB45"/>
    <mergeCell ref="AQ38:AQ45"/>
    <mergeCell ref="AR38:AR45"/>
    <mergeCell ref="AS38:AS45"/>
    <mergeCell ref="AT38:AT45"/>
    <mergeCell ref="AU38:AU45"/>
    <mergeCell ref="AV38:AV45"/>
    <mergeCell ref="AK38:AK45"/>
    <mergeCell ref="AC38:AC45"/>
    <mergeCell ref="AL38:AL45"/>
    <mergeCell ref="AD47:AD56"/>
    <mergeCell ref="AE47:AE56"/>
    <mergeCell ref="AF47:AF56"/>
    <mergeCell ref="AG47:AG56"/>
    <mergeCell ref="AH47:AH56"/>
    <mergeCell ref="AI47:AI56"/>
    <mergeCell ref="Q47:Q56"/>
    <mergeCell ref="Y47:Y56"/>
    <mergeCell ref="Z47:Z56"/>
    <mergeCell ref="AA47:AA56"/>
    <mergeCell ref="AB47:AB56"/>
    <mergeCell ref="AC47:AC56"/>
    <mergeCell ref="AJ38:AJ45"/>
    <mergeCell ref="AD38:AD45"/>
    <mergeCell ref="AP47:AP56"/>
    <mergeCell ref="AQ47:AQ56"/>
    <mergeCell ref="AR47:AR56"/>
    <mergeCell ref="AS47:AS56"/>
    <mergeCell ref="AT47:AT56"/>
    <mergeCell ref="AU47:AU56"/>
    <mergeCell ref="AJ47:AJ56"/>
    <mergeCell ref="AK47:AK56"/>
    <mergeCell ref="AL47:AL56"/>
    <mergeCell ref="AM47:AM56"/>
    <mergeCell ref="AN47:AN56"/>
    <mergeCell ref="AO47:AO56"/>
    <mergeCell ref="BB47:BB56"/>
    <mergeCell ref="BC47:BC56"/>
    <mergeCell ref="BD47:BD56"/>
    <mergeCell ref="BE47:BE56"/>
    <mergeCell ref="BF47:BF56"/>
    <mergeCell ref="BG47:BG56"/>
    <mergeCell ref="AV47:AV56"/>
    <mergeCell ref="AW47:AW56"/>
    <mergeCell ref="AX47:AX56"/>
    <mergeCell ref="AY47:AY56"/>
    <mergeCell ref="AZ47:AZ56"/>
    <mergeCell ref="BA47:BA56"/>
    <mergeCell ref="Z58:Z61"/>
    <mergeCell ref="AA58:AA61"/>
    <mergeCell ref="AB58:AB61"/>
    <mergeCell ref="AC58:AC61"/>
    <mergeCell ref="AD58:AD61"/>
    <mergeCell ref="AE58:AE61"/>
    <mergeCell ref="E58:F62"/>
    <mergeCell ref="M58:M61"/>
    <mergeCell ref="N58:N61"/>
    <mergeCell ref="P58:P61"/>
    <mergeCell ref="Q58:Q61"/>
    <mergeCell ref="Y58:Y61"/>
    <mergeCell ref="AN58:AN61"/>
    <mergeCell ref="AO58:AO61"/>
    <mergeCell ref="AP58:AP61"/>
    <mergeCell ref="AQ58:AQ61"/>
    <mergeCell ref="AF58:AF61"/>
    <mergeCell ref="AG58:AG61"/>
    <mergeCell ref="AH58:AH61"/>
    <mergeCell ref="AI58:AI61"/>
    <mergeCell ref="AJ58:AJ61"/>
    <mergeCell ref="AK58:AK61"/>
    <mergeCell ref="BE58:BE61"/>
    <mergeCell ref="BG58:BG61"/>
    <mergeCell ref="E64:F64"/>
    <mergeCell ref="C66:D77"/>
    <mergeCell ref="E67:F71"/>
    <mergeCell ref="L67:L71"/>
    <mergeCell ref="M67:M71"/>
    <mergeCell ref="N67:N71"/>
    <mergeCell ref="P67:P71"/>
    <mergeCell ref="Q67:Q71"/>
    <mergeCell ref="AX58:AX61"/>
    <mergeCell ref="AY58:AY61"/>
    <mergeCell ref="AZ58:AZ61"/>
    <mergeCell ref="BA58:BA61"/>
    <mergeCell ref="BB58:BB61"/>
    <mergeCell ref="BC58:BC61"/>
    <mergeCell ref="AR58:AR61"/>
    <mergeCell ref="AS58:AS61"/>
    <mergeCell ref="AT58:AT61"/>
    <mergeCell ref="AU58:AU61"/>
    <mergeCell ref="AV58:AV61"/>
    <mergeCell ref="AW58:AW61"/>
    <mergeCell ref="AL58:AL61"/>
    <mergeCell ref="AM58:AM61"/>
    <mergeCell ref="BG67:BG71"/>
    <mergeCell ref="E73:F77"/>
    <mergeCell ref="M73:M77"/>
    <mergeCell ref="N73:N77"/>
    <mergeCell ref="P73:P77"/>
    <mergeCell ref="Q73:Q77"/>
    <mergeCell ref="AU67:AU71"/>
    <mergeCell ref="AV67:AV71"/>
    <mergeCell ref="AW67:AW71"/>
    <mergeCell ref="AX67:AX71"/>
    <mergeCell ref="AY67:AY71"/>
    <mergeCell ref="AZ67:AZ71"/>
    <mergeCell ref="AO67:AO71"/>
    <mergeCell ref="AP67:AP71"/>
    <mergeCell ref="AQ67:AQ71"/>
    <mergeCell ref="AR67:AR71"/>
    <mergeCell ref="AS67:AS71"/>
    <mergeCell ref="AT67:AT71"/>
    <mergeCell ref="AI67:AI71"/>
    <mergeCell ref="AJ67:AJ71"/>
    <mergeCell ref="AK67:AK71"/>
    <mergeCell ref="AL67:AL71"/>
    <mergeCell ref="AM67:AM71"/>
    <mergeCell ref="W67:W71"/>
    <mergeCell ref="X67:X71"/>
    <mergeCell ref="Y67:Y71"/>
    <mergeCell ref="Z67:Z71"/>
    <mergeCell ref="AA67:AA71"/>
    <mergeCell ref="AB67:AB71"/>
    <mergeCell ref="AL73:AL77"/>
    <mergeCell ref="AM73:AM77"/>
    <mergeCell ref="BE67:BE71"/>
    <mergeCell ref="BA67:BA71"/>
    <mergeCell ref="BB67:BB71"/>
    <mergeCell ref="BC67:BC71"/>
    <mergeCell ref="AN67:AN71"/>
    <mergeCell ref="AC67:AC71"/>
    <mergeCell ref="AD67:AD71"/>
    <mergeCell ref="AE67:AE71"/>
    <mergeCell ref="AF67:AF71"/>
    <mergeCell ref="AG67:AG71"/>
    <mergeCell ref="AH67:AH71"/>
    <mergeCell ref="BC73:BC77"/>
    <mergeCell ref="BE73:BE77"/>
    <mergeCell ref="AP73:AP77"/>
    <mergeCell ref="AQ73:AQ77"/>
    <mergeCell ref="AR73:AR77"/>
    <mergeCell ref="AS73:AS77"/>
    <mergeCell ref="AT73:AT77"/>
    <mergeCell ref="AU73:AU77"/>
    <mergeCell ref="AJ73:AJ77"/>
    <mergeCell ref="AK73:AK77"/>
    <mergeCell ref="AB80:AB81"/>
    <mergeCell ref="AN73:AN77"/>
    <mergeCell ref="AO73:AO77"/>
    <mergeCell ref="AD73:AD77"/>
    <mergeCell ref="AE73:AE77"/>
    <mergeCell ref="AF73:AF77"/>
    <mergeCell ref="AG73:AG77"/>
    <mergeCell ref="R73:R77"/>
    <mergeCell ref="Y73:Y77"/>
    <mergeCell ref="Z73:Z77"/>
    <mergeCell ref="AA73:AA77"/>
    <mergeCell ref="AB73:AB77"/>
    <mergeCell ref="AC73:AC77"/>
    <mergeCell ref="AK80:AK81"/>
    <mergeCell ref="AL80:AL81"/>
    <mergeCell ref="AM80:AM81"/>
    <mergeCell ref="AF80:AF81"/>
    <mergeCell ref="AG80:AG81"/>
    <mergeCell ref="Z80:Z81"/>
    <mergeCell ref="AA80:AA81"/>
    <mergeCell ref="W80:W81"/>
    <mergeCell ref="X80:X81"/>
    <mergeCell ref="Y80:Y81"/>
    <mergeCell ref="BG73:BG77"/>
    <mergeCell ref="AY73:AY77"/>
    <mergeCell ref="AZ73:AZ77"/>
    <mergeCell ref="BA73:BA77"/>
    <mergeCell ref="AH73:AH77"/>
    <mergeCell ref="AI73:AI77"/>
    <mergeCell ref="BB73:BB77"/>
    <mergeCell ref="AV80:AV81"/>
    <mergeCell ref="AW80:AW81"/>
    <mergeCell ref="AX80:AX81"/>
    <mergeCell ref="AY80:AY81"/>
    <mergeCell ref="AN80:AN81"/>
    <mergeCell ref="AO80:AO81"/>
    <mergeCell ref="AP80:AP81"/>
    <mergeCell ref="AQ80:AQ81"/>
    <mergeCell ref="AR80:AR81"/>
    <mergeCell ref="AS80:AS81"/>
    <mergeCell ref="BF80:BF81"/>
    <mergeCell ref="BG80:BG81"/>
    <mergeCell ref="BD80:BD81"/>
    <mergeCell ref="BE80:BE81"/>
    <mergeCell ref="AV73:AV77"/>
    <mergeCell ref="AW73:AW77"/>
    <mergeCell ref="AX73:AX77"/>
    <mergeCell ref="N83:N85"/>
    <mergeCell ref="AZ80:AZ81"/>
    <mergeCell ref="BA80:BA81"/>
    <mergeCell ref="BB80:BB81"/>
    <mergeCell ref="BC80:BC81"/>
    <mergeCell ref="AT80:AT81"/>
    <mergeCell ref="AU80:AU81"/>
    <mergeCell ref="AH80:AH81"/>
    <mergeCell ref="AI80:AI81"/>
    <mergeCell ref="AJ80:AJ81"/>
    <mergeCell ref="AC80:AC81"/>
    <mergeCell ref="AD80:AD81"/>
    <mergeCell ref="AE80:AE81"/>
    <mergeCell ref="N80:N81"/>
    <mergeCell ref="P80:P81"/>
    <mergeCell ref="Q80:Q81"/>
    <mergeCell ref="Z91:Z92"/>
    <mergeCell ref="U83:U85"/>
    <mergeCell ref="V83:V85"/>
    <mergeCell ref="Y83:Y85"/>
    <mergeCell ref="Z83:Z85"/>
    <mergeCell ref="AA83:AA85"/>
    <mergeCell ref="AB83:AB85"/>
    <mergeCell ref="O83:O85"/>
    <mergeCell ref="P83:P85"/>
    <mergeCell ref="Q83:Q86"/>
    <mergeCell ref="R83:R86"/>
    <mergeCell ref="S83:S86"/>
    <mergeCell ref="T83:T85"/>
    <mergeCell ref="BG83:BG85"/>
    <mergeCell ref="W84:W85"/>
    <mergeCell ref="X84:X85"/>
    <mergeCell ref="BC83:BC85"/>
    <mergeCell ref="BD83:BD85"/>
    <mergeCell ref="BE83:BE85"/>
    <mergeCell ref="BF83:BF85"/>
    <mergeCell ref="AL83:AL85"/>
    <mergeCell ref="AM83:AM85"/>
    <mergeCell ref="AN83:AN85"/>
    <mergeCell ref="AC83:AC85"/>
    <mergeCell ref="AD83:AD85"/>
    <mergeCell ref="AE83:AE85"/>
    <mergeCell ref="AF83:AF85"/>
    <mergeCell ref="AG83:AG85"/>
    <mergeCell ref="AH83:AH85"/>
    <mergeCell ref="BA83:BA85"/>
    <mergeCell ref="AU83:AU85"/>
    <mergeCell ref="AV83:AV85"/>
    <mergeCell ref="AW83:AW85"/>
    <mergeCell ref="AX83:AX85"/>
    <mergeCell ref="AY83:AY85"/>
    <mergeCell ref="AZ83:AZ85"/>
    <mergeCell ref="BG91:BG92"/>
    <mergeCell ref="C94:D95"/>
    <mergeCell ref="E95:F95"/>
    <mergeCell ref="AQ91:AQ92"/>
    <mergeCell ref="AR91:AR92"/>
    <mergeCell ref="AS91:AS92"/>
    <mergeCell ref="AT91:AT92"/>
    <mergeCell ref="AU91:AU92"/>
    <mergeCell ref="AV91:AV92"/>
    <mergeCell ref="AK91:AK92"/>
    <mergeCell ref="AL91:AL92"/>
    <mergeCell ref="AM91:AM92"/>
    <mergeCell ref="AN91:AN92"/>
    <mergeCell ref="AO91:AO92"/>
    <mergeCell ref="AP91:AP92"/>
    <mergeCell ref="AE91:AE92"/>
    <mergeCell ref="AF91:AF92"/>
    <mergeCell ref="AG91:AG92"/>
    <mergeCell ref="AH91:AH92"/>
    <mergeCell ref="AI91:AI92"/>
    <mergeCell ref="AA91:AA92"/>
    <mergeCell ref="AB91:AB92"/>
    <mergeCell ref="AC91:AC92"/>
    <mergeCell ref="AD91:AD92"/>
    <mergeCell ref="A96:O96"/>
    <mergeCell ref="BD58:BD61"/>
    <mergeCell ref="BF58:BF61"/>
    <mergeCell ref="BD67:BD71"/>
    <mergeCell ref="BF67:BF71"/>
    <mergeCell ref="BF73:BF77"/>
    <mergeCell ref="BD73:BD77"/>
    <mergeCell ref="BE91:BE92"/>
    <mergeCell ref="BF91:BF92"/>
    <mergeCell ref="N91:N92"/>
    <mergeCell ref="P91:P92"/>
    <mergeCell ref="Q91:Q92"/>
    <mergeCell ref="R91:R92"/>
    <mergeCell ref="AO83:AO85"/>
    <mergeCell ref="AP83:AP85"/>
    <mergeCell ref="AQ83:AQ85"/>
    <mergeCell ref="AR83:AR85"/>
    <mergeCell ref="AS83:AS85"/>
    <mergeCell ref="AT83:AT85"/>
    <mergeCell ref="AI83:AI85"/>
    <mergeCell ref="AJ83:AJ85"/>
    <mergeCell ref="AK83:AK85"/>
    <mergeCell ref="AJ91:AJ92"/>
    <mergeCell ref="Y91:Y92"/>
  </mergeCells>
  <printOptions/>
  <pageMargins left="0.7" right="0.7" top="0.75" bottom="0.75" header="0.3" footer="0.3"/>
  <pageSetup horizontalDpi="600" verticalDpi="600" orientation="portrait" r:id="rId2"/>
  <colBreaks count="2" manualBreakCount="2">
    <brk id="18" max="102" man="1"/>
    <brk id="22" max="65535" man="1"/>
  </colBreaks>
  <drawing r:id="rId1"/>
</worksheet>
</file>

<file path=xl/worksheets/sheet11.xml><?xml version="1.0" encoding="utf-8"?>
<worksheet xmlns="http://schemas.openxmlformats.org/spreadsheetml/2006/main" xmlns:r="http://schemas.openxmlformats.org/officeDocument/2006/relationships">
  <dimension ref="A1:BG128"/>
  <sheetViews>
    <sheetView zoomScale="70" zoomScaleNormal="70" zoomScaleSheetLayoutView="68" zoomScalePageLayoutView="0" workbookViewId="0" topLeftCell="AR1">
      <selection activeCell="BH1" sqref="BH1"/>
    </sheetView>
  </sheetViews>
  <sheetFormatPr defaultColWidth="11.421875" defaultRowHeight="15"/>
  <cols>
    <col min="1" max="1" width="13.57421875" style="4" customWidth="1"/>
    <col min="2" max="2" width="19.00390625" style="4" customWidth="1"/>
    <col min="3" max="3" width="13.57421875" style="4" customWidth="1"/>
    <col min="4" max="4" width="19.7109375" style="4" customWidth="1"/>
    <col min="5" max="5" width="13.57421875" style="4" customWidth="1"/>
    <col min="6" max="6" width="14.7109375" style="2353" customWidth="1"/>
    <col min="7" max="7" width="14.7109375" style="4" customWidth="1"/>
    <col min="8" max="8" width="30.00390625" style="4" customWidth="1"/>
    <col min="9" max="9" width="29.421875" style="4" customWidth="1"/>
    <col min="10" max="10" width="11.421875" style="4" customWidth="1"/>
    <col min="11" max="11" width="11.421875" style="125" customWidth="1"/>
    <col min="12" max="12" width="32.28125" style="4" customWidth="1"/>
    <col min="13" max="13" width="12.00390625" style="4" customWidth="1"/>
    <col min="14" max="14" width="28.140625" style="4" customWidth="1"/>
    <col min="15" max="15" width="11.421875" style="4" customWidth="1"/>
    <col min="16" max="16" width="24.7109375" style="780" customWidth="1"/>
    <col min="17" max="17" width="36.421875" style="4" customWidth="1"/>
    <col min="18" max="18" width="46.7109375" style="4" customWidth="1"/>
    <col min="19" max="19" width="35.140625" style="4" customWidth="1"/>
    <col min="20" max="20" width="25.421875" style="780" customWidth="1"/>
    <col min="21" max="21" width="25.421875" style="788" customWidth="1"/>
    <col min="22" max="22" width="24.28125" style="788" customWidth="1"/>
    <col min="23" max="23" width="9.8515625" style="4" bestFit="1" customWidth="1"/>
    <col min="24" max="24" width="18.7109375" style="4" customWidth="1"/>
    <col min="25" max="25" width="7.00390625" style="4" customWidth="1"/>
    <col min="26" max="26" width="7.00390625" style="125" customWidth="1"/>
    <col min="27" max="27" width="7.00390625" style="4" customWidth="1"/>
    <col min="28" max="28" width="8.421875" style="125" customWidth="1"/>
    <col min="29" max="29" width="8.421875" style="4" customWidth="1"/>
    <col min="30" max="30" width="8.421875" style="125" customWidth="1"/>
    <col min="31" max="31" width="8.28125" style="4" customWidth="1"/>
    <col min="32" max="32" width="8.28125" style="125" customWidth="1"/>
    <col min="33" max="33" width="8.421875" style="4" customWidth="1"/>
    <col min="34" max="34" width="8.28125" style="125" customWidth="1"/>
    <col min="35" max="35" width="9.57421875" style="4" customWidth="1"/>
    <col min="36" max="36" width="9.57421875" style="125" customWidth="1"/>
    <col min="37" max="37" width="8.421875" style="4" customWidth="1"/>
    <col min="38" max="38" width="5.8515625" style="125" customWidth="1"/>
    <col min="39" max="39" width="5.8515625" style="4" customWidth="1"/>
    <col min="40" max="40" width="5.8515625" style="125" customWidth="1"/>
    <col min="41" max="41" width="3.8515625" style="4" customWidth="1"/>
    <col min="42" max="42" width="3.8515625" style="125" customWidth="1"/>
    <col min="43" max="43" width="3.8515625" style="4" customWidth="1"/>
    <col min="44" max="44" width="3.8515625" style="125" customWidth="1"/>
    <col min="45" max="45" width="3.8515625" style="4" customWidth="1"/>
    <col min="46" max="46" width="3.140625" style="125" bestFit="1" customWidth="1"/>
    <col min="47" max="47" width="3.7109375" style="4" customWidth="1"/>
    <col min="48" max="48" width="3.140625" style="125" bestFit="1" customWidth="1"/>
    <col min="49" max="49" width="16.421875" style="4" customWidth="1"/>
    <col min="50" max="54" width="22.00390625" style="4" customWidth="1"/>
    <col min="55" max="55" width="18.00390625" style="4" customWidth="1"/>
    <col min="56" max="56" width="18.00390625" style="125" customWidth="1"/>
    <col min="57" max="57" width="21.421875" style="4" customWidth="1"/>
    <col min="58" max="58" width="21.421875" style="125" customWidth="1"/>
    <col min="59" max="59" width="34.28125" style="4" customWidth="1"/>
    <col min="60" max="16384" width="11.421875" style="4" customWidth="1"/>
  </cols>
  <sheetData>
    <row r="1" spans="1:59" ht="15">
      <c r="A1" s="3047" t="s">
        <v>111</v>
      </c>
      <c r="B1" s="3047"/>
      <c r="C1" s="3047"/>
      <c r="D1" s="3047"/>
      <c r="E1" s="3047"/>
      <c r="F1" s="3047"/>
      <c r="G1" s="3047"/>
      <c r="H1" s="3047"/>
      <c r="I1" s="3047"/>
      <c r="J1" s="3047"/>
      <c r="K1" s="3047"/>
      <c r="L1" s="3047"/>
      <c r="M1" s="3047"/>
      <c r="N1" s="3047"/>
      <c r="O1" s="3047"/>
      <c r="P1" s="3047"/>
      <c r="Q1" s="3047"/>
      <c r="R1" s="3047"/>
      <c r="S1" s="3047"/>
      <c r="T1" s="3047"/>
      <c r="U1" s="3047"/>
      <c r="V1" s="3047"/>
      <c r="W1" s="3047"/>
      <c r="X1" s="3047"/>
      <c r="Y1" s="3047"/>
      <c r="Z1" s="3047"/>
      <c r="AA1" s="3047"/>
      <c r="AB1" s="3047"/>
      <c r="AC1" s="3047"/>
      <c r="AD1" s="3047"/>
      <c r="AE1" s="3047"/>
      <c r="AF1" s="3047"/>
      <c r="AG1" s="3047"/>
      <c r="AH1" s="3047"/>
      <c r="AI1" s="3047"/>
      <c r="AJ1" s="3047"/>
      <c r="AK1" s="3047"/>
      <c r="AL1" s="3047"/>
      <c r="AM1" s="3047"/>
      <c r="AN1" s="3047"/>
      <c r="AO1" s="3047"/>
      <c r="AP1" s="3047"/>
      <c r="AQ1" s="3047"/>
      <c r="AR1" s="3047"/>
      <c r="AS1" s="3047"/>
      <c r="AT1" s="3047"/>
      <c r="AU1" s="3047"/>
      <c r="AV1" s="3047"/>
      <c r="AW1" s="3047"/>
      <c r="AX1" s="3047"/>
      <c r="AY1" s="3047"/>
      <c r="AZ1" s="3047"/>
      <c r="BA1" s="3047"/>
      <c r="BB1" s="3047"/>
      <c r="BC1"/>
      <c r="BD1" s="174"/>
      <c r="BF1" s="2633" t="s">
        <v>97</v>
      </c>
      <c r="BG1" s="2633" t="s">
        <v>112</v>
      </c>
    </row>
    <row r="2" spans="1:59" ht="15">
      <c r="A2" s="3047"/>
      <c r="B2" s="3047"/>
      <c r="C2" s="3047"/>
      <c r="D2" s="3047"/>
      <c r="E2" s="3047"/>
      <c r="F2" s="3047"/>
      <c r="G2" s="3047"/>
      <c r="H2" s="3047"/>
      <c r="I2" s="3047"/>
      <c r="J2" s="3047"/>
      <c r="K2" s="3047"/>
      <c r="L2" s="3047"/>
      <c r="M2" s="3047"/>
      <c r="N2" s="3047"/>
      <c r="O2" s="3047"/>
      <c r="P2" s="3047"/>
      <c r="Q2" s="3047"/>
      <c r="R2" s="3047"/>
      <c r="S2" s="3047"/>
      <c r="T2" s="3047"/>
      <c r="U2" s="3047"/>
      <c r="V2" s="3047"/>
      <c r="W2" s="3047"/>
      <c r="X2" s="3047"/>
      <c r="Y2" s="3047"/>
      <c r="Z2" s="3047"/>
      <c r="AA2" s="3047"/>
      <c r="AB2" s="3047"/>
      <c r="AC2" s="3047"/>
      <c r="AD2" s="3047"/>
      <c r="AE2" s="3047"/>
      <c r="AF2" s="3047"/>
      <c r="AG2" s="3047"/>
      <c r="AH2" s="3047"/>
      <c r="AI2" s="3047"/>
      <c r="AJ2" s="3047"/>
      <c r="AK2" s="3047"/>
      <c r="AL2" s="3047"/>
      <c r="AM2" s="3047"/>
      <c r="AN2" s="3047"/>
      <c r="AO2" s="3047"/>
      <c r="AP2" s="3047"/>
      <c r="AQ2" s="3047"/>
      <c r="AR2" s="3047"/>
      <c r="AS2" s="3047"/>
      <c r="AT2" s="3047"/>
      <c r="AU2" s="3047"/>
      <c r="AV2" s="3047"/>
      <c r="AW2" s="3047"/>
      <c r="AX2" s="3047"/>
      <c r="AY2" s="3047"/>
      <c r="AZ2" s="3047"/>
      <c r="BA2" s="3047"/>
      <c r="BB2" s="3047"/>
      <c r="BC2"/>
      <c r="BD2" s="174"/>
      <c r="BF2" s="2634" t="s">
        <v>98</v>
      </c>
      <c r="BG2" s="2635">
        <v>5</v>
      </c>
    </row>
    <row r="3" spans="1:59" ht="15">
      <c r="A3" s="3047"/>
      <c r="B3" s="3047"/>
      <c r="C3" s="3047"/>
      <c r="D3" s="3047"/>
      <c r="E3" s="3047"/>
      <c r="F3" s="3047"/>
      <c r="G3" s="3047"/>
      <c r="H3" s="3047"/>
      <c r="I3" s="3047"/>
      <c r="J3" s="3047"/>
      <c r="K3" s="3047"/>
      <c r="L3" s="3047"/>
      <c r="M3" s="3047"/>
      <c r="N3" s="3047"/>
      <c r="O3" s="3047"/>
      <c r="P3" s="3047"/>
      <c r="Q3" s="3047"/>
      <c r="R3" s="3047"/>
      <c r="S3" s="3047"/>
      <c r="T3" s="3047"/>
      <c r="U3" s="3047"/>
      <c r="V3" s="3047"/>
      <c r="W3" s="3047"/>
      <c r="X3" s="3047"/>
      <c r="Y3" s="3047"/>
      <c r="Z3" s="3047"/>
      <c r="AA3" s="3047"/>
      <c r="AB3" s="3047"/>
      <c r="AC3" s="3047"/>
      <c r="AD3" s="3047"/>
      <c r="AE3" s="3047"/>
      <c r="AF3" s="3047"/>
      <c r="AG3" s="3047"/>
      <c r="AH3" s="3047"/>
      <c r="AI3" s="3047"/>
      <c r="AJ3" s="3047"/>
      <c r="AK3" s="3047"/>
      <c r="AL3" s="3047"/>
      <c r="AM3" s="3047"/>
      <c r="AN3" s="3047"/>
      <c r="AO3" s="3047"/>
      <c r="AP3" s="3047"/>
      <c r="AQ3" s="3047"/>
      <c r="AR3" s="3047"/>
      <c r="AS3" s="3047"/>
      <c r="AT3" s="3047"/>
      <c r="AU3" s="3047"/>
      <c r="AV3" s="3047"/>
      <c r="AW3" s="3047"/>
      <c r="AX3" s="3047"/>
      <c r="AY3" s="3047"/>
      <c r="AZ3" s="3047"/>
      <c r="BA3" s="3047"/>
      <c r="BB3" s="3047"/>
      <c r="BC3"/>
      <c r="BD3" s="174"/>
      <c r="BF3" s="2633" t="s">
        <v>99</v>
      </c>
      <c r="BG3" s="2636" t="s">
        <v>2149</v>
      </c>
    </row>
    <row r="4" spans="1:59" s="24" customFormat="1" ht="15">
      <c r="A4" s="3048"/>
      <c r="B4" s="3048"/>
      <c r="C4" s="3048"/>
      <c r="D4" s="3048"/>
      <c r="E4" s="3048"/>
      <c r="F4" s="3048"/>
      <c r="G4" s="3048"/>
      <c r="H4" s="3048"/>
      <c r="I4" s="3048"/>
      <c r="J4" s="3048"/>
      <c r="K4" s="3048"/>
      <c r="L4" s="3048"/>
      <c r="M4" s="3048"/>
      <c r="N4" s="3048"/>
      <c r="O4" s="3048"/>
      <c r="P4" s="3048"/>
      <c r="Q4" s="3048"/>
      <c r="R4" s="3048"/>
      <c r="S4" s="3048"/>
      <c r="T4" s="3048"/>
      <c r="U4" s="3048"/>
      <c r="V4" s="3048"/>
      <c r="W4" s="3048"/>
      <c r="X4" s="3048"/>
      <c r="Y4" s="3048"/>
      <c r="Z4" s="3048"/>
      <c r="AA4" s="3048"/>
      <c r="AB4" s="3048"/>
      <c r="AC4" s="3048"/>
      <c r="AD4" s="3048"/>
      <c r="AE4" s="3048"/>
      <c r="AF4" s="3048"/>
      <c r="AG4" s="3048"/>
      <c r="AH4" s="3048"/>
      <c r="AI4" s="3048"/>
      <c r="AJ4" s="3048"/>
      <c r="AK4" s="3048"/>
      <c r="AL4" s="3048"/>
      <c r="AM4" s="3048"/>
      <c r="AN4" s="3048"/>
      <c r="AO4" s="3048"/>
      <c r="AP4" s="3048"/>
      <c r="AQ4" s="3048"/>
      <c r="AR4" s="3048"/>
      <c r="AS4" s="3048"/>
      <c r="AT4" s="3048"/>
      <c r="AU4" s="3048"/>
      <c r="AV4" s="3048"/>
      <c r="AW4" s="3048"/>
      <c r="AX4" s="3048"/>
      <c r="AY4" s="3048"/>
      <c r="AZ4" s="3048"/>
      <c r="BA4" s="3048"/>
      <c r="BB4" s="3048"/>
      <c r="BC4"/>
      <c r="BD4" s="175"/>
      <c r="BF4" s="842" t="s">
        <v>100</v>
      </c>
      <c r="BG4" s="2637" t="s">
        <v>113</v>
      </c>
    </row>
    <row r="5" spans="1:59" ht="15">
      <c r="A5" s="3049" t="s">
        <v>0</v>
      </c>
      <c r="B5" s="3049"/>
      <c r="C5" s="3049"/>
      <c r="D5" s="3049"/>
      <c r="E5" s="3049"/>
      <c r="F5" s="3049"/>
      <c r="G5" s="3049"/>
      <c r="H5" s="3049"/>
      <c r="I5" s="3049"/>
      <c r="J5" s="3049"/>
      <c r="K5" s="3049"/>
      <c r="L5" s="3049"/>
      <c r="M5" s="3049"/>
      <c r="N5" s="2834"/>
      <c r="O5" s="2834"/>
      <c r="P5" s="2834"/>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row>
    <row r="6" spans="1:59" ht="14.25" customHeight="1" thickBot="1">
      <c r="A6" s="3049"/>
      <c r="B6" s="3049"/>
      <c r="C6" s="3049"/>
      <c r="D6" s="3049"/>
      <c r="E6" s="3049"/>
      <c r="F6" s="3049"/>
      <c r="G6" s="3049"/>
      <c r="H6" s="3049"/>
      <c r="I6" s="3049"/>
      <c r="J6" s="3049"/>
      <c r="K6" s="3049"/>
      <c r="L6" s="3049"/>
      <c r="M6" s="3049"/>
      <c r="N6" s="2834"/>
      <c r="O6" s="2834"/>
      <c r="P6" s="2835"/>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2836"/>
      <c r="BA6" s="2836"/>
      <c r="BB6" s="2836"/>
      <c r="BC6" s="2836"/>
      <c r="BD6" s="2836"/>
      <c r="BE6" s="2836"/>
      <c r="BF6" s="3050"/>
      <c r="BG6" s="3051"/>
    </row>
    <row r="7" spans="1:59" ht="30">
      <c r="A7" s="3441" t="s">
        <v>3</v>
      </c>
      <c r="B7" t="s">
        <v>4</v>
      </c>
      <c r="C7" t="s">
        <v>3</v>
      </c>
      <c r="D7" t="s">
        <v>5</v>
      </c>
      <c r="E7" t="s">
        <v>3</v>
      </c>
      <c r="F7" t="s">
        <v>6</v>
      </c>
      <c r="G7" t="s">
        <v>3</v>
      </c>
      <c r="H7" t="s">
        <v>7</v>
      </c>
      <c r="I7" t="s">
        <v>8</v>
      </c>
      <c r="J7" s="3440" t="s">
        <v>9</v>
      </c>
      <c r="K7" s="3441"/>
      <c r="L7" t="s">
        <v>10</v>
      </c>
      <c r="M7" t="s">
        <v>37</v>
      </c>
      <c r="N7" t="s">
        <v>1</v>
      </c>
      <c r="O7" t="s">
        <v>11</v>
      </c>
      <c r="P7" t="s">
        <v>12</v>
      </c>
      <c r="Q7" t="s">
        <v>13</v>
      </c>
      <c r="R7" t="s">
        <v>14</v>
      </c>
      <c r="S7" t="s">
        <v>15</v>
      </c>
      <c r="T7" t="s">
        <v>12</v>
      </c>
      <c r="U7"/>
      <c r="V7"/>
      <c r="W7" s="2183" t="s">
        <v>3</v>
      </c>
      <c r="X7" s="2183" t="s">
        <v>16</v>
      </c>
      <c r="Y7" t="s">
        <v>17</v>
      </c>
      <c r="Z7"/>
      <c r="AA7"/>
      <c r="AB7"/>
      <c r="AC7"/>
      <c r="AD7"/>
      <c r="AE7"/>
      <c r="AF7"/>
      <c r="AG7"/>
      <c r="AH7"/>
      <c r="AI7"/>
      <c r="AJ7"/>
      <c r="AK7" t="s">
        <v>18</v>
      </c>
      <c r="AL7"/>
      <c r="AM7"/>
      <c r="AN7"/>
      <c r="AO7"/>
      <c r="AP7"/>
      <c r="AQ7"/>
      <c r="AR7"/>
      <c r="AS7"/>
      <c r="AT7"/>
      <c r="AU7"/>
      <c r="AV7"/>
      <c r="AW7" s="3314" t="s">
        <v>119</v>
      </c>
      <c r="AX7" s="3315"/>
      <c r="AY7" s="3315"/>
      <c r="AZ7" s="3315"/>
      <c r="BA7" s="3315"/>
      <c r="BB7" s="3316"/>
      <c r="BC7" s="3337" t="s">
        <v>19</v>
      </c>
      <c r="BD7" s="3338"/>
      <c r="BE7" s="3337" t="s">
        <v>20</v>
      </c>
      <c r="BF7" s="3338"/>
      <c r="BG7" t="s">
        <v>21</v>
      </c>
    </row>
    <row r="8" spans="1:59" ht="28.5" customHeight="1">
      <c r="A8"/>
      <c r="B8"/>
      <c r="C8"/>
      <c r="D8"/>
      <c r="E8"/>
      <c r="F8"/>
      <c r="G8"/>
      <c r="H8"/>
      <c r="I8"/>
      <c r="J8"/>
      <c r="K8"/>
      <c r="L8"/>
      <c r="M8"/>
      <c r="N8"/>
      <c r="O8"/>
      <c r="P8"/>
      <c r="Q8"/>
      <c r="R8"/>
      <c r="S8"/>
      <c r="T8"/>
      <c r="U8"/>
      <c r="V8"/>
      <c r="W8" s="2184"/>
      <c r="X8" s="2184"/>
      <c r="Y8" s="3440" t="s">
        <v>22</v>
      </c>
      <c r="Z8" s="3441"/>
      <c r="AA8" t="s">
        <v>23</v>
      </c>
      <c r="AB8"/>
      <c r="AC8" s="3440" t="s">
        <v>24</v>
      </c>
      <c r="AD8" s="3441"/>
      <c r="AE8" s="3440" t="s">
        <v>25</v>
      </c>
      <c r="AF8" s="3441"/>
      <c r="AG8" s="3440" t="s">
        <v>26</v>
      </c>
      <c r="AH8" s="3441"/>
      <c r="AI8" s="3440" t="s">
        <v>27</v>
      </c>
      <c r="AJ8" s="3441"/>
      <c r="AK8" s="3440" t="s">
        <v>28</v>
      </c>
      <c r="AL8" s="3441"/>
      <c r="AM8" s="3440" t="s">
        <v>29</v>
      </c>
      <c r="AN8" s="3441"/>
      <c r="AO8" s="3440" t="s">
        <v>30</v>
      </c>
      <c r="AP8" s="3441"/>
      <c r="AQ8" s="3440" t="s">
        <v>31</v>
      </c>
      <c r="AR8" s="3441"/>
      <c r="AS8" s="3440" t="s">
        <v>32</v>
      </c>
      <c r="AT8" s="3441"/>
      <c r="AU8" s="3443" t="s">
        <v>33</v>
      </c>
      <c r="AV8" s="3443"/>
      <c r="AW8" s="3031" t="s">
        <v>116</v>
      </c>
      <c r="AX8" s="3032" t="s">
        <v>120</v>
      </c>
      <c r="AY8" s="3031" t="s">
        <v>121</v>
      </c>
      <c r="AZ8" s="3033" t="s">
        <v>117</v>
      </c>
      <c r="BA8" s="3031" t="s">
        <v>118</v>
      </c>
      <c r="BB8" s="3026" t="s">
        <v>122</v>
      </c>
      <c r="BC8" s="3339"/>
      <c r="BD8" s="3340"/>
      <c r="BE8" s="3339"/>
      <c r="BF8" s="3340"/>
      <c r="BG8"/>
    </row>
    <row r="9" spans="1:59" ht="29.25" customHeight="1" thickBot="1">
      <c r="A9"/>
      <c r="B9"/>
      <c r="C9"/>
      <c r="D9"/>
      <c r="E9"/>
      <c r="F9"/>
      <c r="G9"/>
      <c r="H9"/>
      <c r="I9"/>
      <c r="J9" s="2403" t="s">
        <v>109</v>
      </c>
      <c r="K9" s="2185" t="s">
        <v>107</v>
      </c>
      <c r="L9"/>
      <c r="M9"/>
      <c r="N9"/>
      <c r="O9"/>
      <c r="P9"/>
      <c r="Q9"/>
      <c r="R9"/>
      <c r="S9"/>
      <c r="T9" s="2342" t="s">
        <v>105</v>
      </c>
      <c r="U9" s="2369" t="s">
        <v>115</v>
      </c>
      <c r="V9" s="2369" t="s">
        <v>114</v>
      </c>
      <c r="W9" s="2184"/>
      <c r="X9" s="2184"/>
      <c r="Y9" s="2403" t="s">
        <v>109</v>
      </c>
      <c r="Z9" s="2185" t="s">
        <v>107</v>
      </c>
      <c r="AA9" s="2403" t="s">
        <v>109</v>
      </c>
      <c r="AB9" s="2185" t="s">
        <v>107</v>
      </c>
      <c r="AC9" s="2403" t="s">
        <v>109</v>
      </c>
      <c r="AD9" s="2185" t="s">
        <v>107</v>
      </c>
      <c r="AE9" s="2403" t="s">
        <v>109</v>
      </c>
      <c r="AF9" s="2185" t="s">
        <v>107</v>
      </c>
      <c r="AG9" s="2403" t="s">
        <v>109</v>
      </c>
      <c r="AH9" s="2185" t="s">
        <v>107</v>
      </c>
      <c r="AI9" s="2403" t="s">
        <v>109</v>
      </c>
      <c r="AJ9" s="2185" t="s">
        <v>107</v>
      </c>
      <c r="AK9" s="2403" t="s">
        <v>109</v>
      </c>
      <c r="AL9" s="2185" t="s">
        <v>107</v>
      </c>
      <c r="AM9" s="2403" t="s">
        <v>109</v>
      </c>
      <c r="AN9" s="2185" t="s">
        <v>107</v>
      </c>
      <c r="AO9" s="2403" t="s">
        <v>109</v>
      </c>
      <c r="AP9" s="2185" t="s">
        <v>107</v>
      </c>
      <c r="AQ9" s="2403" t="s">
        <v>109</v>
      </c>
      <c r="AR9" s="2185" t="s">
        <v>107</v>
      </c>
      <c r="AS9" s="2403" t="s">
        <v>109</v>
      </c>
      <c r="AT9" s="2185" t="s">
        <v>107</v>
      </c>
      <c r="AU9" s="2403" t="s">
        <v>109</v>
      </c>
      <c r="AV9" s="2185" t="s">
        <v>107</v>
      </c>
      <c r="AW9" s="3031"/>
      <c r="AX9" s="3032"/>
      <c r="AY9" s="3031"/>
      <c r="AZ9" s="3033"/>
      <c r="BA9" s="3031"/>
      <c r="BB9" s="3027"/>
      <c r="BC9" s="488" t="s">
        <v>106</v>
      </c>
      <c r="BD9" s="489" t="s">
        <v>107</v>
      </c>
      <c r="BE9" s="488" t="s">
        <v>106</v>
      </c>
      <c r="BF9" s="490" t="s">
        <v>107</v>
      </c>
      <c r="BG9"/>
    </row>
    <row r="10" spans="1:59" s="20" customFormat="1" ht="15">
      <c r="A10" s="2186">
        <v>3</v>
      </c>
      <c r="B10" s="2187" t="s">
        <v>507</v>
      </c>
      <c r="C10" s="2188"/>
      <c r="D10" s="2188"/>
      <c r="E10" s="2188"/>
      <c r="F10" s="2188"/>
      <c r="G10" s="2188"/>
      <c r="H10" s="2188"/>
      <c r="I10" s="2188"/>
      <c r="J10" s="2188"/>
      <c r="K10" s="2189"/>
      <c r="L10" s="2188"/>
      <c r="M10" s="2188"/>
      <c r="N10" s="2188"/>
      <c r="O10" s="2188"/>
      <c r="P10" s="2188"/>
      <c r="Q10" s="2188"/>
      <c r="R10" s="2188"/>
      <c r="S10" s="2188"/>
      <c r="T10" s="2188"/>
      <c r="U10" s="2189"/>
      <c r="V10" s="2189"/>
      <c r="W10" s="2188"/>
      <c r="X10" s="2188"/>
      <c r="Y10" s="2188"/>
      <c r="Z10" s="2189"/>
      <c r="AA10" s="2188"/>
      <c r="AB10" s="2189"/>
      <c r="AC10" s="2188"/>
      <c r="AD10" s="2189"/>
      <c r="AE10" s="2188"/>
      <c r="AF10" s="2189"/>
      <c r="AG10" s="2188"/>
      <c r="AH10" s="2189"/>
      <c r="AI10" s="2188"/>
      <c r="AJ10" s="2189"/>
      <c r="AK10" s="2188"/>
      <c r="AL10" s="2189"/>
      <c r="AM10" s="2188"/>
      <c r="AN10" s="2189"/>
      <c r="AO10" s="2188"/>
      <c r="AP10" s="2189"/>
      <c r="AQ10" s="2188"/>
      <c r="AR10" s="2189"/>
      <c r="AS10" s="2188"/>
      <c r="AT10" s="2189"/>
      <c r="AU10" s="2188"/>
      <c r="AV10" s="2189"/>
      <c r="AW10" s="2188"/>
      <c r="AX10" s="2188"/>
      <c r="AY10" s="2188"/>
      <c r="AZ10" s="2188"/>
      <c r="BA10" s="2188"/>
      <c r="BB10" s="2188"/>
      <c r="BC10" s="2188"/>
      <c r="BD10" s="2189"/>
      <c r="BE10" s="2188"/>
      <c r="BF10" s="2189"/>
      <c r="BG10" s="2190"/>
    </row>
    <row r="11" spans="1:59" s="20" customFormat="1" ht="15">
      <c r="A11">
        <v>180</v>
      </c>
      <c r="B11"/>
      <c r="C11" s="2191">
        <v>16</v>
      </c>
      <c r="D11" s="70" t="s">
        <v>708</v>
      </c>
      <c r="E11" s="691"/>
      <c r="F11" s="691"/>
      <c r="G11" s="691"/>
      <c r="H11" s="691"/>
      <c r="I11" s="691"/>
      <c r="J11" s="691"/>
      <c r="K11" s="692"/>
      <c r="L11" s="691"/>
      <c r="M11" s="691"/>
      <c r="N11" s="691"/>
      <c r="O11" s="691"/>
      <c r="P11" s="691"/>
      <c r="Q11" s="691"/>
      <c r="R11" s="691"/>
      <c r="S11" s="691"/>
      <c r="T11" s="691"/>
      <c r="U11" s="692"/>
      <c r="V11" s="692"/>
      <c r="W11" s="691"/>
      <c r="X11" s="691"/>
      <c r="Y11" s="691"/>
      <c r="Z11" s="692"/>
      <c r="AA11" s="691"/>
      <c r="AB11" s="692"/>
      <c r="AC11" s="691"/>
      <c r="AD11" s="692"/>
      <c r="AE11" s="691"/>
      <c r="AF11" s="692"/>
      <c r="AG11" s="691"/>
      <c r="AH11" s="692"/>
      <c r="AI11" s="691"/>
      <c r="AJ11" s="692"/>
      <c r="AK11" s="691"/>
      <c r="AL11" s="692"/>
      <c r="AM11" s="691"/>
      <c r="AN11" s="692"/>
      <c r="AO11" s="691"/>
      <c r="AP11" s="692"/>
      <c r="AQ11" s="691"/>
      <c r="AR11" s="692"/>
      <c r="AS11" s="691"/>
      <c r="AT11" s="692"/>
      <c r="AU11" s="691"/>
      <c r="AV11" s="692"/>
      <c r="AW11" s="691"/>
      <c r="AX11" s="691"/>
      <c r="AY11" s="691"/>
      <c r="AZ11" s="691"/>
      <c r="BA11" s="691"/>
      <c r="BB11" s="691"/>
      <c r="BC11" s="691"/>
      <c r="BD11" s="692"/>
      <c r="BE11" s="691"/>
      <c r="BF11" s="692"/>
      <c r="BG11" s="2192"/>
    </row>
    <row r="12" spans="1:59" s="3" customFormat="1" ht="15">
      <c r="A12"/>
      <c r="B12"/>
      <c r="C12"/>
      <c r="D12"/>
      <c r="E12" s="730">
        <v>56</v>
      </c>
      <c r="F12" s="2603" t="s">
        <v>1927</v>
      </c>
      <c r="G12" s="2604"/>
      <c r="H12" s="2604"/>
      <c r="I12" s="2604"/>
      <c r="J12" s="2604"/>
      <c r="K12" s="681"/>
      <c r="L12" s="2604"/>
      <c r="M12" s="2604"/>
      <c r="N12" s="2604"/>
      <c r="O12" s="2604"/>
      <c r="P12" s="2604"/>
      <c r="Q12" s="2604"/>
      <c r="R12" s="2604"/>
      <c r="S12" s="2604"/>
      <c r="T12" s="2604"/>
      <c r="U12" s="681"/>
      <c r="V12" s="681"/>
      <c r="W12" s="2604"/>
      <c r="X12" s="2604"/>
      <c r="Y12" s="2604"/>
      <c r="Z12" s="681"/>
      <c r="AA12" s="2604"/>
      <c r="AB12" s="681"/>
      <c r="AC12" s="2604"/>
      <c r="AD12" s="681"/>
      <c r="AE12" s="2604"/>
      <c r="AF12" s="681"/>
      <c r="AG12" s="2604"/>
      <c r="AH12" s="681"/>
      <c r="AI12" s="2604"/>
      <c r="AJ12" s="681"/>
      <c r="AK12" s="2604"/>
      <c r="AL12" s="681"/>
      <c r="AM12" s="2604"/>
      <c r="AN12" s="681"/>
      <c r="AO12" s="2604"/>
      <c r="AP12" s="681"/>
      <c r="AQ12" s="2604"/>
      <c r="AR12" s="681"/>
      <c r="AS12" s="2604"/>
      <c r="AT12" s="681"/>
      <c r="AU12" s="2604"/>
      <c r="AV12" s="681"/>
      <c r="AW12" s="2604"/>
      <c r="AX12" s="2604"/>
      <c r="AY12" s="2604"/>
      <c r="AZ12" s="2604"/>
      <c r="BA12" s="2604"/>
      <c r="BB12" s="2604"/>
      <c r="BC12" s="2604"/>
      <c r="BD12" s="681"/>
      <c r="BE12" s="2604"/>
      <c r="BF12" s="681"/>
      <c r="BG12" s="2696"/>
    </row>
    <row r="13" spans="1:59" s="3" customFormat="1" ht="115.5" customHeight="1">
      <c r="A13"/>
      <c r="B13"/>
      <c r="C13"/>
      <c r="D13"/>
      <c r="E13" s="3347"/>
      <c r="F13" s="3348"/>
      <c r="G13" s="2442">
        <v>180</v>
      </c>
      <c r="H13" s="2443" t="s">
        <v>1928</v>
      </c>
      <c r="I13" s="2444" t="s">
        <v>1929</v>
      </c>
      <c r="J13" s="2445">
        <v>1</v>
      </c>
      <c r="K13" s="2446">
        <v>1</v>
      </c>
      <c r="L13" t="s">
        <v>1930</v>
      </c>
      <c r="M13">
        <v>102</v>
      </c>
      <c r="N13" t="s">
        <v>1931</v>
      </c>
      <c r="O13" s="2447">
        <f>+T13/P13</f>
        <v>0.7916666666666666</v>
      </c>
      <c r="P13">
        <v>60000000</v>
      </c>
      <c r="Q13" t="s">
        <v>1932</v>
      </c>
      <c r="R13" s="2193" t="s">
        <v>1933</v>
      </c>
      <c r="S13" s="2363" t="s">
        <v>1934</v>
      </c>
      <c r="T13" s="2194">
        <v>47500000</v>
      </c>
      <c r="U13" s="2195">
        <v>42167302</v>
      </c>
      <c r="V13" s="2195">
        <v>42167302</v>
      </c>
      <c r="W13">
        <v>20</v>
      </c>
      <c r="X13" t="s">
        <v>232</v>
      </c>
      <c r="Y13">
        <f>35+2800</f>
        <v>2835</v>
      </c>
      <c r="Z13">
        <v>2835</v>
      </c>
      <c r="AA13">
        <v>4440</v>
      </c>
      <c r="AB13">
        <v>4440</v>
      </c>
      <c r="AC13"/>
      <c r="AD13"/>
      <c r="AE13"/>
      <c r="AF13"/>
      <c r="AG13"/>
      <c r="AH13"/>
      <c r="AI13"/>
      <c r="AJ13"/>
      <c r="AK13"/>
      <c r="AL13"/>
      <c r="AM13"/>
      <c r="AN13"/>
      <c r="AO13"/>
      <c r="AP13"/>
      <c r="AQ13"/>
      <c r="AR13"/>
      <c r="AS13"/>
      <c r="AT13"/>
      <c r="AU13"/>
      <c r="AV13"/>
      <c r="AW13">
        <v>4</v>
      </c>
      <c r="AX13">
        <v>51070635</v>
      </c>
      <c r="AY13">
        <f>+AX13</f>
        <v>51070635</v>
      </c>
      <c r="AZ13" s="3590">
        <f>+AX13/AY13</f>
        <v>1</v>
      </c>
      <c r="BA13">
        <v>20</v>
      </c>
      <c r="BB13" s="3012" t="s">
        <v>1935</v>
      </c>
      <c r="BC13">
        <v>42642</v>
      </c>
      <c r="BD13" s="3241">
        <v>42642</v>
      </c>
      <c r="BE13">
        <v>42731</v>
      </c>
      <c r="BF13" s="3241">
        <v>42731</v>
      </c>
      <c r="BG13" t="s">
        <v>1936</v>
      </c>
    </row>
    <row r="14" spans="1:59" s="3" customFormat="1" ht="53.25" customHeight="1">
      <c r="A14"/>
      <c r="B14"/>
      <c r="C14"/>
      <c r="D14"/>
      <c r="E14" s="3349"/>
      <c r="F14" s="3350"/>
      <c r="G14">
        <v>181</v>
      </c>
      <c r="H14" t="s">
        <v>1939</v>
      </c>
      <c r="I14" s="3028" t="s">
        <v>1940</v>
      </c>
      <c r="J14" s="3028">
        <v>6</v>
      </c>
      <c r="K14">
        <v>6</v>
      </c>
      <c r="L14"/>
      <c r="M14"/>
      <c r="N14"/>
      <c r="O14" s="3591">
        <f>+(T14+T15+T16)/P13</f>
        <v>0.20833333333333334</v>
      </c>
      <c r="P14"/>
      <c r="Q14"/>
      <c r="R14" s="3013" t="s">
        <v>1937</v>
      </c>
      <c r="S14" s="2372" t="s">
        <v>1938</v>
      </c>
      <c r="T14" s="2197">
        <v>800000</v>
      </c>
      <c r="U14" s="2195">
        <v>0</v>
      </c>
      <c r="V14" s="2195">
        <v>0</v>
      </c>
      <c r="W14"/>
      <c r="X14"/>
      <c r="Y14"/>
      <c r="Z14"/>
      <c r="AA14"/>
      <c r="AB14"/>
      <c r="AC14"/>
      <c r="AD14"/>
      <c r="AE14"/>
      <c r="AF14"/>
      <c r="AG14"/>
      <c r="AH14"/>
      <c r="AI14"/>
      <c r="AJ14"/>
      <c r="AK14"/>
      <c r="AL14"/>
      <c r="AM14"/>
      <c r="AN14"/>
      <c r="AO14"/>
      <c r="AP14"/>
      <c r="AQ14"/>
      <c r="AR14"/>
      <c r="AS14"/>
      <c r="AT14"/>
      <c r="AU14"/>
      <c r="AV14"/>
      <c r="AW14"/>
      <c r="AX14"/>
      <c r="AY14"/>
      <c r="AZ14" s="3591"/>
      <c r="BA14"/>
      <c r="BB14" s="3013"/>
      <c r="BC14"/>
      <c r="BD14"/>
      <c r="BE14"/>
      <c r="BF14"/>
      <c r="BG14"/>
    </row>
    <row r="15" spans="1:59" s="3" customFormat="1" ht="57">
      <c r="A15"/>
      <c r="B15"/>
      <c r="C15"/>
      <c r="D15"/>
      <c r="E15" s="3349"/>
      <c r="F15" s="3350"/>
      <c r="G15"/>
      <c r="H15"/>
      <c r="I15" s="3028"/>
      <c r="J15" s="3028"/>
      <c r="K15"/>
      <c r="L15"/>
      <c r="M15"/>
      <c r="N15"/>
      <c r="O15" s="3591"/>
      <c r="P15"/>
      <c r="Q15"/>
      <c r="R15" s="3013"/>
      <c r="S15" s="2372" t="s">
        <v>1941</v>
      </c>
      <c r="T15" s="2197">
        <v>8130000</v>
      </c>
      <c r="U15" s="2195">
        <v>5333333</v>
      </c>
      <c r="V15" s="2195">
        <v>5333333</v>
      </c>
      <c r="W15"/>
      <c r="X15"/>
      <c r="Y15">
        <v>200</v>
      </c>
      <c r="Z15">
        <v>200</v>
      </c>
      <c r="AA15">
        <v>200</v>
      </c>
      <c r="AB15">
        <v>200</v>
      </c>
      <c r="AC15">
        <v>131</v>
      </c>
      <c r="AD15">
        <v>131</v>
      </c>
      <c r="AE15"/>
      <c r="AF15"/>
      <c r="AG15"/>
      <c r="AH15"/>
      <c r="AI15"/>
      <c r="AJ15"/>
      <c r="AK15"/>
      <c r="AL15"/>
      <c r="AM15"/>
      <c r="AN15"/>
      <c r="AO15"/>
      <c r="AP15"/>
      <c r="AQ15"/>
      <c r="AR15"/>
      <c r="AS15"/>
      <c r="AT15"/>
      <c r="AU15"/>
      <c r="AV15" s="2413"/>
      <c r="AW15"/>
      <c r="AX15"/>
      <c r="AY15"/>
      <c r="AZ15" s="3591"/>
      <c r="BA15"/>
      <c r="BB15" s="3013"/>
      <c r="BC15"/>
      <c r="BD15"/>
      <c r="BE15"/>
      <c r="BF15"/>
      <c r="BG15"/>
    </row>
    <row r="16" spans="1:59" s="3" customFormat="1" ht="42" customHeight="1">
      <c r="A16"/>
      <c r="B16"/>
      <c r="C16"/>
      <c r="D16"/>
      <c r="E16" s="3351"/>
      <c r="F16" s="3352"/>
      <c r="G16"/>
      <c r="H16"/>
      <c r="I16" s="3028"/>
      <c r="J16" s="3028"/>
      <c r="K16"/>
      <c r="L16"/>
      <c r="M16"/>
      <c r="N16"/>
      <c r="O16" s="3592"/>
      <c r="P16"/>
      <c r="Q16"/>
      <c r="R16" s="3014"/>
      <c r="S16" s="2372" t="s">
        <v>1942</v>
      </c>
      <c r="T16" s="2197">
        <v>3570000</v>
      </c>
      <c r="U16" s="2195">
        <v>3570000</v>
      </c>
      <c r="V16" s="2195">
        <v>3570000</v>
      </c>
      <c r="W16"/>
      <c r="X16"/>
      <c r="Y16"/>
      <c r="Z16"/>
      <c r="AA16"/>
      <c r="AB16"/>
      <c r="AC16"/>
      <c r="AD16"/>
      <c r="AE16"/>
      <c r="AF16"/>
      <c r="AG16"/>
      <c r="AH16"/>
      <c r="AI16"/>
      <c r="AJ16"/>
      <c r="AK16"/>
      <c r="AL16"/>
      <c r="AM16"/>
      <c r="AN16"/>
      <c r="AO16"/>
      <c r="AP16"/>
      <c r="AQ16"/>
      <c r="AR16"/>
      <c r="AS16"/>
      <c r="AT16"/>
      <c r="AU16"/>
      <c r="AV16" s="2198"/>
      <c r="AW16"/>
      <c r="AX16"/>
      <c r="AY16"/>
      <c r="AZ16" s="3592"/>
      <c r="BA16"/>
      <c r="BB16" s="3014"/>
      <c r="BC16"/>
      <c r="BD16" s="3242"/>
      <c r="BE16"/>
      <c r="BF16" s="3242"/>
      <c r="BG16"/>
    </row>
    <row r="17" spans="1:59" s="3" customFormat="1" ht="15">
      <c r="A17"/>
      <c r="B17"/>
      <c r="C17" s="2702">
        <v>17</v>
      </c>
      <c r="D17" s="2703" t="s">
        <v>1943</v>
      </c>
      <c r="E17" s="2704"/>
      <c r="F17" s="2704"/>
      <c r="G17" s="2704"/>
      <c r="H17" s="2704"/>
      <c r="I17" s="2704"/>
      <c r="J17" s="2704"/>
      <c r="K17" s="2705"/>
      <c r="L17" s="2704"/>
      <c r="M17" s="2704"/>
      <c r="N17" s="2704"/>
      <c r="O17" s="2704"/>
      <c r="P17" s="2704"/>
      <c r="Q17" s="2704"/>
      <c r="R17" s="2704"/>
      <c r="S17" s="2704"/>
      <c r="T17" s="2704"/>
      <c r="U17" s="2706"/>
      <c r="V17" s="2707"/>
      <c r="W17" s="2704"/>
      <c r="X17" s="2704"/>
      <c r="Y17" s="2704"/>
      <c r="Z17" s="2705"/>
      <c r="AA17" s="2704"/>
      <c r="AB17" s="2705"/>
      <c r="AC17" s="2704"/>
      <c r="AD17" s="2705"/>
      <c r="AE17" s="2704"/>
      <c r="AF17" s="2705"/>
      <c r="AG17" s="2704"/>
      <c r="AH17" s="2705"/>
      <c r="AI17" s="2704"/>
      <c r="AJ17" s="2705"/>
      <c r="AK17" s="2704"/>
      <c r="AL17" s="2705"/>
      <c r="AM17" s="2704"/>
      <c r="AN17" s="2705"/>
      <c r="AO17" s="2704"/>
      <c r="AP17" s="2705"/>
      <c r="AQ17" s="2704"/>
      <c r="AR17" s="2705"/>
      <c r="AS17" s="2704"/>
      <c r="AT17" s="2705"/>
      <c r="AU17" s="2704"/>
      <c r="AV17" s="2705"/>
      <c r="AW17" s="2704"/>
      <c r="AX17" s="2704"/>
      <c r="AY17" s="2704"/>
      <c r="AZ17" s="2704"/>
      <c r="BA17" s="2704"/>
      <c r="BB17" s="2704"/>
      <c r="BC17" s="2704"/>
      <c r="BD17" s="2705"/>
      <c r="BE17" s="2704"/>
      <c r="BF17" s="2705"/>
      <c r="BG17" s="2708"/>
    </row>
    <row r="18" spans="1:59" s="3" customFormat="1" ht="15">
      <c r="A18"/>
      <c r="B18"/>
      <c r="C18"/>
      <c r="D18"/>
      <c r="E18" s="2697">
        <v>58</v>
      </c>
      <c r="F18" s="2698" t="s">
        <v>1944</v>
      </c>
      <c r="G18" s="2699"/>
      <c r="H18" s="2699"/>
      <c r="I18" s="2699"/>
      <c r="J18" s="2699"/>
      <c r="K18" s="681"/>
      <c r="L18" s="2699"/>
      <c r="M18" s="2699"/>
      <c r="N18" s="2699"/>
      <c r="O18" s="2699"/>
      <c r="P18" s="2699"/>
      <c r="Q18" s="2699"/>
      <c r="R18" s="2699"/>
      <c r="S18" s="2699"/>
      <c r="T18" s="2699"/>
      <c r="U18" s="2700"/>
      <c r="V18" s="2700"/>
      <c r="W18" s="2699"/>
      <c r="X18" s="2699"/>
      <c r="Y18" s="2699"/>
      <c r="Z18" s="681"/>
      <c r="AA18" s="2699"/>
      <c r="AB18" s="681"/>
      <c r="AC18" s="2699"/>
      <c r="AD18" s="681"/>
      <c r="AE18" s="2699"/>
      <c r="AF18" s="681"/>
      <c r="AG18" s="2699"/>
      <c r="AH18" s="681"/>
      <c r="AI18" s="2699"/>
      <c r="AJ18" s="681"/>
      <c r="AK18" s="2699"/>
      <c r="AL18" s="681"/>
      <c r="AM18" s="2699"/>
      <c r="AN18" s="681"/>
      <c r="AO18" s="2699"/>
      <c r="AP18" s="681"/>
      <c r="AQ18" s="2699"/>
      <c r="AR18" s="681"/>
      <c r="AS18" s="2699"/>
      <c r="AT18" s="681"/>
      <c r="AU18" s="2699"/>
      <c r="AV18" s="681"/>
      <c r="AW18" s="2699"/>
      <c r="AX18" s="2699"/>
      <c r="AY18" s="2699"/>
      <c r="AZ18" s="2699"/>
      <c r="BA18" s="2699"/>
      <c r="BB18" s="2699"/>
      <c r="BC18" s="2699"/>
      <c r="BD18" s="681"/>
      <c r="BE18" s="2699"/>
      <c r="BF18" s="681"/>
      <c r="BG18" s="2701"/>
    </row>
    <row r="19" spans="1:59" s="3" customFormat="1" ht="42.75">
      <c r="A19"/>
      <c r="B19"/>
      <c r="C19"/>
      <c r="D19"/>
      <c r="E19" s="3347"/>
      <c r="F19" s="3348"/>
      <c r="G19" s="3113">
        <v>183</v>
      </c>
      <c r="H19" t="s">
        <v>1945</v>
      </c>
      <c r="I19" t="s">
        <v>1946</v>
      </c>
      <c r="J19">
        <v>1</v>
      </c>
      <c r="K19">
        <v>0.3</v>
      </c>
      <c r="L19" t="s">
        <v>1947</v>
      </c>
      <c r="M19">
        <v>103</v>
      </c>
      <c r="N19" t="s">
        <v>1948</v>
      </c>
      <c r="O19">
        <v>100</v>
      </c>
      <c r="P19">
        <v>73000000</v>
      </c>
      <c r="Q19" t="s">
        <v>1949</v>
      </c>
      <c r="R19" s="3361" t="s">
        <v>1950</v>
      </c>
      <c r="S19" s="2347" t="s">
        <v>1951</v>
      </c>
      <c r="T19" s="2194">
        <v>40000000</v>
      </c>
      <c r="U19" s="2195">
        <f>2916666+1900000</f>
        <v>4816666</v>
      </c>
      <c r="V19" s="2195">
        <f>2916666+1900000</f>
        <v>4816666</v>
      </c>
      <c r="W19">
        <v>20</v>
      </c>
      <c r="X19" t="s">
        <v>232</v>
      </c>
      <c r="Y19"/>
      <c r="Z19"/>
      <c r="AA19"/>
      <c r="AB19"/>
      <c r="AC19"/>
      <c r="AD19"/>
      <c r="AE19"/>
      <c r="AF19"/>
      <c r="AG19">
        <v>60</v>
      </c>
      <c r="AH19">
        <v>60</v>
      </c>
      <c r="AI19"/>
      <c r="AJ19"/>
      <c r="AK19"/>
      <c r="AL19"/>
      <c r="AM19"/>
      <c r="AN19"/>
      <c r="AO19"/>
      <c r="AP19"/>
      <c r="AQ19"/>
      <c r="AR19"/>
      <c r="AS19"/>
      <c r="AT19"/>
      <c r="AU19"/>
      <c r="AV19" s="3232"/>
      <c r="AW19">
        <v>4</v>
      </c>
      <c r="AX19">
        <v>10316666</v>
      </c>
      <c r="AY19">
        <f>AX19</f>
        <v>10316666</v>
      </c>
      <c r="AZ19">
        <f>AY19/AX19</f>
        <v>1</v>
      </c>
      <c r="BA19">
        <v>20</v>
      </c>
      <c r="BB19" s="3012">
        <v>0</v>
      </c>
      <c r="BC19">
        <v>42696</v>
      </c>
      <c r="BD19" s="3242">
        <v>42696</v>
      </c>
      <c r="BE19">
        <v>42731</v>
      </c>
      <c r="BF19" s="3242">
        <v>42731</v>
      </c>
      <c r="BG19" t="s">
        <v>1936</v>
      </c>
    </row>
    <row r="20" spans="1:59" s="3" customFormat="1" ht="71.25">
      <c r="A20"/>
      <c r="B20"/>
      <c r="C20"/>
      <c r="D20"/>
      <c r="E20" s="3349"/>
      <c r="F20" s="3350"/>
      <c r="G20" s="3113"/>
      <c r="H20"/>
      <c r="I20"/>
      <c r="J20"/>
      <c r="K20"/>
      <c r="L20"/>
      <c r="M20"/>
      <c r="N20"/>
      <c r="O20"/>
      <c r="P20"/>
      <c r="Q20"/>
      <c r="R20"/>
      <c r="S20" s="2344" t="s">
        <v>1952</v>
      </c>
      <c r="T20" s="2197">
        <v>25000000</v>
      </c>
      <c r="U20" s="2195">
        <v>0</v>
      </c>
      <c r="V20" s="2195">
        <v>0</v>
      </c>
      <c r="W20"/>
      <c r="X20"/>
      <c r="Y20"/>
      <c r="Z20"/>
      <c r="AA20"/>
      <c r="AB20"/>
      <c r="AC20"/>
      <c r="AD20"/>
      <c r="AE20"/>
      <c r="AF20"/>
      <c r="AG20"/>
      <c r="AH20"/>
      <c r="AI20"/>
      <c r="AJ20"/>
      <c r="AK20"/>
      <c r="AL20"/>
      <c r="AM20"/>
      <c r="AN20"/>
      <c r="AO20"/>
      <c r="AP20"/>
      <c r="AQ20"/>
      <c r="AR20"/>
      <c r="AS20"/>
      <c r="AT20"/>
      <c r="AU20"/>
      <c r="AV20"/>
      <c r="AW20"/>
      <c r="AX20"/>
      <c r="AY20"/>
      <c r="AZ20"/>
      <c r="BA20"/>
      <c r="BB20" s="3013"/>
      <c r="BC20"/>
      <c r="BD20"/>
      <c r="BE20"/>
      <c r="BF20"/>
      <c r="BG20"/>
    </row>
    <row r="21" spans="1:59" s="3" customFormat="1" ht="36.75" customHeight="1">
      <c r="A21"/>
      <c r="B21"/>
      <c r="C21"/>
      <c r="D21"/>
      <c r="E21" s="3349"/>
      <c r="F21" s="3350"/>
      <c r="G21" s="3113"/>
      <c r="H21"/>
      <c r="I21"/>
      <c r="J21"/>
      <c r="K21"/>
      <c r="L21"/>
      <c r="M21"/>
      <c r="N21"/>
      <c r="O21"/>
      <c r="P21"/>
      <c r="Q21"/>
      <c r="R21"/>
      <c r="S21" s="2344" t="s">
        <v>1953</v>
      </c>
      <c r="T21" s="2197">
        <v>3000000</v>
      </c>
      <c r="U21" s="2195">
        <v>2000000</v>
      </c>
      <c r="V21" s="2195">
        <v>2000000</v>
      </c>
      <c r="W21"/>
      <c r="X21"/>
      <c r="Y21"/>
      <c r="Z21"/>
      <c r="AA21"/>
      <c r="AB21"/>
      <c r="AC21"/>
      <c r="AD21"/>
      <c r="AE21"/>
      <c r="AF21"/>
      <c r="AG21"/>
      <c r="AH21"/>
      <c r="AI21"/>
      <c r="AJ21"/>
      <c r="AK21"/>
      <c r="AL21"/>
      <c r="AM21"/>
      <c r="AN21"/>
      <c r="AO21"/>
      <c r="AP21"/>
      <c r="AQ21"/>
      <c r="AR21"/>
      <c r="AS21"/>
      <c r="AT21"/>
      <c r="AU21"/>
      <c r="AV21"/>
      <c r="AW21"/>
      <c r="AX21"/>
      <c r="AY21"/>
      <c r="AZ21"/>
      <c r="BA21"/>
      <c r="BB21" s="3013"/>
      <c r="BC21"/>
      <c r="BD21"/>
      <c r="BE21"/>
      <c r="BF21"/>
      <c r="BG21"/>
    </row>
    <row r="22" spans="1:59" s="3" customFormat="1" ht="28.5">
      <c r="A22"/>
      <c r="B22"/>
      <c r="C22"/>
      <c r="D22"/>
      <c r="E22" s="3349"/>
      <c r="F22" s="3350"/>
      <c r="G22" s="3121"/>
      <c r="H22"/>
      <c r="I22"/>
      <c r="J22"/>
      <c r="K22"/>
      <c r="L22"/>
      <c r="M22"/>
      <c r="N22"/>
      <c r="O22"/>
      <c r="P22"/>
      <c r="Q22"/>
      <c r="R22"/>
      <c r="S22" s="2344" t="s">
        <v>1954</v>
      </c>
      <c r="T22" s="2197">
        <v>5000000</v>
      </c>
      <c r="U22" s="2195">
        <v>3500000</v>
      </c>
      <c r="V22" s="2195">
        <v>3500000</v>
      </c>
      <c r="W22"/>
      <c r="X22"/>
      <c r="Y22"/>
      <c r="Z22"/>
      <c r="AA22"/>
      <c r="AB22"/>
      <c r="AC22"/>
      <c r="AD22"/>
      <c r="AE22"/>
      <c r="AF22"/>
      <c r="AG22"/>
      <c r="AH22"/>
      <c r="AI22"/>
      <c r="AJ22"/>
      <c r="AK22"/>
      <c r="AL22"/>
      <c r="AM22"/>
      <c r="AN22"/>
      <c r="AO22"/>
      <c r="AP22"/>
      <c r="AQ22"/>
      <c r="AR22"/>
      <c r="AS22"/>
      <c r="AT22"/>
      <c r="AU22"/>
      <c r="AV22" s="3233"/>
      <c r="AW22"/>
      <c r="AX22"/>
      <c r="AY22"/>
      <c r="AZ22"/>
      <c r="BA22"/>
      <c r="BB22" s="3014"/>
      <c r="BC22"/>
      <c r="BD22"/>
      <c r="BE22"/>
      <c r="BF22"/>
      <c r="BG22"/>
    </row>
    <row r="23" spans="1:59" s="3" customFormat="1" ht="48.75" customHeight="1">
      <c r="A23"/>
      <c r="B23"/>
      <c r="C23"/>
      <c r="D23"/>
      <c r="E23" s="3349"/>
      <c r="F23" s="3350"/>
      <c r="G23">
        <v>183</v>
      </c>
      <c r="H23" t="s">
        <v>1945</v>
      </c>
      <c r="I23" t="s">
        <v>1940</v>
      </c>
      <c r="J23">
        <v>1</v>
      </c>
      <c r="K23">
        <v>0.3</v>
      </c>
      <c r="L23" t="s">
        <v>1955</v>
      </c>
      <c r="M23">
        <v>104</v>
      </c>
      <c r="N23" t="s">
        <v>1956</v>
      </c>
      <c r="O23" s="3012">
        <v>100</v>
      </c>
      <c r="P23">
        <v>17000000</v>
      </c>
      <c r="Q23" t="s">
        <v>1949</v>
      </c>
      <c r="R23" s="3359" t="s">
        <v>1950</v>
      </c>
      <c r="S23" s="2343" t="s">
        <v>1957</v>
      </c>
      <c r="T23" s="2195">
        <v>16000000</v>
      </c>
      <c r="U23" s="2195">
        <v>16000000</v>
      </c>
      <c r="V23" s="2195">
        <v>16000000</v>
      </c>
      <c r="W23">
        <v>20</v>
      </c>
      <c r="X23" s="3012" t="s">
        <v>232</v>
      </c>
      <c r="Y23">
        <v>22500</v>
      </c>
      <c r="Z23">
        <v>22500</v>
      </c>
      <c r="AA23">
        <v>27625</v>
      </c>
      <c r="AB23">
        <v>27625</v>
      </c>
      <c r="AC23"/>
      <c r="AD23"/>
      <c r="AE23"/>
      <c r="AF23"/>
      <c r="AG23">
        <v>420</v>
      </c>
      <c r="AH23"/>
      <c r="AI23"/>
      <c r="AJ23"/>
      <c r="AK23"/>
      <c r="AL23"/>
      <c r="AM23"/>
      <c r="AN23"/>
      <c r="AO23"/>
      <c r="AP23"/>
      <c r="AQ23"/>
      <c r="AR23"/>
      <c r="AS23"/>
      <c r="AT23"/>
      <c r="AU23"/>
      <c r="AV23" s="3232"/>
      <c r="AW23">
        <v>2</v>
      </c>
      <c r="AX23">
        <v>17000000</v>
      </c>
      <c r="AY23">
        <f>AX23</f>
        <v>17000000</v>
      </c>
      <c r="AZ23">
        <f>AY23/AX23</f>
        <v>1</v>
      </c>
      <c r="BA23">
        <v>20</v>
      </c>
      <c r="BB23" s="3012" t="s">
        <v>1958</v>
      </c>
      <c r="BC23">
        <v>42411</v>
      </c>
      <c r="BD23" s="3241">
        <v>42411</v>
      </c>
      <c r="BE23">
        <v>42560</v>
      </c>
      <c r="BF23" s="3241">
        <v>42560</v>
      </c>
      <c r="BG23" t="s">
        <v>1936</v>
      </c>
    </row>
    <row r="24" spans="1:59" s="20" customFormat="1" ht="81.75" customHeight="1">
      <c r="A24"/>
      <c r="B24"/>
      <c r="C24"/>
      <c r="D24"/>
      <c r="E24" s="3351"/>
      <c r="F24" s="3352"/>
      <c r="G24"/>
      <c r="H24"/>
      <c r="I24"/>
      <c r="J24"/>
      <c r="K24"/>
      <c r="L24"/>
      <c r="M24"/>
      <c r="N24"/>
      <c r="O24" s="3014"/>
      <c r="P24"/>
      <c r="Q24"/>
      <c r="R24" s="3361"/>
      <c r="S24" s="2331" t="s">
        <v>1959</v>
      </c>
      <c r="T24" s="2199">
        <v>1000000</v>
      </c>
      <c r="U24" s="2199">
        <v>1000000</v>
      </c>
      <c r="V24" s="2199">
        <f>U24</f>
        <v>1000000</v>
      </c>
      <c r="W24"/>
      <c r="X24" s="3014"/>
      <c r="Y24"/>
      <c r="Z24"/>
      <c r="AA24"/>
      <c r="AB24"/>
      <c r="AC24"/>
      <c r="AD24"/>
      <c r="AE24"/>
      <c r="AF24"/>
      <c r="AG24"/>
      <c r="AH24"/>
      <c r="AI24"/>
      <c r="AJ24"/>
      <c r="AK24"/>
      <c r="AL24"/>
      <c r="AM24"/>
      <c r="AN24"/>
      <c r="AO24"/>
      <c r="AP24"/>
      <c r="AQ24"/>
      <c r="AR24"/>
      <c r="AS24"/>
      <c r="AT24"/>
      <c r="AU24"/>
      <c r="AV24" s="3233"/>
      <c r="AW24"/>
      <c r="AX24"/>
      <c r="AY24"/>
      <c r="AZ24"/>
      <c r="BA24"/>
      <c r="BB24" s="3014"/>
      <c r="BC24"/>
      <c r="BD24" s="3142"/>
      <c r="BE24"/>
      <c r="BF24" s="3142"/>
      <c r="BG24"/>
    </row>
    <row r="25" spans="1:59" ht="15">
      <c r="A25"/>
      <c r="B25"/>
      <c r="C25"/>
      <c r="D25"/>
      <c r="E25" s="2709">
        <v>59</v>
      </c>
      <c r="F25" s="2710" t="s">
        <v>1960</v>
      </c>
      <c r="G25" s="2711"/>
      <c r="H25" s="2711"/>
      <c r="I25" s="2711"/>
      <c r="J25" s="2711"/>
      <c r="K25" s="749"/>
      <c r="L25" s="2711"/>
      <c r="M25" s="2711"/>
      <c r="N25" s="2711"/>
      <c r="O25" s="2711"/>
      <c r="P25" s="2711"/>
      <c r="Q25" s="2711"/>
      <c r="R25" s="2711"/>
      <c r="S25" s="2711"/>
      <c r="T25" s="2712"/>
      <c r="U25" s="2712"/>
      <c r="V25" s="2713"/>
      <c r="W25" s="2711"/>
      <c r="X25" s="2711"/>
      <c r="Y25" s="2711"/>
      <c r="Z25" s="749"/>
      <c r="AA25" s="2711"/>
      <c r="AB25" s="749"/>
      <c r="AC25" s="2711"/>
      <c r="AD25" s="749"/>
      <c r="AE25" s="2711"/>
      <c r="AF25" s="749"/>
      <c r="AG25" s="2711"/>
      <c r="AH25" s="749"/>
      <c r="AI25" s="2711"/>
      <c r="AJ25" s="749"/>
      <c r="AK25" s="2711"/>
      <c r="AL25" s="749"/>
      <c r="AM25" s="2711"/>
      <c r="AN25" s="749"/>
      <c r="AO25" s="2711"/>
      <c r="AP25" s="749"/>
      <c r="AQ25" s="2711"/>
      <c r="AR25" s="749"/>
      <c r="AS25" s="2711"/>
      <c r="AT25" s="749"/>
      <c r="AU25" s="2711"/>
      <c r="AV25" s="749"/>
      <c r="AW25" s="2711"/>
      <c r="AX25" s="2711"/>
      <c r="AY25" s="2711"/>
      <c r="AZ25" s="2711"/>
      <c r="BA25" s="2711"/>
      <c r="BB25" s="2711"/>
      <c r="BC25" s="2711"/>
      <c r="BD25" s="749"/>
      <c r="BE25" s="2711"/>
      <c r="BF25" s="749"/>
      <c r="BG25" s="2714"/>
    </row>
    <row r="26" spans="1:59" s="20" customFormat="1" ht="72.75" customHeight="1">
      <c r="A26"/>
      <c r="B26"/>
      <c r="C26"/>
      <c r="D26"/>
      <c r="E26"/>
      <c r="F26"/>
      <c r="G26" s="688">
        <v>184</v>
      </c>
      <c r="H26" s="2414" t="s">
        <v>1961</v>
      </c>
      <c r="I26" s="2414" t="s">
        <v>1962</v>
      </c>
      <c r="J26">
        <v>1</v>
      </c>
      <c r="K26">
        <v>1</v>
      </c>
      <c r="L26" s="2401" t="s">
        <v>1963</v>
      </c>
      <c r="M26" s="2200">
        <v>105</v>
      </c>
      <c r="N26" s="2334" t="s">
        <v>1964</v>
      </c>
      <c r="O26" s="2333">
        <v>100</v>
      </c>
      <c r="P26" s="2351">
        <v>6500000</v>
      </c>
      <c r="Q26" s="3359" t="s">
        <v>1949</v>
      </c>
      <c r="R26" s="3359" t="s">
        <v>1965</v>
      </c>
      <c r="S26" s="2331" t="s">
        <v>1957</v>
      </c>
      <c r="T26" s="2201">
        <v>6500000</v>
      </c>
      <c r="U26" s="2407">
        <v>6500000</v>
      </c>
      <c r="V26" s="2407">
        <v>6500000</v>
      </c>
      <c r="W26" s="2332">
        <v>20</v>
      </c>
      <c r="X26" s="2333" t="s">
        <v>232</v>
      </c>
      <c r="Y26" s="2341">
        <v>64224</v>
      </c>
      <c r="Z26" s="2340">
        <v>64224</v>
      </c>
      <c r="AA26" s="2341">
        <v>72224</v>
      </c>
      <c r="AB26" s="2340">
        <v>72224</v>
      </c>
      <c r="AC26" s="2341">
        <v>27477</v>
      </c>
      <c r="AD26" s="2340">
        <v>27477</v>
      </c>
      <c r="AE26" s="2202"/>
      <c r="AF26" s="2203"/>
      <c r="AG26" s="2202"/>
      <c r="AH26" s="2203"/>
      <c r="AI26" s="2202"/>
      <c r="AJ26" s="2203"/>
      <c r="AK26" s="2202"/>
      <c r="AL26" s="2203"/>
      <c r="AM26" s="2202"/>
      <c r="AN26" s="2203"/>
      <c r="AO26" s="2202"/>
      <c r="AP26" s="2203"/>
      <c r="AQ26" s="2202"/>
      <c r="AR26" s="2203"/>
      <c r="AS26" s="2202"/>
      <c r="AT26" s="2203"/>
      <c r="AU26" s="2202"/>
      <c r="AV26" s="2203"/>
      <c r="AW26" s="2332">
        <v>1</v>
      </c>
      <c r="AX26" s="2201">
        <v>6500000</v>
      </c>
      <c r="AY26" s="2201">
        <v>6500000</v>
      </c>
      <c r="AZ26" s="1817">
        <f>+AY26/AX26</f>
        <v>1</v>
      </c>
      <c r="BA26" s="2332">
        <v>20</v>
      </c>
      <c r="BB26" s="2331" t="s">
        <v>1958</v>
      </c>
      <c r="BC26" s="1260">
        <v>42411</v>
      </c>
      <c r="BD26" s="1261">
        <v>42411</v>
      </c>
      <c r="BE26" s="1260">
        <v>42560</v>
      </c>
      <c r="BF26" s="1261">
        <v>42560</v>
      </c>
      <c r="BG26" s="2331" t="s">
        <v>1936</v>
      </c>
    </row>
    <row r="27" spans="1:59" s="20" customFormat="1" ht="93.75" customHeight="1">
      <c r="A27"/>
      <c r="B27"/>
      <c r="C27"/>
      <c r="D27"/>
      <c r="E27"/>
      <c r="F27"/>
      <c r="G27" s="2401">
        <v>184</v>
      </c>
      <c r="H27" s="2415" t="s">
        <v>1961</v>
      </c>
      <c r="I27" s="2415" t="s">
        <v>1962</v>
      </c>
      <c r="J27"/>
      <c r="K27"/>
      <c r="L27" s="2401" t="s">
        <v>1966</v>
      </c>
      <c r="M27" s="2200">
        <v>106</v>
      </c>
      <c r="N27" s="2349" t="s">
        <v>1967</v>
      </c>
      <c r="O27" s="2333">
        <v>100</v>
      </c>
      <c r="P27" s="2351">
        <v>6000000</v>
      </c>
      <c r="Q27" s="3360"/>
      <c r="R27" s="3360"/>
      <c r="S27" s="2331" t="s">
        <v>1957</v>
      </c>
      <c r="T27" s="2201">
        <v>6000000</v>
      </c>
      <c r="U27" s="2407">
        <v>6000000</v>
      </c>
      <c r="V27" s="2407">
        <v>6000000</v>
      </c>
      <c r="W27" s="2332">
        <v>20</v>
      </c>
      <c r="X27" s="2333" t="s">
        <v>232</v>
      </c>
      <c r="Y27" s="2341">
        <v>64224</v>
      </c>
      <c r="Z27" s="2340">
        <v>64224</v>
      </c>
      <c r="AA27" s="2341">
        <v>72224</v>
      </c>
      <c r="AB27" s="2340">
        <v>72224</v>
      </c>
      <c r="AC27" s="2341">
        <v>27477</v>
      </c>
      <c r="AD27" s="2340">
        <v>27477</v>
      </c>
      <c r="AE27" s="2204"/>
      <c r="AF27" s="2205"/>
      <c r="AG27" s="2204"/>
      <c r="AH27" s="2205"/>
      <c r="AI27" s="2204"/>
      <c r="AJ27" s="2205"/>
      <c r="AK27" s="2204"/>
      <c r="AL27" s="2205"/>
      <c r="AM27" s="2204"/>
      <c r="AN27" s="2205"/>
      <c r="AO27" s="2204"/>
      <c r="AP27" s="2205"/>
      <c r="AQ27" s="2204"/>
      <c r="AR27" s="2205"/>
      <c r="AS27" s="2204"/>
      <c r="AT27" s="2205"/>
      <c r="AU27" s="2204"/>
      <c r="AV27" s="2205"/>
      <c r="AW27" s="2332">
        <v>1</v>
      </c>
      <c r="AX27" s="2201">
        <v>6000000</v>
      </c>
      <c r="AY27" s="2201">
        <v>6000000</v>
      </c>
      <c r="AZ27" s="1817">
        <f>+AY27/AX27</f>
        <v>1</v>
      </c>
      <c r="BA27" s="2332">
        <v>20</v>
      </c>
      <c r="BB27" s="2331" t="s">
        <v>1958</v>
      </c>
      <c r="BC27" s="1260">
        <v>42411</v>
      </c>
      <c r="BD27" s="1261">
        <v>42411</v>
      </c>
      <c r="BE27" s="1260">
        <v>42560</v>
      </c>
      <c r="BF27" s="1261">
        <v>42560</v>
      </c>
      <c r="BG27" s="2331" t="s">
        <v>1936</v>
      </c>
    </row>
    <row r="28" spans="1:59" s="20" customFormat="1" ht="86.25" customHeight="1">
      <c r="A28"/>
      <c r="B28"/>
      <c r="C28"/>
      <c r="D28"/>
      <c r="E28"/>
      <c r="F28"/>
      <c r="G28" s="688">
        <v>186</v>
      </c>
      <c r="H28" s="2399" t="s">
        <v>1968</v>
      </c>
      <c r="I28" s="2334" t="s">
        <v>1969</v>
      </c>
      <c r="J28" s="688">
        <v>1</v>
      </c>
      <c r="K28" s="2371">
        <v>1</v>
      </c>
      <c r="L28" s="688" t="s">
        <v>1970</v>
      </c>
      <c r="M28" s="2206">
        <v>107</v>
      </c>
      <c r="N28" s="2334" t="s">
        <v>1971</v>
      </c>
      <c r="O28" s="2333">
        <v>100</v>
      </c>
      <c r="P28" s="2351">
        <v>10000000</v>
      </c>
      <c r="Q28" s="3360"/>
      <c r="R28" s="3360"/>
      <c r="S28" s="2331" t="s">
        <v>1957</v>
      </c>
      <c r="T28" s="2201">
        <v>10000000</v>
      </c>
      <c r="U28" s="2407">
        <v>10000000</v>
      </c>
      <c r="V28" s="2407">
        <v>10000000</v>
      </c>
      <c r="W28" s="2332">
        <v>20</v>
      </c>
      <c r="X28" s="2333" t="s">
        <v>232</v>
      </c>
      <c r="Y28" s="2341">
        <v>64224</v>
      </c>
      <c r="Z28" s="2340">
        <v>64224</v>
      </c>
      <c r="AA28" s="2341">
        <v>72224</v>
      </c>
      <c r="AB28" s="2340">
        <v>72224</v>
      </c>
      <c r="AC28" s="2341">
        <v>27477</v>
      </c>
      <c r="AD28" s="2340">
        <v>27477</v>
      </c>
      <c r="AE28" s="2204"/>
      <c r="AF28" s="2205"/>
      <c r="AG28" s="2204"/>
      <c r="AH28" s="2205"/>
      <c r="AI28" s="2204"/>
      <c r="AJ28" s="2205"/>
      <c r="AK28" s="2204"/>
      <c r="AL28" s="2205"/>
      <c r="AM28" s="2204"/>
      <c r="AN28" s="2205"/>
      <c r="AO28" s="2204"/>
      <c r="AP28" s="2205"/>
      <c r="AQ28" s="2204"/>
      <c r="AR28" s="2205"/>
      <c r="AS28" s="2204"/>
      <c r="AT28" s="2205"/>
      <c r="AU28" s="2204"/>
      <c r="AV28" s="2205"/>
      <c r="AW28" s="2332">
        <v>1</v>
      </c>
      <c r="AX28" s="2201">
        <v>10000000</v>
      </c>
      <c r="AY28" s="2201">
        <v>10000000</v>
      </c>
      <c r="AZ28" s="1817">
        <f>+AY28/AX28</f>
        <v>1</v>
      </c>
      <c r="BA28" s="2332">
        <v>20</v>
      </c>
      <c r="BB28" s="2331" t="s">
        <v>1958</v>
      </c>
      <c r="BC28" s="1260" t="s">
        <v>1972</v>
      </c>
      <c r="BD28" s="1261" t="s">
        <v>1972</v>
      </c>
      <c r="BE28" s="1260">
        <v>42564</v>
      </c>
      <c r="BF28" s="1261">
        <v>42564</v>
      </c>
      <c r="BG28" s="2331" t="s">
        <v>1936</v>
      </c>
    </row>
    <row r="29" spans="1:59" s="20" customFormat="1" ht="91.5" customHeight="1">
      <c r="A29"/>
      <c r="B29"/>
      <c r="C29"/>
      <c r="D29"/>
      <c r="E29"/>
      <c r="F29"/>
      <c r="G29" s="688">
        <v>186</v>
      </c>
      <c r="H29" s="2399" t="s">
        <v>1973</v>
      </c>
      <c r="I29" s="2334" t="s">
        <v>1974</v>
      </c>
      <c r="J29" s="688">
        <v>1</v>
      </c>
      <c r="K29" s="2371">
        <v>1</v>
      </c>
      <c r="L29" s="688" t="s">
        <v>1975</v>
      </c>
      <c r="M29" s="2206">
        <v>108</v>
      </c>
      <c r="N29" s="2334" t="s">
        <v>1976</v>
      </c>
      <c r="O29" s="2331">
        <v>100</v>
      </c>
      <c r="P29" s="2350">
        <v>1000000</v>
      </c>
      <c r="Q29" s="3361"/>
      <c r="R29" s="3361"/>
      <c r="S29" s="2331" t="s">
        <v>1977</v>
      </c>
      <c r="T29" s="2350">
        <v>1000000</v>
      </c>
      <c r="U29" s="2345">
        <v>1000000</v>
      </c>
      <c r="V29" s="2345">
        <v>1000000</v>
      </c>
      <c r="W29" s="2332">
        <v>20</v>
      </c>
      <c r="X29" s="2333" t="s">
        <v>232</v>
      </c>
      <c r="Y29" s="2341">
        <v>64224</v>
      </c>
      <c r="Z29" s="2340">
        <v>64224</v>
      </c>
      <c r="AA29" s="2341">
        <v>72224</v>
      </c>
      <c r="AB29" s="2340">
        <v>72224</v>
      </c>
      <c r="AC29" s="2341">
        <v>27477</v>
      </c>
      <c r="AD29" s="2340">
        <v>27477</v>
      </c>
      <c r="AE29" s="2207"/>
      <c r="AF29" s="2208"/>
      <c r="AG29" s="2207"/>
      <c r="AH29" s="2208"/>
      <c r="AI29" s="2207"/>
      <c r="AJ29" s="2208"/>
      <c r="AK29" s="2207"/>
      <c r="AL29" s="2208"/>
      <c r="AM29" s="2207"/>
      <c r="AN29" s="2208"/>
      <c r="AO29" s="2207"/>
      <c r="AP29" s="2208"/>
      <c r="AQ29" s="2207"/>
      <c r="AR29" s="2208"/>
      <c r="AS29" s="2207"/>
      <c r="AT29" s="2208"/>
      <c r="AU29" s="2207"/>
      <c r="AV29" s="2208"/>
      <c r="AW29" s="2332">
        <v>1</v>
      </c>
      <c r="AX29" s="2350">
        <v>1000000</v>
      </c>
      <c r="AY29" s="2350">
        <v>1000000</v>
      </c>
      <c r="AZ29" s="1817">
        <f>+AY29/AX29</f>
        <v>1</v>
      </c>
      <c r="BA29" s="2332">
        <v>20</v>
      </c>
      <c r="BB29" s="2331" t="s">
        <v>1978</v>
      </c>
      <c r="BC29" s="1260">
        <v>42524</v>
      </c>
      <c r="BD29" s="1261">
        <v>42524</v>
      </c>
      <c r="BE29" s="1260">
        <v>42649</v>
      </c>
      <c r="BF29" s="1261">
        <v>42649</v>
      </c>
      <c r="BG29" s="2331" t="s">
        <v>1936</v>
      </c>
    </row>
    <row r="30" spans="1:59" s="20" customFormat="1" ht="86.25" customHeight="1">
      <c r="A30"/>
      <c r="B30"/>
      <c r="C30"/>
      <c r="D30"/>
      <c r="E30"/>
      <c r="F30"/>
      <c r="G30" s="2886">
        <v>184</v>
      </c>
      <c r="H30" t="s">
        <v>1961</v>
      </c>
      <c r="I30" s="2905" t="s">
        <v>1962</v>
      </c>
      <c r="J30">
        <v>1</v>
      </c>
      <c r="K30">
        <v>1</v>
      </c>
      <c r="L30" t="s">
        <v>1979</v>
      </c>
      <c r="M30">
        <v>109</v>
      </c>
      <c r="N30" t="s">
        <v>1980</v>
      </c>
      <c r="O30">
        <v>40</v>
      </c>
      <c r="P30">
        <v>246500000</v>
      </c>
      <c r="Q30" t="s">
        <v>1949</v>
      </c>
      <c r="R30" s="2905" t="s">
        <v>1965</v>
      </c>
      <c r="S30" s="2334" t="s">
        <v>1981</v>
      </c>
      <c r="T30" s="2197">
        <v>22442993</v>
      </c>
      <c r="U30" s="2195">
        <f>T30</f>
        <v>22442993</v>
      </c>
      <c r="V30" s="2195">
        <f>U30</f>
        <v>22442993</v>
      </c>
      <c r="W30">
        <v>20</v>
      </c>
      <c r="X30" t="s">
        <v>232</v>
      </c>
      <c r="Y30" s="2416"/>
      <c r="Z30" s="2417"/>
      <c r="AA30" s="2416"/>
      <c r="AB30" s="2417"/>
      <c r="AC30" s="2416"/>
      <c r="AD30" s="2417"/>
      <c r="AE30" s="2416"/>
      <c r="AF30" s="2417"/>
      <c r="AG30" s="2416"/>
      <c r="AH30" s="2417"/>
      <c r="AI30" s="2416"/>
      <c r="AJ30" s="2417"/>
      <c r="AK30" s="2416"/>
      <c r="AL30" s="2417"/>
      <c r="AM30" s="2416"/>
      <c r="AN30" s="2417"/>
      <c r="AO30" s="2416"/>
      <c r="AP30" s="2417"/>
      <c r="AQ30" s="2416"/>
      <c r="AR30" s="2417"/>
      <c r="AS30" s="2416"/>
      <c r="AT30" s="2417"/>
      <c r="AU30" s="2416"/>
      <c r="AV30" s="2417"/>
      <c r="AW30">
        <v>3</v>
      </c>
      <c r="AX30">
        <f>SUM(U30:U35)</f>
        <v>243165817</v>
      </c>
      <c r="AY30">
        <f>SUM(V30:V35)</f>
        <v>243165817</v>
      </c>
      <c r="AZ30">
        <f>+AY30/AX30</f>
        <v>1</v>
      </c>
      <c r="BA30">
        <v>20</v>
      </c>
      <c r="BB30" s="3012" t="s">
        <v>1982</v>
      </c>
      <c r="BC30">
        <v>42607</v>
      </c>
      <c r="BD30">
        <v>42607</v>
      </c>
      <c r="BE30">
        <v>42721</v>
      </c>
      <c r="BF30">
        <v>42721</v>
      </c>
      <c r="BG30" t="s">
        <v>1936</v>
      </c>
    </row>
    <row r="31" spans="1:59" s="20" customFormat="1" ht="91.5" customHeight="1">
      <c r="A31"/>
      <c r="B31"/>
      <c r="C31"/>
      <c r="D31"/>
      <c r="E31"/>
      <c r="F31"/>
      <c r="G31" s="2888"/>
      <c r="H31"/>
      <c r="I31" s="2941"/>
      <c r="J31"/>
      <c r="K31"/>
      <c r="L31"/>
      <c r="M31"/>
      <c r="N31"/>
      <c r="O31"/>
      <c r="P31"/>
      <c r="Q31"/>
      <c r="R31" s="2941"/>
      <c r="S31" s="2334" t="s">
        <v>1983</v>
      </c>
      <c r="T31" s="2201">
        <v>199999600</v>
      </c>
      <c r="U31" s="2407">
        <v>199999600</v>
      </c>
      <c r="V31" s="2407">
        <v>199999600</v>
      </c>
      <c r="W31"/>
      <c r="X31"/>
      <c r="Y31" s="2416"/>
      <c r="Z31" s="2417"/>
      <c r="AA31" s="2416"/>
      <c r="AB31" s="2417"/>
      <c r="AC31" s="2416"/>
      <c r="AD31" s="2417"/>
      <c r="AE31" s="2416"/>
      <c r="AF31" s="2417"/>
      <c r="AG31" s="2416"/>
      <c r="AH31" s="2417"/>
      <c r="AI31" s="2416"/>
      <c r="AJ31" s="2417"/>
      <c r="AK31" s="2416"/>
      <c r="AL31" s="2417"/>
      <c r="AM31" s="2416"/>
      <c r="AN31" s="2417"/>
      <c r="AO31" s="2416"/>
      <c r="AP31" s="2417"/>
      <c r="AQ31" s="2416"/>
      <c r="AR31" s="2417"/>
      <c r="AS31" s="2416"/>
      <c r="AT31" s="2417"/>
      <c r="AU31" s="2416"/>
      <c r="AV31" s="2417"/>
      <c r="AW31"/>
      <c r="AX31"/>
      <c r="AY31"/>
      <c r="AZ31"/>
      <c r="BA31"/>
      <c r="BB31"/>
      <c r="BC31"/>
      <c r="BD31"/>
      <c r="BE31"/>
      <c r="BF31"/>
      <c r="BG31"/>
    </row>
    <row r="32" spans="1:59" s="3" customFormat="1" ht="91.5" customHeight="1">
      <c r="A32"/>
      <c r="B32"/>
      <c r="C32"/>
      <c r="D32"/>
      <c r="E32"/>
      <c r="F32"/>
      <c r="G32" s="2348">
        <v>185</v>
      </c>
      <c r="H32" s="2330" t="s">
        <v>1968</v>
      </c>
      <c r="I32" s="2193" t="s">
        <v>1969</v>
      </c>
      <c r="J32" s="2370">
        <v>1</v>
      </c>
      <c r="K32" s="2360">
        <v>0.7</v>
      </c>
      <c r="L32"/>
      <c r="M32"/>
      <c r="N32"/>
      <c r="O32" s="2384">
        <v>30</v>
      </c>
      <c r="P32"/>
      <c r="Q32"/>
      <c r="R32" s="2193" t="s">
        <v>1984</v>
      </c>
      <c r="S32" s="2372" t="s">
        <v>1968</v>
      </c>
      <c r="T32" s="2197">
        <v>8007407</v>
      </c>
      <c r="U32" s="2195">
        <f>4708624-35400</f>
        <v>4673224</v>
      </c>
      <c r="V32" s="2195">
        <f>4708624-35400</f>
        <v>4673224</v>
      </c>
      <c r="W32"/>
      <c r="X32"/>
      <c r="Y32"/>
      <c r="Z32" s="3140"/>
      <c r="AA32"/>
      <c r="AB32" s="3140"/>
      <c r="AC32"/>
      <c r="AD32" s="3140"/>
      <c r="AE32"/>
      <c r="AF32" s="3140"/>
      <c r="AG32"/>
      <c r="AH32" s="3140"/>
      <c r="AI32"/>
      <c r="AJ32" s="3140"/>
      <c r="AK32"/>
      <c r="AL32" s="3140"/>
      <c r="AM32"/>
      <c r="AN32" s="3140"/>
      <c r="AO32"/>
      <c r="AP32" s="3140"/>
      <c r="AQ32"/>
      <c r="AR32" s="3140"/>
      <c r="AS32"/>
      <c r="AT32" s="3140"/>
      <c r="AU32"/>
      <c r="AV32" s="3140"/>
      <c r="AW32"/>
      <c r="AX32"/>
      <c r="AY32"/>
      <c r="AZ32"/>
      <c r="BA32"/>
      <c r="BB32"/>
      <c r="BC32"/>
      <c r="BD32"/>
      <c r="BE32"/>
      <c r="BF32"/>
      <c r="BG32"/>
    </row>
    <row r="33" spans="1:59" s="3" customFormat="1" ht="87.75" customHeight="1">
      <c r="A33"/>
      <c r="B33"/>
      <c r="C33"/>
      <c r="D33"/>
      <c r="E33"/>
      <c r="F33"/>
      <c r="G33" s="2886">
        <v>186</v>
      </c>
      <c r="H33" t="s">
        <v>1973</v>
      </c>
      <c r="I33" s="2905" t="s">
        <v>1974</v>
      </c>
      <c r="J33">
        <v>1</v>
      </c>
      <c r="K33">
        <v>1</v>
      </c>
      <c r="L33"/>
      <c r="M33"/>
      <c r="N33"/>
      <c r="O33">
        <v>30</v>
      </c>
      <c r="P33"/>
      <c r="Q33"/>
      <c r="R33" s="2905" t="s">
        <v>1985</v>
      </c>
      <c r="S33" s="2339" t="s">
        <v>1986</v>
      </c>
      <c r="T33" s="2210">
        <v>13435000</v>
      </c>
      <c r="U33" s="2418">
        <v>13435000</v>
      </c>
      <c r="V33" s="2418">
        <v>13435000</v>
      </c>
      <c r="W33"/>
      <c r="X33"/>
      <c r="Y33"/>
      <c r="Z33" s="3141"/>
      <c r="AA33"/>
      <c r="AB33" s="3141"/>
      <c r="AC33"/>
      <c r="AD33" s="3141"/>
      <c r="AE33"/>
      <c r="AF33" s="3141"/>
      <c r="AG33"/>
      <c r="AH33" s="3141"/>
      <c r="AI33"/>
      <c r="AJ33" s="3141"/>
      <c r="AK33"/>
      <c r="AL33" s="3141"/>
      <c r="AM33"/>
      <c r="AN33" s="3141"/>
      <c r="AO33"/>
      <c r="AP33" s="3141"/>
      <c r="AQ33"/>
      <c r="AR33" s="3141"/>
      <c r="AS33"/>
      <c r="AT33" s="3141"/>
      <c r="AU33"/>
      <c r="AV33" s="3141"/>
      <c r="AW33"/>
      <c r="AX33"/>
      <c r="AY33"/>
      <c r="AZ33"/>
      <c r="BA33"/>
      <c r="BB33"/>
      <c r="BC33"/>
      <c r="BD33"/>
      <c r="BE33"/>
      <c r="BF33"/>
      <c r="BG33"/>
    </row>
    <row r="34" spans="1:59" s="3" customFormat="1" ht="33.75" customHeight="1">
      <c r="A34"/>
      <c r="B34"/>
      <c r="C34"/>
      <c r="D34"/>
      <c r="E34"/>
      <c r="F34"/>
      <c r="G34" s="2887"/>
      <c r="H34"/>
      <c r="I34" s="2906"/>
      <c r="J34"/>
      <c r="K34"/>
      <c r="L34"/>
      <c r="M34"/>
      <c r="N34"/>
      <c r="O34"/>
      <c r="P34"/>
      <c r="Q34"/>
      <c r="R34" s="2906"/>
      <c r="S34" s="2362" t="s">
        <v>2130</v>
      </c>
      <c r="T34" s="2210">
        <v>1000000</v>
      </c>
      <c r="U34" s="2418">
        <v>1000000</v>
      </c>
      <c r="V34" s="2418">
        <v>1000000</v>
      </c>
      <c r="W34"/>
      <c r="X34"/>
      <c r="Y34"/>
      <c r="Z34" s="3141"/>
      <c r="AA34"/>
      <c r="AB34" s="3141"/>
      <c r="AC34"/>
      <c r="AD34" s="3141"/>
      <c r="AE34"/>
      <c r="AF34" s="3141"/>
      <c r="AG34"/>
      <c r="AH34" s="3141"/>
      <c r="AI34"/>
      <c r="AJ34" s="3141"/>
      <c r="AK34"/>
      <c r="AL34" s="3141"/>
      <c r="AM34"/>
      <c r="AN34" s="3141"/>
      <c r="AO34"/>
      <c r="AP34" s="3141"/>
      <c r="AQ34"/>
      <c r="AR34" s="3141"/>
      <c r="AS34"/>
      <c r="AT34" s="3141"/>
      <c r="AU34"/>
      <c r="AV34" s="3141"/>
      <c r="AW34"/>
      <c r="AX34"/>
      <c r="AY34"/>
      <c r="AZ34"/>
      <c r="BA34"/>
      <c r="BB34"/>
      <c r="BC34"/>
      <c r="BD34"/>
      <c r="BE34"/>
      <c r="BF34"/>
      <c r="BG34"/>
    </row>
    <row r="35" spans="1:59" s="20" customFormat="1" ht="35.25" customHeight="1">
      <c r="A35"/>
      <c r="B35"/>
      <c r="C35"/>
      <c r="D35"/>
      <c r="E35"/>
      <c r="F35"/>
      <c r="G35" s="2888"/>
      <c r="H35"/>
      <c r="I35" s="2941"/>
      <c r="J35"/>
      <c r="K35"/>
      <c r="L35"/>
      <c r="M35"/>
      <c r="N35"/>
      <c r="O35"/>
      <c r="P35"/>
      <c r="Q35"/>
      <c r="R35" s="2941"/>
      <c r="S35" s="2339" t="s">
        <v>2131</v>
      </c>
      <c r="T35" s="2210">
        <v>1615000</v>
      </c>
      <c r="U35" s="2418">
        <v>1615000</v>
      </c>
      <c r="V35" s="2418">
        <v>1615000</v>
      </c>
      <c r="W35"/>
      <c r="X35"/>
      <c r="Y35"/>
      <c r="Z35" s="3142"/>
      <c r="AA35"/>
      <c r="AB35" s="3142"/>
      <c r="AC35"/>
      <c r="AD35" s="3142"/>
      <c r="AE35"/>
      <c r="AF35" s="3142"/>
      <c r="AG35"/>
      <c r="AH35" s="3142"/>
      <c r="AI35"/>
      <c r="AJ35" s="3142"/>
      <c r="AK35"/>
      <c r="AL35" s="3142"/>
      <c r="AM35"/>
      <c r="AN35" s="3142"/>
      <c r="AO35"/>
      <c r="AP35" s="3142"/>
      <c r="AQ35"/>
      <c r="AR35" s="3142"/>
      <c r="AS35"/>
      <c r="AT35" s="3142"/>
      <c r="AU35"/>
      <c r="AV35" s="3142"/>
      <c r="AW35"/>
      <c r="AX35"/>
      <c r="AY35"/>
      <c r="AZ35"/>
      <c r="BA35"/>
      <c r="BB35"/>
      <c r="BC35"/>
      <c r="BD35"/>
      <c r="BE35"/>
      <c r="BF35"/>
      <c r="BG35"/>
    </row>
    <row r="36" spans="1:59" s="3" customFormat="1" ht="15">
      <c r="A36"/>
      <c r="B36"/>
      <c r="C36"/>
      <c r="D36"/>
      <c r="E36" s="730">
        <v>60</v>
      </c>
      <c r="F36" s="2715" t="s">
        <v>1987</v>
      </c>
      <c r="G36" s="2716"/>
      <c r="H36" s="2716"/>
      <c r="I36" s="2716"/>
      <c r="J36" s="2716"/>
      <c r="K36" s="799"/>
      <c r="L36" s="2716"/>
      <c r="M36" s="2716"/>
      <c r="N36" s="2716"/>
      <c r="O36" s="2716"/>
      <c r="P36" s="2716"/>
      <c r="Q36" s="2716"/>
      <c r="R36" s="2716"/>
      <c r="S36" s="2716">
        <v>797725</v>
      </c>
      <c r="T36" s="2717"/>
      <c r="U36" s="2717"/>
      <c r="V36" s="2700"/>
      <c r="W36" s="2716"/>
      <c r="X36" s="2716"/>
      <c r="Y36" s="2716"/>
      <c r="Z36" s="681"/>
      <c r="AA36" s="2716"/>
      <c r="AB36" s="681"/>
      <c r="AC36" s="2716"/>
      <c r="AD36" s="681"/>
      <c r="AE36" s="2716"/>
      <c r="AF36" s="681"/>
      <c r="AG36" s="2716"/>
      <c r="AH36" s="681"/>
      <c r="AI36" s="2716"/>
      <c r="AJ36" s="681"/>
      <c r="AK36" s="2716"/>
      <c r="AL36" s="681"/>
      <c r="AM36" s="2716"/>
      <c r="AN36" s="681"/>
      <c r="AO36" s="2716"/>
      <c r="AP36" s="681"/>
      <c r="AQ36" s="2716"/>
      <c r="AR36" s="681"/>
      <c r="AS36" s="2716"/>
      <c r="AT36" s="681"/>
      <c r="AU36" s="2716"/>
      <c r="AV36" s="681"/>
      <c r="AW36" s="2716"/>
      <c r="AX36" s="2716"/>
      <c r="AY36" s="2716"/>
      <c r="AZ36" s="2716"/>
      <c r="BA36" s="2716"/>
      <c r="BB36" s="2716"/>
      <c r="BC36" s="2716"/>
      <c r="BD36" s="681"/>
      <c r="BE36" s="2716"/>
      <c r="BF36" s="681"/>
      <c r="BG36" s="2718"/>
    </row>
    <row r="37" spans="1:59" s="3" customFormat="1" ht="92.25" customHeight="1">
      <c r="A37"/>
      <c r="B37"/>
      <c r="C37"/>
      <c r="D37"/>
      <c r="E37" s="3347"/>
      <c r="F37" s="3348"/>
      <c r="G37" s="2361">
        <v>187</v>
      </c>
      <c r="H37" s="2380" t="s">
        <v>1988</v>
      </c>
      <c r="I37" s="2363" t="s">
        <v>1989</v>
      </c>
      <c r="J37" s="2384">
        <v>1</v>
      </c>
      <c r="K37" s="2387">
        <v>0.6</v>
      </c>
      <c r="L37" t="s">
        <v>1990</v>
      </c>
      <c r="M37">
        <v>110</v>
      </c>
      <c r="N37" t="s">
        <v>1991</v>
      </c>
      <c r="O37" s="2384">
        <v>40</v>
      </c>
      <c r="P37">
        <v>139350000</v>
      </c>
      <c r="Q37" t="s">
        <v>1949</v>
      </c>
      <c r="R37" s="2363" t="s">
        <v>1992</v>
      </c>
      <c r="S37" s="2363" t="s">
        <v>1993</v>
      </c>
      <c r="T37" s="2211">
        <v>45449950</v>
      </c>
      <c r="U37" s="2211">
        <v>16425926</v>
      </c>
      <c r="V37" s="2211">
        <f>U37</f>
        <v>16425926</v>
      </c>
      <c r="W37">
        <v>20</v>
      </c>
      <c r="X37" t="s">
        <v>232</v>
      </c>
      <c r="Y37"/>
      <c r="Z37" s="3140"/>
      <c r="AA37"/>
      <c r="AB37" s="3140"/>
      <c r="AC37">
        <v>350</v>
      </c>
      <c r="AD37" s="3140">
        <v>7</v>
      </c>
      <c r="AE37">
        <v>600</v>
      </c>
      <c r="AF37" s="3140">
        <v>12</v>
      </c>
      <c r="AG37"/>
      <c r="AH37" s="3232"/>
      <c r="AI37"/>
      <c r="AJ37" s="3232"/>
      <c r="AK37">
        <v>170</v>
      </c>
      <c r="AL37" s="3140">
        <v>3</v>
      </c>
      <c r="AM37">
        <v>103</v>
      </c>
      <c r="AN37" s="3140">
        <v>2</v>
      </c>
      <c r="AO37"/>
      <c r="AP37" s="3232"/>
      <c r="AQ37"/>
      <c r="AR37" s="3232"/>
      <c r="AS37"/>
      <c r="AT37" s="3232"/>
      <c r="AU37"/>
      <c r="AV37" s="3232"/>
      <c r="AW37">
        <v>11</v>
      </c>
      <c r="AX37">
        <f>+U37+U38+U39+U40+U41</f>
        <v>109528251</v>
      </c>
      <c r="AY37">
        <f>+V37+V38+V39+V40+V41</f>
        <v>109528251</v>
      </c>
      <c r="AZ37">
        <f>AY37/AX37</f>
        <v>1</v>
      </c>
      <c r="BA37">
        <v>20</v>
      </c>
      <c r="BB37" s="3012" t="s">
        <v>1994</v>
      </c>
      <c r="BC37">
        <v>42585</v>
      </c>
      <c r="BD37" s="3242">
        <v>42585</v>
      </c>
      <c r="BE37">
        <v>42735</v>
      </c>
      <c r="BF37" s="3242">
        <v>42735</v>
      </c>
      <c r="BG37" t="s">
        <v>1936</v>
      </c>
    </row>
    <row r="38" spans="1:59" s="20" customFormat="1" ht="92.25" customHeight="1">
      <c r="A38"/>
      <c r="B38"/>
      <c r="C38"/>
      <c r="D38"/>
      <c r="E38" s="3349"/>
      <c r="F38" s="3350"/>
      <c r="G38" s="2988">
        <v>188</v>
      </c>
      <c r="H38" t="s">
        <v>1995</v>
      </c>
      <c r="I38" s="2931" t="s">
        <v>1996</v>
      </c>
      <c r="J38">
        <v>2</v>
      </c>
      <c r="K38">
        <v>2</v>
      </c>
      <c r="L38"/>
      <c r="M38"/>
      <c r="N38"/>
      <c r="O38">
        <v>30</v>
      </c>
      <c r="P38"/>
      <c r="Q38"/>
      <c r="R38" s="2971" t="s">
        <v>1997</v>
      </c>
      <c r="S38" s="2334" t="s">
        <v>1998</v>
      </c>
      <c r="T38" s="2327">
        <v>34446725</v>
      </c>
      <c r="U38" s="2327">
        <v>33649000</v>
      </c>
      <c r="V38" s="2211">
        <f>U38</f>
        <v>33649000</v>
      </c>
      <c r="W38"/>
      <c r="X38"/>
      <c r="Y38"/>
      <c r="Z38" s="3141"/>
      <c r="AA38"/>
      <c r="AB38" s="3141"/>
      <c r="AC38"/>
      <c r="AD38" s="3141"/>
      <c r="AE38"/>
      <c r="AF38" s="3141"/>
      <c r="AG38"/>
      <c r="AH38"/>
      <c r="AI38"/>
      <c r="AJ38"/>
      <c r="AK38"/>
      <c r="AL38" s="3141"/>
      <c r="AM38"/>
      <c r="AN38" s="3141"/>
      <c r="AO38"/>
      <c r="AP38"/>
      <c r="AQ38"/>
      <c r="AR38"/>
      <c r="AS38"/>
      <c r="AT38"/>
      <c r="AU38"/>
      <c r="AV38"/>
      <c r="AW38"/>
      <c r="AX38"/>
      <c r="AY38"/>
      <c r="AZ38"/>
      <c r="BA38"/>
      <c r="BB38"/>
      <c r="BC38"/>
      <c r="BD38"/>
      <c r="BE38"/>
      <c r="BF38"/>
      <c r="BG38"/>
    </row>
    <row r="39" spans="1:59" s="20" customFormat="1" ht="92.25" customHeight="1">
      <c r="A39"/>
      <c r="B39"/>
      <c r="C39"/>
      <c r="D39"/>
      <c r="E39" s="3349"/>
      <c r="F39" s="3350"/>
      <c r="G39" s="2988"/>
      <c r="H39"/>
      <c r="I39" s="2931"/>
      <c r="J39"/>
      <c r="K39"/>
      <c r="L39"/>
      <c r="M39"/>
      <c r="N39"/>
      <c r="O39"/>
      <c r="P39"/>
      <c r="Q39"/>
      <c r="R39" s="2973"/>
      <c r="S39" s="2334" t="s">
        <v>1999</v>
      </c>
      <c r="T39" s="2328">
        <v>7703325</v>
      </c>
      <c r="U39" s="2211">
        <f>T39</f>
        <v>7703325</v>
      </c>
      <c r="V39" s="2211">
        <f>U39</f>
        <v>7703325</v>
      </c>
      <c r="W39"/>
      <c r="X39"/>
      <c r="Y39"/>
      <c r="Z39" s="3141"/>
      <c r="AA39"/>
      <c r="AB39" s="3141"/>
      <c r="AC39"/>
      <c r="AD39" s="3141"/>
      <c r="AE39"/>
      <c r="AF39" s="3141"/>
      <c r="AG39"/>
      <c r="AH39"/>
      <c r="AI39"/>
      <c r="AJ39"/>
      <c r="AK39"/>
      <c r="AL39" s="3141"/>
      <c r="AM39"/>
      <c r="AN39" s="3141"/>
      <c r="AO39"/>
      <c r="AP39"/>
      <c r="AQ39"/>
      <c r="AR39"/>
      <c r="AS39"/>
      <c r="AT39"/>
      <c r="AU39"/>
      <c r="AV39"/>
      <c r="AW39"/>
      <c r="AX39"/>
      <c r="AY39"/>
      <c r="AZ39"/>
      <c r="BA39"/>
      <c r="BB39"/>
      <c r="BC39"/>
      <c r="BD39"/>
      <c r="BE39"/>
      <c r="BF39"/>
      <c r="BG39"/>
    </row>
    <row r="40" spans="1:59" s="3" customFormat="1" ht="92.25" customHeight="1">
      <c r="A40"/>
      <c r="B40"/>
      <c r="C40"/>
      <c r="D40"/>
      <c r="E40" s="3349"/>
      <c r="F40" s="3350"/>
      <c r="G40" s="2950">
        <v>189</v>
      </c>
      <c r="H40" t="s">
        <v>2000</v>
      </c>
      <c r="I40" s="3013" t="s">
        <v>2001</v>
      </c>
      <c r="J40">
        <v>1</v>
      </c>
      <c r="K40" s="3141">
        <v>0.8</v>
      </c>
      <c r="L40"/>
      <c r="M40"/>
      <c r="N40"/>
      <c r="O40">
        <v>30</v>
      </c>
      <c r="P40"/>
      <c r="Q40"/>
      <c r="R40" s="3359" t="s">
        <v>2002</v>
      </c>
      <c r="S40" s="2372" t="s">
        <v>2003</v>
      </c>
      <c r="T40" s="2212">
        <f>40000000-T41+11750000</f>
        <v>42147675</v>
      </c>
      <c r="U40" s="2211">
        <f>T40</f>
        <v>42147675</v>
      </c>
      <c r="V40" s="2211">
        <f>U40</f>
        <v>42147675</v>
      </c>
      <c r="W40"/>
      <c r="X40"/>
      <c r="Y40"/>
      <c r="Z40" s="3141"/>
      <c r="AA40"/>
      <c r="AB40" s="3141"/>
      <c r="AC40"/>
      <c r="AD40" s="3141"/>
      <c r="AE40"/>
      <c r="AF40" s="3141"/>
      <c r="AG40"/>
      <c r="AH40"/>
      <c r="AI40"/>
      <c r="AJ40"/>
      <c r="AK40"/>
      <c r="AL40" s="3141"/>
      <c r="AM40"/>
      <c r="AN40" s="3141"/>
      <c r="AO40"/>
      <c r="AP40"/>
      <c r="AQ40"/>
      <c r="AR40"/>
      <c r="AS40"/>
      <c r="AT40"/>
      <c r="AU40"/>
      <c r="AV40"/>
      <c r="AW40"/>
      <c r="AX40"/>
      <c r="AY40"/>
      <c r="AZ40"/>
      <c r="BA40"/>
      <c r="BB40"/>
      <c r="BC40"/>
      <c r="BD40"/>
      <c r="BE40"/>
      <c r="BF40"/>
      <c r="BG40"/>
    </row>
    <row r="41" spans="1:59" s="3" customFormat="1" ht="90.75" customHeight="1">
      <c r="A41"/>
      <c r="B41"/>
      <c r="C41"/>
      <c r="D41"/>
      <c r="E41" s="3349"/>
      <c r="F41" s="3350"/>
      <c r="G41" s="2951"/>
      <c r="H41"/>
      <c r="I41" s="3014"/>
      <c r="J41"/>
      <c r="K41" s="3142"/>
      <c r="L41"/>
      <c r="M41"/>
      <c r="N41"/>
      <c r="O41"/>
      <c r="P41"/>
      <c r="Q41"/>
      <c r="R41" s="3361"/>
      <c r="S41" s="2372" t="s">
        <v>2004</v>
      </c>
      <c r="T41" s="2212">
        <v>9602325</v>
      </c>
      <c r="U41" s="2211">
        <v>9602325</v>
      </c>
      <c r="V41" s="2211">
        <f>U41</f>
        <v>9602325</v>
      </c>
      <c r="W41"/>
      <c r="X41"/>
      <c r="Y41"/>
      <c r="Z41" s="3142"/>
      <c r="AA41"/>
      <c r="AB41" s="3142"/>
      <c r="AC41"/>
      <c r="AD41" s="3142"/>
      <c r="AE41"/>
      <c r="AF41" s="3142"/>
      <c r="AG41"/>
      <c r="AH41" s="3233"/>
      <c r="AI41"/>
      <c r="AJ41" s="3233"/>
      <c r="AK41"/>
      <c r="AL41" s="3142"/>
      <c r="AM41"/>
      <c r="AN41" s="3142"/>
      <c r="AO41"/>
      <c r="AP41" s="3233"/>
      <c r="AQ41"/>
      <c r="AR41" s="3233"/>
      <c r="AS41"/>
      <c r="AT41" s="3233"/>
      <c r="AU41"/>
      <c r="AV41" s="3233"/>
      <c r="AW41"/>
      <c r="AX41"/>
      <c r="AY41"/>
      <c r="AZ41"/>
      <c r="BA41"/>
      <c r="BB41"/>
      <c r="BC41"/>
      <c r="BD41"/>
      <c r="BE41"/>
      <c r="BF41"/>
      <c r="BG41"/>
    </row>
    <row r="42" spans="1:59" s="3" customFormat="1" ht="101.25" customHeight="1">
      <c r="A42"/>
      <c r="B42"/>
      <c r="C42"/>
      <c r="D42"/>
      <c r="E42" s="3349"/>
      <c r="F42" s="3350"/>
      <c r="G42" s="2397">
        <v>189</v>
      </c>
      <c r="H42" s="2395" t="s">
        <v>2000</v>
      </c>
      <c r="I42" s="2372" t="s">
        <v>2001</v>
      </c>
      <c r="J42" s="2397">
        <v>1</v>
      </c>
      <c r="K42" s="1882">
        <v>0.8</v>
      </c>
      <c r="L42" s="2379" t="s">
        <v>2005</v>
      </c>
      <c r="M42" s="2213">
        <v>111</v>
      </c>
      <c r="N42" s="2372" t="s">
        <v>2006</v>
      </c>
      <c r="O42" s="2344">
        <v>100</v>
      </c>
      <c r="P42" s="2368">
        <v>19000000</v>
      </c>
      <c r="Q42" s="3359" t="s">
        <v>1949</v>
      </c>
      <c r="R42" s="3359" t="s">
        <v>1965</v>
      </c>
      <c r="S42" s="2344" t="s">
        <v>1957</v>
      </c>
      <c r="T42" s="2212">
        <v>19000000</v>
      </c>
      <c r="U42" s="2211">
        <v>19000000</v>
      </c>
      <c r="V42" s="2211">
        <v>19000000</v>
      </c>
      <c r="W42" s="2370">
        <v>20</v>
      </c>
      <c r="X42" s="2343" t="s">
        <v>232</v>
      </c>
      <c r="Y42" s="2344"/>
      <c r="Z42" s="2398"/>
      <c r="AA42" s="2344"/>
      <c r="AB42" s="2398"/>
      <c r="AC42" s="2370">
        <v>350</v>
      </c>
      <c r="AD42" s="2387">
        <v>350</v>
      </c>
      <c r="AE42" s="2370">
        <v>600</v>
      </c>
      <c r="AF42" s="2387">
        <v>600</v>
      </c>
      <c r="AG42" s="2394"/>
      <c r="AH42" s="2196"/>
      <c r="AI42" s="2394"/>
      <c r="AJ42" s="2196"/>
      <c r="AK42" s="2370">
        <v>170</v>
      </c>
      <c r="AL42" s="2387">
        <v>170</v>
      </c>
      <c r="AM42" s="2370">
        <v>103</v>
      </c>
      <c r="AN42" s="2387">
        <v>103</v>
      </c>
      <c r="AO42" s="2344"/>
      <c r="AP42" s="2398"/>
      <c r="AQ42" s="2344"/>
      <c r="AR42" s="2398"/>
      <c r="AS42" s="2344"/>
      <c r="AT42" s="2398"/>
      <c r="AU42" s="2344"/>
      <c r="AV42"/>
      <c r="AW42" s="2214">
        <v>2</v>
      </c>
      <c r="AX42" s="2215">
        <v>19000000</v>
      </c>
      <c r="AY42" s="2215">
        <v>19000000</v>
      </c>
      <c r="AZ42" s="2216">
        <v>1</v>
      </c>
      <c r="BA42" s="2214">
        <v>20</v>
      </c>
      <c r="BB42" s="2214" t="s">
        <v>501</v>
      </c>
      <c r="BC42" s="2217">
        <v>42433</v>
      </c>
      <c r="BD42" s="2218">
        <v>42433</v>
      </c>
      <c r="BE42" s="2217">
        <v>42649</v>
      </c>
      <c r="BF42" s="2218">
        <v>42649</v>
      </c>
      <c r="BG42" s="2344" t="s">
        <v>1936</v>
      </c>
    </row>
    <row r="43" spans="1:59" s="3" customFormat="1" ht="84.75" customHeight="1">
      <c r="A43"/>
      <c r="B43"/>
      <c r="C43"/>
      <c r="D43"/>
      <c r="E43" s="3349"/>
      <c r="F43" s="3350"/>
      <c r="G43" s="2397">
        <v>189</v>
      </c>
      <c r="H43" s="2395" t="s">
        <v>1988</v>
      </c>
      <c r="I43" s="2372" t="s">
        <v>1989</v>
      </c>
      <c r="J43" s="2397">
        <v>1</v>
      </c>
      <c r="K43" s="1882">
        <v>0.8</v>
      </c>
      <c r="L43" s="2379" t="s">
        <v>2007</v>
      </c>
      <c r="M43" s="2213">
        <v>112</v>
      </c>
      <c r="N43" s="2372" t="s">
        <v>2008</v>
      </c>
      <c r="O43" s="2344">
        <v>100</v>
      </c>
      <c r="P43" s="2368">
        <v>10000000</v>
      </c>
      <c r="Q43" s="3360"/>
      <c r="R43" s="3360"/>
      <c r="S43" s="2370" t="s">
        <v>2009</v>
      </c>
      <c r="T43" s="2212">
        <v>10000000</v>
      </c>
      <c r="U43" s="2407">
        <v>10000000</v>
      </c>
      <c r="V43" s="2407">
        <v>10000000</v>
      </c>
      <c r="W43" s="2370">
        <v>20</v>
      </c>
      <c r="X43" s="2343" t="s">
        <v>232</v>
      </c>
      <c r="Y43" s="2344"/>
      <c r="Z43" s="2398"/>
      <c r="AA43" s="2344"/>
      <c r="AB43" s="2398"/>
      <c r="AC43" s="2370">
        <v>350</v>
      </c>
      <c r="AD43" s="2387">
        <v>17</v>
      </c>
      <c r="AE43" s="2370">
        <v>600</v>
      </c>
      <c r="AF43" s="2387">
        <v>30</v>
      </c>
      <c r="AG43" s="2394"/>
      <c r="AH43" s="2196"/>
      <c r="AI43" s="2394"/>
      <c r="AJ43" s="2196"/>
      <c r="AK43" s="2370">
        <v>170</v>
      </c>
      <c r="AL43" s="2387">
        <v>8</v>
      </c>
      <c r="AM43" s="2370">
        <v>103</v>
      </c>
      <c r="AN43" s="2387">
        <v>5</v>
      </c>
      <c r="AO43" s="2344"/>
      <c r="AP43" s="2398"/>
      <c r="AQ43" s="2344"/>
      <c r="AR43" s="2398"/>
      <c r="AS43" s="2344"/>
      <c r="AT43" s="2398"/>
      <c r="AU43" s="2344"/>
      <c r="AV43"/>
      <c r="AW43" s="2214">
        <v>1</v>
      </c>
      <c r="AX43" s="2215">
        <v>10000000</v>
      </c>
      <c r="AY43" s="2215">
        <v>10000000</v>
      </c>
      <c r="AZ43" s="2216">
        <f>AY43/AX43</f>
        <v>1</v>
      </c>
      <c r="BA43" s="2214">
        <v>20</v>
      </c>
      <c r="BB43" s="2214" t="s">
        <v>1994</v>
      </c>
      <c r="BC43" s="2217">
        <v>42530</v>
      </c>
      <c r="BD43" s="2218">
        <v>42530</v>
      </c>
      <c r="BE43" s="2217">
        <v>42649</v>
      </c>
      <c r="BF43" s="2218">
        <v>42649</v>
      </c>
      <c r="BG43" s="2344" t="s">
        <v>1936</v>
      </c>
    </row>
    <row r="44" spans="1:59" s="20" customFormat="1" ht="87.75" customHeight="1">
      <c r="A44"/>
      <c r="B44"/>
      <c r="C44"/>
      <c r="D44"/>
      <c r="E44" s="3351"/>
      <c r="F44" s="3350"/>
      <c r="G44" s="2401">
        <v>188</v>
      </c>
      <c r="H44" s="2219" t="s">
        <v>1995</v>
      </c>
      <c r="I44" s="2339" t="s">
        <v>1996</v>
      </c>
      <c r="J44" s="2405">
        <v>2</v>
      </c>
      <c r="K44" s="2359">
        <v>2</v>
      </c>
      <c r="L44" s="2209" t="s">
        <v>2010</v>
      </c>
      <c r="M44" s="2419">
        <v>113</v>
      </c>
      <c r="N44" s="2339" t="s">
        <v>2011</v>
      </c>
      <c r="O44" s="2336">
        <v>100</v>
      </c>
      <c r="P44" s="2352">
        <v>6650000</v>
      </c>
      <c r="Q44" s="3360"/>
      <c r="R44" s="3360"/>
      <c r="S44" s="2341" t="s">
        <v>1957</v>
      </c>
      <c r="T44" s="2212">
        <v>6650000</v>
      </c>
      <c r="U44" s="2407">
        <v>1900000</v>
      </c>
      <c r="V44" s="2407">
        <v>1900000</v>
      </c>
      <c r="W44" s="2341">
        <v>20</v>
      </c>
      <c r="X44" s="2333" t="s">
        <v>232</v>
      </c>
      <c r="Y44" s="2331"/>
      <c r="Z44" s="2335"/>
      <c r="AA44" s="2331"/>
      <c r="AB44" s="2335"/>
      <c r="AC44" s="2332">
        <v>350</v>
      </c>
      <c r="AD44" s="2400">
        <v>100</v>
      </c>
      <c r="AE44" s="2332">
        <v>600</v>
      </c>
      <c r="AF44" s="2400">
        <v>171</v>
      </c>
      <c r="AG44" s="2378"/>
      <c r="AH44" s="2377"/>
      <c r="AI44" s="2378"/>
      <c r="AJ44" s="2377"/>
      <c r="AK44" s="2332">
        <v>170</v>
      </c>
      <c r="AL44" s="2400">
        <v>49</v>
      </c>
      <c r="AM44" s="2332">
        <v>103</v>
      </c>
      <c r="AN44" s="2400">
        <v>29</v>
      </c>
      <c r="AO44" s="2331"/>
      <c r="AP44" s="2335"/>
      <c r="AQ44" s="2331"/>
      <c r="AR44" s="2335"/>
      <c r="AS44" s="2331"/>
      <c r="AT44" s="2335"/>
      <c r="AU44" s="2331"/>
      <c r="AV44"/>
      <c r="AW44" s="2404">
        <v>1</v>
      </c>
      <c r="AX44" s="2220">
        <f>U44</f>
        <v>1900000</v>
      </c>
      <c r="AY44" s="2220">
        <v>1900000</v>
      </c>
      <c r="AZ44" s="2221">
        <f>+AY44/AX44</f>
        <v>1</v>
      </c>
      <c r="BA44" s="2338">
        <v>20</v>
      </c>
      <c r="BB44" s="2338" t="s">
        <v>501</v>
      </c>
      <c r="BC44" s="2222">
        <v>42447</v>
      </c>
      <c r="BD44" s="2223">
        <v>42447</v>
      </c>
      <c r="BE44" s="2222">
        <v>42551</v>
      </c>
      <c r="BF44" s="2223">
        <v>42551</v>
      </c>
      <c r="BG44" s="2331" t="s">
        <v>1936</v>
      </c>
    </row>
    <row r="45" spans="1:59" ht="15">
      <c r="A45"/>
      <c r="B45"/>
      <c r="C45"/>
      <c r="D45"/>
      <c r="E45" s="730">
        <v>61</v>
      </c>
      <c r="F45" s="2715" t="s">
        <v>2012</v>
      </c>
      <c r="G45" s="2716"/>
      <c r="H45" s="2716"/>
      <c r="I45" s="2716"/>
      <c r="J45" s="2716"/>
      <c r="K45" s="681"/>
      <c r="L45" s="2716"/>
      <c r="M45" s="2716"/>
      <c r="N45" s="2716"/>
      <c r="O45" s="2716"/>
      <c r="P45" s="2716"/>
      <c r="Q45" s="2716"/>
      <c r="R45" s="2716"/>
      <c r="S45" s="2716"/>
      <c r="T45" s="2716"/>
      <c r="U45" s="2700"/>
      <c r="V45" s="2700"/>
      <c r="W45" s="2716"/>
      <c r="X45" s="2716"/>
      <c r="Y45" s="2716"/>
      <c r="Z45" s="799"/>
      <c r="AA45" s="2716"/>
      <c r="AB45" s="681"/>
      <c r="AC45" s="2716"/>
      <c r="AD45" s="681"/>
      <c r="AE45" s="2716"/>
      <c r="AF45" s="681"/>
      <c r="AG45" s="2716"/>
      <c r="AH45" s="681"/>
      <c r="AI45" s="2716"/>
      <c r="AJ45" s="681"/>
      <c r="AK45" s="2716"/>
      <c r="AL45" s="681"/>
      <c r="AM45" s="2716"/>
      <c r="AN45" s="681"/>
      <c r="AO45" s="2716"/>
      <c r="AP45" s="681"/>
      <c r="AQ45" s="2716"/>
      <c r="AR45" s="681"/>
      <c r="AS45" s="2716"/>
      <c r="AT45" s="681"/>
      <c r="AU45" s="2716"/>
      <c r="AV45" s="681"/>
      <c r="AW45" s="2716"/>
      <c r="AX45" s="2716"/>
      <c r="AY45" s="2716"/>
      <c r="AZ45" s="2716"/>
      <c r="BA45" s="2716"/>
      <c r="BB45" s="2716"/>
      <c r="BC45" s="2716"/>
      <c r="BD45" s="681"/>
      <c r="BE45" s="2716"/>
      <c r="BF45" s="681"/>
      <c r="BG45" s="2718"/>
    </row>
    <row r="46" spans="1:59" s="3" customFormat="1" ht="78" customHeight="1">
      <c r="A46"/>
      <c r="B46"/>
      <c r="C46"/>
      <c r="D46"/>
      <c r="E46" s="3347"/>
      <c r="F46" s="3350"/>
      <c r="G46" s="3113">
        <v>190</v>
      </c>
      <c r="H46" t="s">
        <v>2013</v>
      </c>
      <c r="I46" t="s">
        <v>2014</v>
      </c>
      <c r="J46">
        <v>1</v>
      </c>
      <c r="K46">
        <v>0.6</v>
      </c>
      <c r="L46" t="s">
        <v>2015</v>
      </c>
      <c r="M46">
        <v>114</v>
      </c>
      <c r="N46" t="s">
        <v>2016</v>
      </c>
      <c r="O46">
        <v>100</v>
      </c>
      <c r="P46">
        <v>150400000</v>
      </c>
      <c r="Q46" t="s">
        <v>1949</v>
      </c>
      <c r="R46" s="3360" t="s">
        <v>2017</v>
      </c>
      <c r="S46" s="2363" t="s">
        <v>2018</v>
      </c>
      <c r="T46" s="2224">
        <v>23866667</v>
      </c>
      <c r="U46" s="2195">
        <f>12800000+6400000+4666667</f>
        <v>23866667</v>
      </c>
      <c r="V46" s="2195">
        <f>12800000+6400000+4666667</f>
        <v>23866667</v>
      </c>
      <c r="W46">
        <v>20</v>
      </c>
      <c r="X46" t="s">
        <v>232</v>
      </c>
      <c r="Y46">
        <v>137</v>
      </c>
      <c r="Z46">
        <v>5</v>
      </c>
      <c r="AA46">
        <v>1365</v>
      </c>
      <c r="AB46">
        <v>51</v>
      </c>
      <c r="AC46">
        <v>2122</v>
      </c>
      <c r="AD46">
        <v>80</v>
      </c>
      <c r="AE46">
        <v>5382</v>
      </c>
      <c r="AF46">
        <v>220</v>
      </c>
      <c r="AG46">
        <v>7891</v>
      </c>
      <c r="AH46">
        <v>297</v>
      </c>
      <c r="AI46"/>
      <c r="AJ46" s="3232"/>
      <c r="AK46"/>
      <c r="AL46" s="3232"/>
      <c r="AM46"/>
      <c r="AN46" s="3232"/>
      <c r="AO46"/>
      <c r="AP46" s="3232"/>
      <c r="AQ46"/>
      <c r="AR46" s="3232"/>
      <c r="AS46"/>
      <c r="AT46" s="3232"/>
      <c r="AU46"/>
      <c r="AV46" s="3232"/>
      <c r="AW46">
        <v>12</v>
      </c>
      <c r="AX46">
        <f>+U46+U47+U48+U49+U50+U51</f>
        <v>74617073</v>
      </c>
      <c r="AY46">
        <f>+V46+V47+V48+V49+V50+V51</f>
        <v>74617073</v>
      </c>
      <c r="AZ46">
        <f>+AY46/AX46</f>
        <v>1</v>
      </c>
      <c r="BA46">
        <v>20</v>
      </c>
      <c r="BB46" s="3012" t="s">
        <v>1978</v>
      </c>
      <c r="BC46">
        <v>42604</v>
      </c>
      <c r="BD46" s="3242">
        <v>42604</v>
      </c>
      <c r="BE46">
        <v>42726</v>
      </c>
      <c r="BF46" s="3242">
        <v>42726</v>
      </c>
      <c r="BG46" t="s">
        <v>1936</v>
      </c>
    </row>
    <row r="47" spans="1:59" s="3" customFormat="1" ht="63" customHeight="1">
      <c r="A47"/>
      <c r="B47"/>
      <c r="C47"/>
      <c r="D47"/>
      <c r="E47" s="3349"/>
      <c r="F47" s="3350"/>
      <c r="G47" s="3113"/>
      <c r="H47"/>
      <c r="I47"/>
      <c r="J47"/>
      <c r="K47"/>
      <c r="L47"/>
      <c r="M47"/>
      <c r="N47"/>
      <c r="O47"/>
      <c r="P47"/>
      <c r="Q47"/>
      <c r="R47" s="3360"/>
      <c r="S47" s="2372" t="s">
        <v>2019</v>
      </c>
      <c r="T47" s="2225">
        <v>17600000</v>
      </c>
      <c r="U47" s="2195">
        <v>3833333</v>
      </c>
      <c r="V47" s="2195">
        <v>3833333</v>
      </c>
      <c r="W47"/>
      <c r="X47"/>
      <c r="Y47"/>
      <c r="Z47"/>
      <c r="AA47"/>
      <c r="AB47"/>
      <c r="AC47"/>
      <c r="AD47"/>
      <c r="AE47"/>
      <c r="AF47"/>
      <c r="AG47"/>
      <c r="AH47"/>
      <c r="AI47"/>
      <c r="AJ47"/>
      <c r="AK47"/>
      <c r="AL47"/>
      <c r="AM47"/>
      <c r="AN47"/>
      <c r="AO47"/>
      <c r="AP47"/>
      <c r="AQ47"/>
      <c r="AR47"/>
      <c r="AS47"/>
      <c r="AT47"/>
      <c r="AU47"/>
      <c r="AV47"/>
      <c r="AW47"/>
      <c r="AX47"/>
      <c r="AY47"/>
      <c r="AZ47"/>
      <c r="BA47"/>
      <c r="BB47" s="3013"/>
      <c r="BC47"/>
      <c r="BD47"/>
      <c r="BE47"/>
      <c r="BF47"/>
      <c r="BG47"/>
    </row>
    <row r="48" spans="1:59" s="3" customFormat="1" ht="61.5" customHeight="1">
      <c r="A48"/>
      <c r="B48"/>
      <c r="C48"/>
      <c r="D48"/>
      <c r="E48" s="3349"/>
      <c r="F48" s="3350"/>
      <c r="G48" s="3113"/>
      <c r="H48"/>
      <c r="I48"/>
      <c r="J48"/>
      <c r="K48"/>
      <c r="L48"/>
      <c r="M48"/>
      <c r="N48"/>
      <c r="O48"/>
      <c r="P48"/>
      <c r="Q48"/>
      <c r="R48" s="3360"/>
      <c r="S48" s="1806" t="s">
        <v>2020</v>
      </c>
      <c r="T48" s="2225">
        <v>7600000</v>
      </c>
      <c r="U48" s="2195">
        <v>7600000</v>
      </c>
      <c r="V48" s="2195">
        <v>7600000</v>
      </c>
      <c r="W48"/>
      <c r="X48"/>
      <c r="Y48"/>
      <c r="Z48"/>
      <c r="AA48"/>
      <c r="AB48"/>
      <c r="AC48"/>
      <c r="AD48"/>
      <c r="AE48"/>
      <c r="AF48"/>
      <c r="AG48"/>
      <c r="AH48"/>
      <c r="AI48"/>
      <c r="AJ48"/>
      <c r="AK48"/>
      <c r="AL48"/>
      <c r="AM48"/>
      <c r="AN48"/>
      <c r="AO48"/>
      <c r="AP48"/>
      <c r="AQ48"/>
      <c r="AR48"/>
      <c r="AS48"/>
      <c r="AT48"/>
      <c r="AU48"/>
      <c r="AV48"/>
      <c r="AW48"/>
      <c r="AX48"/>
      <c r="AY48"/>
      <c r="AZ48"/>
      <c r="BA48"/>
      <c r="BB48" s="3013"/>
      <c r="BC48"/>
      <c r="BD48"/>
      <c r="BE48"/>
      <c r="BF48"/>
      <c r="BG48"/>
    </row>
    <row r="49" spans="1:59" s="3" customFormat="1" ht="61.5" customHeight="1">
      <c r="A49"/>
      <c r="B49"/>
      <c r="C49"/>
      <c r="D49"/>
      <c r="E49" s="3349"/>
      <c r="F49" s="3350"/>
      <c r="G49" s="3113"/>
      <c r="H49"/>
      <c r="I49"/>
      <c r="J49"/>
      <c r="K49"/>
      <c r="L49"/>
      <c r="M49"/>
      <c r="N49"/>
      <c r="O49"/>
      <c r="P49"/>
      <c r="Q49"/>
      <c r="R49" s="3360"/>
      <c r="S49" s="1806" t="s">
        <v>2021</v>
      </c>
      <c r="T49" s="2225">
        <v>620000</v>
      </c>
      <c r="U49" s="2195">
        <v>0</v>
      </c>
      <c r="V49" s="2195">
        <v>0</v>
      </c>
      <c r="W49"/>
      <c r="X49"/>
      <c r="Y49"/>
      <c r="Z49"/>
      <c r="AA49"/>
      <c r="AB49"/>
      <c r="AC49"/>
      <c r="AD49"/>
      <c r="AE49"/>
      <c r="AF49"/>
      <c r="AG49"/>
      <c r="AH49"/>
      <c r="AI49"/>
      <c r="AJ49"/>
      <c r="AK49"/>
      <c r="AL49"/>
      <c r="AM49"/>
      <c r="AN49"/>
      <c r="AO49"/>
      <c r="AP49"/>
      <c r="AQ49"/>
      <c r="AR49"/>
      <c r="AS49"/>
      <c r="AT49"/>
      <c r="AU49"/>
      <c r="AV49"/>
      <c r="AW49"/>
      <c r="AX49"/>
      <c r="AY49"/>
      <c r="AZ49"/>
      <c r="BA49"/>
      <c r="BB49" s="3013"/>
      <c r="BC49"/>
      <c r="BD49"/>
      <c r="BE49"/>
      <c r="BF49"/>
      <c r="BG49"/>
    </row>
    <row r="50" spans="1:59" s="3" customFormat="1" ht="61.5" customHeight="1">
      <c r="A50"/>
      <c r="B50"/>
      <c r="C50"/>
      <c r="D50"/>
      <c r="E50" s="3349"/>
      <c r="F50" s="3350"/>
      <c r="G50" s="3113"/>
      <c r="H50"/>
      <c r="I50"/>
      <c r="J50"/>
      <c r="K50"/>
      <c r="L50"/>
      <c r="M50"/>
      <c r="N50"/>
      <c r="O50"/>
      <c r="P50"/>
      <c r="Q50"/>
      <c r="R50" s="3360"/>
      <c r="S50" s="1806" t="s">
        <v>2022</v>
      </c>
      <c r="T50" s="2225">
        <v>96681833</v>
      </c>
      <c r="U50" s="2195">
        <v>39317073</v>
      </c>
      <c r="V50" s="2195">
        <v>39317073</v>
      </c>
      <c r="W50"/>
      <c r="X50"/>
      <c r="Y50"/>
      <c r="Z50"/>
      <c r="AA50"/>
      <c r="AB50"/>
      <c r="AC50"/>
      <c r="AD50"/>
      <c r="AE50"/>
      <c r="AF50"/>
      <c r="AG50"/>
      <c r="AH50"/>
      <c r="AI50"/>
      <c r="AJ50"/>
      <c r="AK50"/>
      <c r="AL50"/>
      <c r="AM50"/>
      <c r="AN50"/>
      <c r="AO50"/>
      <c r="AP50"/>
      <c r="AQ50"/>
      <c r="AR50"/>
      <c r="AS50"/>
      <c r="AT50"/>
      <c r="AU50"/>
      <c r="AV50"/>
      <c r="AW50"/>
      <c r="AX50"/>
      <c r="AY50"/>
      <c r="AZ50"/>
      <c r="BA50"/>
      <c r="BB50" s="3013"/>
      <c r="BC50"/>
      <c r="BD50"/>
      <c r="BE50"/>
      <c r="BF50"/>
      <c r="BG50"/>
    </row>
    <row r="51" spans="1:59" s="3" customFormat="1" ht="46.5" customHeight="1">
      <c r="A51"/>
      <c r="B51"/>
      <c r="C51"/>
      <c r="D51"/>
      <c r="E51" s="3349"/>
      <c r="F51" s="3350"/>
      <c r="G51" s="3121"/>
      <c r="H51"/>
      <c r="I51"/>
      <c r="J51"/>
      <c r="K51"/>
      <c r="L51"/>
      <c r="M51"/>
      <c r="N51"/>
      <c r="O51"/>
      <c r="P51"/>
      <c r="Q51"/>
      <c r="R51" s="3361"/>
      <c r="S51" s="1806" t="s">
        <v>2023</v>
      </c>
      <c r="T51" s="2225">
        <v>4031500</v>
      </c>
      <c r="U51" s="2195">
        <v>0</v>
      </c>
      <c r="V51" s="2195">
        <v>0</v>
      </c>
      <c r="W51"/>
      <c r="X51"/>
      <c r="Y51"/>
      <c r="Z51"/>
      <c r="AA51"/>
      <c r="AB51"/>
      <c r="AC51"/>
      <c r="AD51"/>
      <c r="AE51"/>
      <c r="AF51"/>
      <c r="AG51"/>
      <c r="AH51"/>
      <c r="AI51"/>
      <c r="AJ51" s="3233"/>
      <c r="AK51"/>
      <c r="AL51" s="3233"/>
      <c r="AM51"/>
      <c r="AN51" s="3233"/>
      <c r="AO51"/>
      <c r="AP51" s="3233"/>
      <c r="AQ51"/>
      <c r="AR51" s="3233"/>
      <c r="AS51"/>
      <c r="AT51" s="3233"/>
      <c r="AU51"/>
      <c r="AV51" s="3233"/>
      <c r="AW51"/>
      <c r="AX51"/>
      <c r="AY51"/>
      <c r="AZ51"/>
      <c r="BA51"/>
      <c r="BB51" s="3014"/>
      <c r="BC51"/>
      <c r="BD51"/>
      <c r="BE51"/>
      <c r="BF51"/>
      <c r="BG51"/>
    </row>
    <row r="52" spans="1:59" s="3" customFormat="1" ht="63.75" customHeight="1">
      <c r="A52"/>
      <c r="B52"/>
      <c r="C52"/>
      <c r="D52"/>
      <c r="E52" s="3349"/>
      <c r="F52" s="3350"/>
      <c r="G52">
        <v>190</v>
      </c>
      <c r="H52" t="s">
        <v>2013</v>
      </c>
      <c r="I52" t="s">
        <v>2014</v>
      </c>
      <c r="J52">
        <v>1</v>
      </c>
      <c r="K52">
        <v>0.6</v>
      </c>
      <c r="L52" s="2379" t="s">
        <v>2024</v>
      </c>
      <c r="M52" s="2213">
        <v>115</v>
      </c>
      <c r="N52" s="2372" t="s">
        <v>2025</v>
      </c>
      <c r="O52" s="2344">
        <v>100</v>
      </c>
      <c r="P52" s="2368">
        <v>22000000</v>
      </c>
      <c r="Q52" t="s">
        <v>1949</v>
      </c>
      <c r="R52" s="3359" t="s">
        <v>2017</v>
      </c>
      <c r="S52" s="2370" t="s">
        <v>1957</v>
      </c>
      <c r="T52" s="2201">
        <v>22000000</v>
      </c>
      <c r="U52" s="2407">
        <v>22000000</v>
      </c>
      <c r="V52" s="2407">
        <v>22000000</v>
      </c>
      <c r="W52" s="2370">
        <v>20</v>
      </c>
      <c r="X52" s="2343" t="s">
        <v>232</v>
      </c>
      <c r="Y52" s="2226">
        <v>137</v>
      </c>
      <c r="Z52" s="2227">
        <v>137</v>
      </c>
      <c r="AA52" s="2226">
        <v>1365</v>
      </c>
      <c r="AB52" s="2227">
        <v>1365</v>
      </c>
      <c r="AC52" s="2226">
        <v>2122</v>
      </c>
      <c r="AD52" s="2227">
        <v>2122</v>
      </c>
      <c r="AE52" s="2226">
        <v>5382</v>
      </c>
      <c r="AF52" s="2227">
        <v>5382</v>
      </c>
      <c r="AG52" s="2226">
        <v>7891</v>
      </c>
      <c r="AH52" s="2227">
        <v>7891</v>
      </c>
      <c r="AI52" s="2228"/>
      <c r="AJ52" s="2229"/>
      <c r="AK52" s="2228"/>
      <c r="AL52" s="2229"/>
      <c r="AM52" s="2228"/>
      <c r="AN52" s="2229"/>
      <c r="AO52" s="2228"/>
      <c r="AP52" s="3232"/>
      <c r="AQ52"/>
      <c r="AR52" s="3232"/>
      <c r="AS52"/>
      <c r="AT52" s="3232"/>
      <c r="AU52"/>
      <c r="AV52" s="3232"/>
      <c r="AW52" s="2370">
        <v>3</v>
      </c>
      <c r="AX52" s="2230">
        <v>22000000</v>
      </c>
      <c r="AY52" s="2230">
        <v>22000000</v>
      </c>
      <c r="AZ52" s="2366">
        <f>+AY52/AX52</f>
        <v>1</v>
      </c>
      <c r="BA52" s="2370">
        <v>20</v>
      </c>
      <c r="BB52" s="2343" t="s">
        <v>2026</v>
      </c>
      <c r="BC52" s="2385">
        <v>42411</v>
      </c>
      <c r="BD52" s="2386">
        <v>42411</v>
      </c>
      <c r="BE52" s="2385">
        <v>42574</v>
      </c>
      <c r="BF52" s="2386">
        <v>42574</v>
      </c>
      <c r="BG52" s="2344" t="s">
        <v>1936</v>
      </c>
    </row>
    <row r="53" spans="1:59" s="3" customFormat="1" ht="71.25" customHeight="1">
      <c r="A53"/>
      <c r="B53"/>
      <c r="C53"/>
      <c r="D53"/>
      <c r="E53" s="3351"/>
      <c r="F53" s="3352"/>
      <c r="G53"/>
      <c r="H53"/>
      <c r="I53"/>
      <c r="J53"/>
      <c r="K53"/>
      <c r="L53" s="2379" t="s">
        <v>2027</v>
      </c>
      <c r="M53" s="2213">
        <v>116</v>
      </c>
      <c r="N53" s="2372" t="s">
        <v>2028</v>
      </c>
      <c r="O53" s="2344">
        <v>100</v>
      </c>
      <c r="P53" s="2368">
        <v>7600000</v>
      </c>
      <c r="Q53"/>
      <c r="R53" s="3360"/>
      <c r="S53" s="2370" t="s">
        <v>1957</v>
      </c>
      <c r="T53" s="2201">
        <v>7600000</v>
      </c>
      <c r="U53" s="2407">
        <v>7600000</v>
      </c>
      <c r="V53" s="2407">
        <v>7600000</v>
      </c>
      <c r="W53" s="2370">
        <v>20</v>
      </c>
      <c r="X53" s="2343" t="s">
        <v>232</v>
      </c>
      <c r="Y53" s="2226">
        <v>137</v>
      </c>
      <c r="Z53" s="2227">
        <v>137</v>
      </c>
      <c r="AA53" s="2226">
        <v>1365</v>
      </c>
      <c r="AB53" s="2227">
        <v>1365</v>
      </c>
      <c r="AC53" s="2226">
        <v>2122</v>
      </c>
      <c r="AD53" s="2227">
        <v>2122</v>
      </c>
      <c r="AE53" s="2226">
        <v>5382</v>
      </c>
      <c r="AF53" s="2227">
        <v>5382</v>
      </c>
      <c r="AG53" s="2226">
        <v>7891</v>
      </c>
      <c r="AH53" s="2231">
        <v>7891</v>
      </c>
      <c r="AI53" s="2232"/>
      <c r="AJ53" s="2198"/>
      <c r="AK53" s="2232"/>
      <c r="AL53" s="2198"/>
      <c r="AM53" s="2232"/>
      <c r="AN53" s="2198"/>
      <c r="AO53" s="2232"/>
      <c r="AP53" s="3233"/>
      <c r="AQ53"/>
      <c r="AR53" s="3233"/>
      <c r="AS53"/>
      <c r="AT53" s="3233"/>
      <c r="AU53"/>
      <c r="AV53" s="3233"/>
      <c r="AW53" s="2384">
        <v>1</v>
      </c>
      <c r="AX53" s="2390">
        <v>7600000</v>
      </c>
      <c r="AY53" s="2390">
        <v>7600000</v>
      </c>
      <c r="AZ53" s="2365">
        <f>+AY53/AX53</f>
        <v>1</v>
      </c>
      <c r="BA53" s="2384">
        <v>20</v>
      </c>
      <c r="BB53" s="2343" t="s">
        <v>2026</v>
      </c>
      <c r="BC53" s="2392">
        <v>42447</v>
      </c>
      <c r="BD53" s="2356">
        <v>42447</v>
      </c>
      <c r="BE53" s="2392">
        <v>42566</v>
      </c>
      <c r="BF53" s="2356">
        <v>42566</v>
      </c>
      <c r="BG53" s="2344" t="s">
        <v>1936</v>
      </c>
    </row>
    <row r="54" spans="1:59" s="597" customFormat="1" ht="15">
      <c r="A54"/>
      <c r="B54"/>
      <c r="C54" s="2233">
        <v>18</v>
      </c>
      <c r="D54" s="690" t="s">
        <v>2029</v>
      </c>
      <c r="E54" s="691"/>
      <c r="F54" s="691"/>
      <c r="G54" s="691"/>
      <c r="H54" s="691"/>
      <c r="I54" s="691"/>
      <c r="J54" s="691"/>
      <c r="K54" s="692"/>
      <c r="L54" s="691"/>
      <c r="M54" s="691"/>
      <c r="N54" s="691"/>
      <c r="O54" s="691"/>
      <c r="P54" s="691"/>
      <c r="Q54" s="691"/>
      <c r="R54" s="691"/>
      <c r="S54" s="691"/>
      <c r="T54" s="691"/>
      <c r="U54" s="2420"/>
      <c r="V54" s="2421"/>
      <c r="W54" s="691"/>
      <c r="X54" s="691"/>
      <c r="Y54" s="691"/>
      <c r="Z54" s="692"/>
      <c r="AA54" s="691"/>
      <c r="AB54" s="692"/>
      <c r="AC54" s="691"/>
      <c r="AD54" s="692"/>
      <c r="AE54" s="691"/>
      <c r="AF54" s="692"/>
      <c r="AG54" s="691"/>
      <c r="AH54" s="692"/>
      <c r="AI54" s="691"/>
      <c r="AJ54" s="692"/>
      <c r="AK54" s="691"/>
      <c r="AL54" s="692"/>
      <c r="AM54" s="691"/>
      <c r="AN54" s="692"/>
      <c r="AO54" s="691"/>
      <c r="AP54" s="692"/>
      <c r="AQ54" s="691"/>
      <c r="AR54" s="692"/>
      <c r="AS54" s="691"/>
      <c r="AT54" s="692"/>
      <c r="AU54" s="691"/>
      <c r="AV54" s="692"/>
      <c r="AW54" s="691"/>
      <c r="AX54" s="691"/>
      <c r="AY54" s="691"/>
      <c r="AZ54" s="691"/>
      <c r="BA54" s="691"/>
      <c r="BB54" s="691"/>
      <c r="BC54" s="691"/>
      <c r="BD54" s="692"/>
      <c r="BE54" s="691"/>
      <c r="BF54" s="692"/>
      <c r="BG54" s="2192"/>
    </row>
    <row r="55" spans="1:59" s="3" customFormat="1" ht="15">
      <c r="A55"/>
      <c r="B55"/>
      <c r="C55" s="3349"/>
      <c r="D55" s="3350"/>
      <c r="E55" s="730">
        <v>62</v>
      </c>
      <c r="F55" s="2719" t="s">
        <v>2030</v>
      </c>
      <c r="G55" s="2719"/>
      <c r="H55" s="2719"/>
      <c r="I55" s="2719"/>
      <c r="J55" s="2719"/>
      <c r="K55" s="2720"/>
      <c r="L55" s="1760"/>
      <c r="M55" s="1760"/>
      <c r="N55" s="1760"/>
      <c r="O55" s="1760"/>
      <c r="P55" s="1760"/>
      <c r="Q55" s="1760"/>
      <c r="R55" s="1760"/>
      <c r="S55" s="1760"/>
      <c r="T55" s="1760"/>
      <c r="U55" s="2721"/>
      <c r="V55" s="2722"/>
      <c r="W55" s="1760"/>
      <c r="X55" s="1760"/>
      <c r="Y55" s="1760"/>
      <c r="Z55" s="475"/>
      <c r="AA55" s="1760"/>
      <c r="AB55" s="475"/>
      <c r="AC55" s="1760"/>
      <c r="AD55" s="475"/>
      <c r="AE55" s="1760"/>
      <c r="AF55" s="475"/>
      <c r="AG55" s="1760"/>
      <c r="AH55" s="475"/>
      <c r="AI55" s="1760"/>
      <c r="AJ55" s="475"/>
      <c r="AK55" s="1760"/>
      <c r="AL55" s="475"/>
      <c r="AM55" s="1760"/>
      <c r="AN55" s="475"/>
      <c r="AO55" s="1760"/>
      <c r="AP55" s="475"/>
      <c r="AQ55" s="1760"/>
      <c r="AR55" s="475"/>
      <c r="AS55" s="1760"/>
      <c r="AT55" s="475"/>
      <c r="AU55" s="1760"/>
      <c r="AV55" s="475"/>
      <c r="AW55" s="1760"/>
      <c r="AX55" s="1760"/>
      <c r="AY55" s="1760"/>
      <c r="AZ55" s="1760"/>
      <c r="BA55" s="1760"/>
      <c r="BB55" s="1760"/>
      <c r="BC55" s="1760"/>
      <c r="BD55" s="475"/>
      <c r="BE55" s="1760"/>
      <c r="BF55" s="475"/>
      <c r="BG55" s="2723"/>
    </row>
    <row r="56" spans="1:59" s="3" customFormat="1" ht="69.75" customHeight="1">
      <c r="A56"/>
      <c r="B56"/>
      <c r="C56" s="3349"/>
      <c r="D56" s="3350"/>
      <c r="E56" s="3347"/>
      <c r="F56" s="3348"/>
      <c r="G56">
        <v>191</v>
      </c>
      <c r="H56" t="s">
        <v>2031</v>
      </c>
      <c r="I56" t="s">
        <v>2032</v>
      </c>
      <c r="J56" s="3220">
        <v>1</v>
      </c>
      <c r="K56">
        <v>0.6</v>
      </c>
      <c r="L56" t="s">
        <v>2033</v>
      </c>
      <c r="M56">
        <v>117</v>
      </c>
      <c r="N56" t="s">
        <v>2034</v>
      </c>
      <c r="O56">
        <v>100</v>
      </c>
      <c r="P56">
        <v>85000000</v>
      </c>
      <c r="Q56" t="s">
        <v>2035</v>
      </c>
      <c r="R56" s="3360" t="s">
        <v>2036</v>
      </c>
      <c r="S56" t="s">
        <v>2037</v>
      </c>
      <c r="T56">
        <v>75000000</v>
      </c>
      <c r="U56">
        <v>75000000</v>
      </c>
      <c r="V56">
        <v>51000000</v>
      </c>
      <c r="W56">
        <v>20</v>
      </c>
      <c r="X56" t="s">
        <v>232</v>
      </c>
      <c r="Y56"/>
      <c r="Z56" s="3232"/>
      <c r="AA56"/>
      <c r="AB56" s="3232"/>
      <c r="AC56"/>
      <c r="AD56" s="3232"/>
      <c r="AE56">
        <v>755</v>
      </c>
      <c r="AF56">
        <v>0</v>
      </c>
      <c r="AG56">
        <v>1500</v>
      </c>
      <c r="AH56">
        <v>0</v>
      </c>
      <c r="AI56">
        <v>95</v>
      </c>
      <c r="AJ56">
        <v>0</v>
      </c>
      <c r="AK56">
        <v>20</v>
      </c>
      <c r="AL56" s="3140">
        <v>0</v>
      </c>
      <c r="AM56">
        <v>10</v>
      </c>
      <c r="AN56" s="3140">
        <v>0</v>
      </c>
      <c r="AO56"/>
      <c r="AP56" s="3232"/>
      <c r="AQ56"/>
      <c r="AR56" s="3232"/>
      <c r="AS56"/>
      <c r="AT56" s="3232"/>
      <c r="AU56"/>
      <c r="AV56" s="3232"/>
      <c r="AW56">
        <v>2</v>
      </c>
      <c r="AX56">
        <v>75000000</v>
      </c>
      <c r="AY56">
        <f>V56</f>
        <v>51000000</v>
      </c>
      <c r="AZ56" s="3590">
        <f>AY56/AX56</f>
        <v>0.68</v>
      </c>
      <c r="BA56">
        <v>20</v>
      </c>
      <c r="BB56" s="3012" t="s">
        <v>1982</v>
      </c>
      <c r="BC56" t="s">
        <v>2132</v>
      </c>
      <c r="BD56" t="s">
        <v>2133</v>
      </c>
      <c r="BE56">
        <v>42735</v>
      </c>
      <c r="BF56">
        <v>42735</v>
      </c>
      <c r="BG56" t="s">
        <v>1936</v>
      </c>
    </row>
    <row r="57" spans="1:59" s="3" customFormat="1" ht="53.25" customHeight="1">
      <c r="A57"/>
      <c r="B57"/>
      <c r="C57" s="3349"/>
      <c r="D57" s="3350"/>
      <c r="E57" s="3349"/>
      <c r="F57" s="3350"/>
      <c r="G57"/>
      <c r="H57"/>
      <c r="I57"/>
      <c r="J57" s="3220"/>
      <c r="K57"/>
      <c r="L57"/>
      <c r="M57"/>
      <c r="N57"/>
      <c r="O57"/>
      <c r="P57"/>
      <c r="Q57"/>
      <c r="R57" s="3360"/>
      <c r="S57"/>
      <c r="T57"/>
      <c r="U57"/>
      <c r="V57"/>
      <c r="W57"/>
      <c r="X57"/>
      <c r="Y57"/>
      <c r="Z57"/>
      <c r="AA57"/>
      <c r="AB57"/>
      <c r="AC57"/>
      <c r="AD57"/>
      <c r="AE57"/>
      <c r="AF57"/>
      <c r="AG57"/>
      <c r="AH57"/>
      <c r="AI57"/>
      <c r="AJ57"/>
      <c r="AK57"/>
      <c r="AL57" s="3141"/>
      <c r="AM57"/>
      <c r="AN57" s="3141"/>
      <c r="AO57"/>
      <c r="AP57"/>
      <c r="AQ57"/>
      <c r="AR57"/>
      <c r="AS57"/>
      <c r="AT57"/>
      <c r="AU57"/>
      <c r="AV57"/>
      <c r="AW57"/>
      <c r="AX57"/>
      <c r="AY57"/>
      <c r="AZ57" s="3591"/>
      <c r="BA57"/>
      <c r="BB57" s="3013"/>
      <c r="BC57"/>
      <c r="BD57"/>
      <c r="BE57"/>
      <c r="BF57"/>
      <c r="BG57"/>
    </row>
    <row r="58" spans="1:59" s="3" customFormat="1" ht="90" customHeight="1">
      <c r="A58"/>
      <c r="B58"/>
      <c r="C58" s="3349"/>
      <c r="D58" s="3350"/>
      <c r="E58" s="3349"/>
      <c r="F58" s="3350"/>
      <c r="G58"/>
      <c r="H58"/>
      <c r="I58"/>
      <c r="J58" s="3220"/>
      <c r="K58"/>
      <c r="L58"/>
      <c r="M58"/>
      <c r="N58"/>
      <c r="O58"/>
      <c r="P58"/>
      <c r="Q58"/>
      <c r="R58" s="3360"/>
      <c r="S58" s="2422" t="s">
        <v>2038</v>
      </c>
      <c r="T58" s="2396">
        <v>10000000</v>
      </c>
      <c r="U58" s="2423">
        <v>0</v>
      </c>
      <c r="V58" s="2423">
        <v>0</v>
      </c>
      <c r="W58"/>
      <c r="X58"/>
      <c r="Y58"/>
      <c r="Z58"/>
      <c r="AA58"/>
      <c r="AB58"/>
      <c r="AC58"/>
      <c r="AD58"/>
      <c r="AE58"/>
      <c r="AF58"/>
      <c r="AG58"/>
      <c r="AH58"/>
      <c r="AI58"/>
      <c r="AJ58"/>
      <c r="AK58"/>
      <c r="AL58" s="3141"/>
      <c r="AM58"/>
      <c r="AN58" s="3141"/>
      <c r="AO58"/>
      <c r="AP58"/>
      <c r="AQ58"/>
      <c r="AR58"/>
      <c r="AS58"/>
      <c r="AT58"/>
      <c r="AU58"/>
      <c r="AV58"/>
      <c r="AW58"/>
      <c r="AX58"/>
      <c r="AY58"/>
      <c r="AZ58" s="3591"/>
      <c r="BA58"/>
      <c r="BB58" s="3013"/>
      <c r="BC58"/>
      <c r="BD58"/>
      <c r="BE58"/>
      <c r="BF58"/>
      <c r="BG58"/>
    </row>
    <row r="59" spans="1:59" s="3" customFormat="1" ht="85.5">
      <c r="A59"/>
      <c r="B59"/>
      <c r="C59" s="3349"/>
      <c r="D59" s="3350"/>
      <c r="E59" s="3349"/>
      <c r="F59" s="3350"/>
      <c r="G59">
        <v>192</v>
      </c>
      <c r="H59" t="s">
        <v>2039</v>
      </c>
      <c r="I59" t="s">
        <v>2040</v>
      </c>
      <c r="J59">
        <v>1</v>
      </c>
      <c r="K59">
        <v>0.4</v>
      </c>
      <c r="L59" t="s">
        <v>2041</v>
      </c>
      <c r="M59">
        <v>118</v>
      </c>
      <c r="N59" t="s">
        <v>2042</v>
      </c>
      <c r="O59">
        <v>100</v>
      </c>
      <c r="P59">
        <v>51200000</v>
      </c>
      <c r="Q59" t="s">
        <v>2035</v>
      </c>
      <c r="R59" s="3359" t="s">
        <v>2043</v>
      </c>
      <c r="S59" s="2372" t="s">
        <v>2044</v>
      </c>
      <c r="T59" s="2197">
        <v>42000000</v>
      </c>
      <c r="U59" s="2195">
        <v>21956666</v>
      </c>
      <c r="V59" s="2195">
        <v>21956666</v>
      </c>
      <c r="W59">
        <v>20</v>
      </c>
      <c r="X59" t="s">
        <v>232</v>
      </c>
      <c r="Y59"/>
      <c r="Z59" s="3232"/>
      <c r="AA59"/>
      <c r="AB59" s="3232"/>
      <c r="AC59"/>
      <c r="AD59" s="3232"/>
      <c r="AE59"/>
      <c r="AF59" s="3232"/>
      <c r="AG59"/>
      <c r="AH59" s="3232"/>
      <c r="AI59"/>
      <c r="AJ59" s="3232"/>
      <c r="AK59"/>
      <c r="AL59" s="3232"/>
      <c r="AM59"/>
      <c r="AN59" s="3232"/>
      <c r="AO59"/>
      <c r="AP59" s="3232"/>
      <c r="AQ59"/>
      <c r="AR59" s="3232"/>
      <c r="AS59"/>
      <c r="AT59" s="3232"/>
      <c r="AU59"/>
      <c r="AV59" s="3232"/>
      <c r="AW59">
        <v>4</v>
      </c>
      <c r="AX59">
        <f>+U59+U60</f>
        <v>21956666</v>
      </c>
      <c r="AY59">
        <f>+V59+V60</f>
        <v>21956666</v>
      </c>
      <c r="AZ59">
        <f>+AY59/AX59</f>
        <v>1</v>
      </c>
      <c r="BA59">
        <v>20</v>
      </c>
      <c r="BB59" s="3012" t="s">
        <v>2045</v>
      </c>
      <c r="BC59">
        <v>42614</v>
      </c>
      <c r="BD59">
        <v>42614</v>
      </c>
      <c r="BE59">
        <v>42721</v>
      </c>
      <c r="BF59">
        <v>42721</v>
      </c>
      <c r="BG59" t="s">
        <v>1936</v>
      </c>
    </row>
    <row r="60" spans="1:59" s="3" customFormat="1" ht="69" customHeight="1">
      <c r="A60"/>
      <c r="B60"/>
      <c r="C60" s="3349"/>
      <c r="D60" s="3350"/>
      <c r="E60" s="3349"/>
      <c r="F60" s="3350"/>
      <c r="G60"/>
      <c r="H60"/>
      <c r="I60"/>
      <c r="J60"/>
      <c r="K60"/>
      <c r="L60"/>
      <c r="M60"/>
      <c r="N60"/>
      <c r="O60"/>
      <c r="P60"/>
      <c r="Q60"/>
      <c r="R60" s="3361"/>
      <c r="S60" s="2372" t="s">
        <v>2046</v>
      </c>
      <c r="T60" s="2197">
        <v>9200000</v>
      </c>
      <c r="U60" s="2424">
        <v>0</v>
      </c>
      <c r="V60" s="2424">
        <v>0</v>
      </c>
      <c r="W60"/>
      <c r="X60"/>
      <c r="Y60"/>
      <c r="Z60" s="3233"/>
      <c r="AA60"/>
      <c r="AB60" s="3233"/>
      <c r="AC60"/>
      <c r="AD60" s="3233"/>
      <c r="AE60"/>
      <c r="AF60" s="3233"/>
      <c r="AG60"/>
      <c r="AH60" s="3233"/>
      <c r="AI60"/>
      <c r="AJ60" s="3233"/>
      <c r="AK60"/>
      <c r="AL60" s="3233"/>
      <c r="AM60"/>
      <c r="AN60" s="3233"/>
      <c r="AO60"/>
      <c r="AP60" s="3233"/>
      <c r="AQ60"/>
      <c r="AR60" s="3233"/>
      <c r="AS60"/>
      <c r="AT60" s="3233"/>
      <c r="AU60"/>
      <c r="AV60" s="3233"/>
      <c r="AW60"/>
      <c r="AX60"/>
      <c r="AY60"/>
      <c r="AZ60"/>
      <c r="BA60"/>
      <c r="BB60" s="3014"/>
      <c r="BC60"/>
      <c r="BD60"/>
      <c r="BE60"/>
      <c r="BF60"/>
      <c r="BG60"/>
    </row>
    <row r="61" spans="1:59" s="3" customFormat="1" ht="94.5" customHeight="1">
      <c r="A61"/>
      <c r="B61"/>
      <c r="C61" s="3349"/>
      <c r="D61" s="3350"/>
      <c r="E61" s="3349"/>
      <c r="F61" s="3350"/>
      <c r="G61">
        <v>192</v>
      </c>
      <c r="H61" t="s">
        <v>2039</v>
      </c>
      <c r="I61" t="s">
        <v>2040</v>
      </c>
      <c r="J61">
        <v>1</v>
      </c>
      <c r="K61">
        <v>0.4</v>
      </c>
      <c r="L61" s="2346" t="s">
        <v>2047</v>
      </c>
      <c r="M61" s="2234">
        <v>119</v>
      </c>
      <c r="N61" s="2372" t="s">
        <v>2048</v>
      </c>
      <c r="O61" s="2344">
        <v>100</v>
      </c>
      <c r="P61" s="2368">
        <v>5000000</v>
      </c>
      <c r="Q61" t="s">
        <v>2035</v>
      </c>
      <c r="R61" t="s">
        <v>2043</v>
      </c>
      <c r="S61" s="2370" t="s">
        <v>1957</v>
      </c>
      <c r="T61" s="2201">
        <v>5000000</v>
      </c>
      <c r="U61" s="2407">
        <v>5000000</v>
      </c>
      <c r="V61" s="2407">
        <v>5000000</v>
      </c>
      <c r="W61" s="2370">
        <v>20</v>
      </c>
      <c r="X61" s="2344" t="s">
        <v>232</v>
      </c>
      <c r="Y61" s="2388"/>
      <c r="Z61" s="2357"/>
      <c r="AA61" s="2388"/>
      <c r="AB61" s="2357"/>
      <c r="AC61" s="2388"/>
      <c r="AD61" s="2357"/>
      <c r="AE61" s="2388"/>
      <c r="AF61" s="2357"/>
      <c r="AG61" s="2388"/>
      <c r="AH61" s="2357"/>
      <c r="AI61" s="2394"/>
      <c r="AJ61" s="2196"/>
      <c r="AK61" s="2394"/>
      <c r="AL61" s="2196"/>
      <c r="AM61" s="2394"/>
      <c r="AN61" s="2196"/>
      <c r="AO61" s="2394"/>
      <c r="AP61" s="2196"/>
      <c r="AQ61" s="2394"/>
      <c r="AR61" s="2196"/>
      <c r="AS61" s="2394"/>
      <c r="AT61" s="2196"/>
      <c r="AU61" s="2394"/>
      <c r="AV61" s="2196"/>
      <c r="AW61" s="2370">
        <v>1</v>
      </c>
      <c r="AX61" s="2230">
        <v>5000000</v>
      </c>
      <c r="AY61" s="2230">
        <v>5000000</v>
      </c>
      <c r="AZ61" s="2366">
        <f>+AY61/AX61</f>
        <v>1</v>
      </c>
      <c r="BA61" s="2370">
        <v>20</v>
      </c>
      <c r="BB61" s="2193" t="s">
        <v>2045</v>
      </c>
      <c r="BC61" s="2385">
        <v>42502</v>
      </c>
      <c r="BD61" s="2386">
        <v>42502</v>
      </c>
      <c r="BE61" s="2385">
        <v>42561</v>
      </c>
      <c r="BF61" s="2386">
        <v>42561</v>
      </c>
      <c r="BG61" s="2344" t="s">
        <v>1936</v>
      </c>
    </row>
    <row r="62" spans="1:59" s="3" customFormat="1" ht="110.25" customHeight="1">
      <c r="A62"/>
      <c r="B62"/>
      <c r="C62" s="3349"/>
      <c r="D62" s="3350"/>
      <c r="E62" s="3349"/>
      <c r="F62" s="3350"/>
      <c r="G62"/>
      <c r="H62"/>
      <c r="I62"/>
      <c r="J62"/>
      <c r="K62"/>
      <c r="L62" s="2348" t="s">
        <v>2049</v>
      </c>
      <c r="M62" s="2235">
        <v>120</v>
      </c>
      <c r="N62" s="2236" t="s">
        <v>2050</v>
      </c>
      <c r="O62" s="2343">
        <v>100</v>
      </c>
      <c r="P62" s="2402">
        <v>3800000</v>
      </c>
      <c r="Q62"/>
      <c r="R62" s="3359"/>
      <c r="S62" s="2374" t="s">
        <v>1957</v>
      </c>
      <c r="T62" s="2382">
        <v>3800000</v>
      </c>
      <c r="U62" s="2358">
        <v>3800000</v>
      </c>
      <c r="V62" s="2358">
        <v>3800000</v>
      </c>
      <c r="W62" s="2374">
        <v>20</v>
      </c>
      <c r="X62" s="2343" t="s">
        <v>232</v>
      </c>
      <c r="Y62" s="2376"/>
      <c r="Z62" s="2375"/>
      <c r="AA62" s="2376"/>
      <c r="AB62" s="2375"/>
      <c r="AC62" s="2376"/>
      <c r="AD62" s="2375"/>
      <c r="AE62" s="2376"/>
      <c r="AF62" s="2375"/>
      <c r="AG62" s="2376"/>
      <c r="AH62" s="2375"/>
      <c r="AI62" s="2376"/>
      <c r="AJ62" s="2375"/>
      <c r="AK62" s="2376"/>
      <c r="AL62" s="2375"/>
      <c r="AM62" s="2376"/>
      <c r="AN62" s="2375"/>
      <c r="AO62" s="2376"/>
      <c r="AP62" s="2375"/>
      <c r="AQ62" s="2376"/>
      <c r="AR62" s="2375"/>
      <c r="AS62" s="2376"/>
      <c r="AT62" s="2375"/>
      <c r="AU62" s="2376"/>
      <c r="AV62" s="2375"/>
      <c r="AW62" s="2373">
        <v>1</v>
      </c>
      <c r="AX62" s="2389">
        <v>3800000</v>
      </c>
      <c r="AY62" s="2389">
        <v>3800000</v>
      </c>
      <c r="AZ62" s="2364">
        <f>+AY62/AX62</f>
        <v>1</v>
      </c>
      <c r="BA62" s="2373">
        <v>20</v>
      </c>
      <c r="BB62" s="2193" t="s">
        <v>2045</v>
      </c>
      <c r="BC62" s="2613">
        <v>42495</v>
      </c>
      <c r="BD62" s="2600">
        <v>42495</v>
      </c>
      <c r="BE62" s="2613">
        <v>42554</v>
      </c>
      <c r="BF62" s="2600">
        <v>42554</v>
      </c>
      <c r="BG62" s="2595" t="s">
        <v>1936</v>
      </c>
    </row>
    <row r="63" spans="1:59" s="3" customFormat="1" ht="15">
      <c r="A63"/>
      <c r="B63"/>
      <c r="C63" s="3349"/>
      <c r="D63" s="3350"/>
      <c r="E63" s="730">
        <v>63</v>
      </c>
      <c r="F63" s="2698" t="s">
        <v>2051</v>
      </c>
      <c r="G63" s="2699"/>
      <c r="H63" s="2699"/>
      <c r="I63" s="2699"/>
      <c r="J63" s="2699"/>
      <c r="K63" s="681"/>
      <c r="L63" s="2699"/>
      <c r="M63" s="2699"/>
      <c r="N63" s="2699"/>
      <c r="O63" s="2699"/>
      <c r="P63" s="2699"/>
      <c r="Q63" s="2699"/>
      <c r="R63" s="2699"/>
      <c r="S63" s="2699"/>
      <c r="T63" s="2699"/>
      <c r="U63" s="2700"/>
      <c r="V63" s="2700"/>
      <c r="W63" s="2699"/>
      <c r="X63" s="2699"/>
      <c r="Y63" s="2699"/>
      <c r="Z63" s="681"/>
      <c r="AA63" s="2699"/>
      <c r="AB63" s="681"/>
      <c r="AC63" s="2699"/>
      <c r="AD63" s="681"/>
      <c r="AE63" s="2699"/>
      <c r="AF63" s="681"/>
      <c r="AG63" s="2699"/>
      <c r="AH63" s="681"/>
      <c r="AI63" s="2699"/>
      <c r="AJ63" s="681"/>
      <c r="AK63" s="2699"/>
      <c r="AL63" s="681"/>
      <c r="AM63" s="2699"/>
      <c r="AN63" s="681"/>
      <c r="AO63" s="2699"/>
      <c r="AP63" s="681"/>
      <c r="AQ63" s="2699"/>
      <c r="AR63" s="681"/>
      <c r="AS63" s="2699"/>
      <c r="AT63" s="681"/>
      <c r="AU63" s="2699"/>
      <c r="AV63" s="681"/>
      <c r="AW63" s="2699"/>
      <c r="AX63" s="2699"/>
      <c r="AY63" s="2699"/>
      <c r="AZ63" s="2699"/>
      <c r="BA63" s="2699"/>
      <c r="BB63" s="2699"/>
      <c r="BC63" s="2699"/>
      <c r="BD63" s="681"/>
      <c r="BE63" s="2699"/>
      <c r="BF63" s="681"/>
      <c r="BG63" s="2724"/>
    </row>
    <row r="64" spans="1:59" s="3" customFormat="1" ht="114.75" customHeight="1">
      <c r="A64"/>
      <c r="B64"/>
      <c r="C64" s="3349"/>
      <c r="D64" s="3350"/>
      <c r="E64" s="3347"/>
      <c r="F64" s="3350"/>
      <c r="G64">
        <v>193</v>
      </c>
      <c r="H64" t="s">
        <v>2052</v>
      </c>
      <c r="I64" t="s">
        <v>2053</v>
      </c>
      <c r="J64" s="3102">
        <v>1</v>
      </c>
      <c r="K64" s="3131">
        <v>0</v>
      </c>
      <c r="L64" t="s">
        <v>2054</v>
      </c>
      <c r="M64">
        <v>121</v>
      </c>
      <c r="N64" s="3092" t="s">
        <v>2055</v>
      </c>
      <c r="O64">
        <v>100</v>
      </c>
      <c r="P64">
        <v>40000000</v>
      </c>
      <c r="Q64" t="s">
        <v>2035</v>
      </c>
      <c r="R64" s="3360" t="s">
        <v>2056</v>
      </c>
      <c r="S64" s="2347" t="s">
        <v>2057</v>
      </c>
      <c r="T64" s="2224">
        <v>28000000</v>
      </c>
      <c r="U64" s="2237">
        <v>0</v>
      </c>
      <c r="V64" s="2237">
        <v>0</v>
      </c>
      <c r="W64">
        <v>20</v>
      </c>
      <c r="X64" t="s">
        <v>232</v>
      </c>
      <c r="Y64"/>
      <c r="Z64" s="3232"/>
      <c r="AA64"/>
      <c r="AB64" s="3232"/>
      <c r="AC64"/>
      <c r="AD64" s="3232"/>
      <c r="AE64"/>
      <c r="AF64" s="3232"/>
      <c r="AG64"/>
      <c r="AH64" s="3232"/>
      <c r="AI64"/>
      <c r="AJ64" s="3232"/>
      <c r="AK64"/>
      <c r="AL64" s="3232"/>
      <c r="AM64">
        <v>32</v>
      </c>
      <c r="AN64" s="3140">
        <v>0</v>
      </c>
      <c r="AO64"/>
      <c r="AP64" s="3232"/>
      <c r="AQ64"/>
      <c r="AR64" s="3232"/>
      <c r="AS64"/>
      <c r="AT64" s="3232"/>
      <c r="AU64"/>
      <c r="AV64" s="3232"/>
      <c r="AW64">
        <v>0</v>
      </c>
      <c r="AX64">
        <v>0</v>
      </c>
      <c r="AY64">
        <v>0</v>
      </c>
      <c r="AZ64" s="3590">
        <v>0</v>
      </c>
      <c r="BA64"/>
      <c r="BB64" s="3012" t="s">
        <v>2045</v>
      </c>
      <c r="BC64"/>
      <c r="BD64" s="3241"/>
      <c r="BE64"/>
      <c r="BF64" s="3241"/>
      <c r="BG64" t="s">
        <v>1936</v>
      </c>
    </row>
    <row r="65" spans="1:59" s="3" customFormat="1" ht="90.75" customHeight="1">
      <c r="A65"/>
      <c r="B65"/>
      <c r="C65" s="3349"/>
      <c r="D65" s="3350"/>
      <c r="E65" s="3349"/>
      <c r="F65" s="3350"/>
      <c r="G65"/>
      <c r="H65"/>
      <c r="I65"/>
      <c r="J65" s="3220"/>
      <c r="K65" s="3167"/>
      <c r="L65"/>
      <c r="M65"/>
      <c r="N65" s="3093"/>
      <c r="O65"/>
      <c r="P65"/>
      <c r="Q65"/>
      <c r="R65" s="3360"/>
      <c r="S65" s="2344" t="s">
        <v>2058</v>
      </c>
      <c r="T65" s="2225">
        <v>12000000</v>
      </c>
      <c r="U65" s="2238">
        <v>0</v>
      </c>
      <c r="V65" s="2238">
        <v>0</v>
      </c>
      <c r="W65"/>
      <c r="X65"/>
      <c r="Y65"/>
      <c r="Z65" s="3233"/>
      <c r="AA65"/>
      <c r="AB65" s="3233"/>
      <c r="AC65"/>
      <c r="AD65" s="3233"/>
      <c r="AE65"/>
      <c r="AF65" s="3233"/>
      <c r="AG65"/>
      <c r="AH65" s="3233"/>
      <c r="AI65"/>
      <c r="AJ65" s="3233"/>
      <c r="AK65"/>
      <c r="AL65" s="3233"/>
      <c r="AM65"/>
      <c r="AN65" s="3142"/>
      <c r="AO65"/>
      <c r="AP65" s="3233"/>
      <c r="AQ65"/>
      <c r="AR65" s="3233"/>
      <c r="AS65"/>
      <c r="AT65" s="3233"/>
      <c r="AU65"/>
      <c r="AV65" s="3233"/>
      <c r="AW65"/>
      <c r="AX65"/>
      <c r="AY65"/>
      <c r="AZ65" s="3592"/>
      <c r="BA65"/>
      <c r="BB65" s="3014"/>
      <c r="BC65"/>
      <c r="BD65" s="3242"/>
      <c r="BE65"/>
      <c r="BF65" s="3242"/>
      <c r="BG65"/>
    </row>
    <row r="66" spans="1:59" s="3" customFormat="1" ht="96" customHeight="1">
      <c r="A66"/>
      <c r="B66"/>
      <c r="C66" s="3349"/>
      <c r="D66" s="3350"/>
      <c r="E66" s="3349"/>
      <c r="F66" s="3350"/>
      <c r="G66">
        <v>194</v>
      </c>
      <c r="H66" t="s">
        <v>2059</v>
      </c>
      <c r="I66" t="s">
        <v>2060</v>
      </c>
      <c r="J66" s="3220">
        <v>1</v>
      </c>
      <c r="K66">
        <v>0.5</v>
      </c>
      <c r="L66" t="s">
        <v>2061</v>
      </c>
      <c r="M66">
        <v>122</v>
      </c>
      <c r="N66" t="s">
        <v>2062</v>
      </c>
      <c r="O66">
        <v>100</v>
      </c>
      <c r="P66">
        <v>60000000</v>
      </c>
      <c r="Q66"/>
      <c r="R66" s="3360"/>
      <c r="S66" s="2372" t="s">
        <v>2063</v>
      </c>
      <c r="T66" s="2197">
        <v>31000000</v>
      </c>
      <c r="U66" s="2195">
        <v>20500000</v>
      </c>
      <c r="V66" s="2195">
        <v>20500000</v>
      </c>
      <c r="W66">
        <v>20</v>
      </c>
      <c r="X66" t="s">
        <v>232</v>
      </c>
      <c r="Y66"/>
      <c r="Z66" s="3232"/>
      <c r="AA66"/>
      <c r="AB66" s="3232"/>
      <c r="AC66"/>
      <c r="AD66" s="3232"/>
      <c r="AE66"/>
      <c r="AF66" s="3232"/>
      <c r="AG66"/>
      <c r="AH66" s="3232"/>
      <c r="AI66"/>
      <c r="AJ66" s="3232"/>
      <c r="AK66"/>
      <c r="AL66" s="3232"/>
      <c r="AM66">
        <v>909</v>
      </c>
      <c r="AN66" s="3140">
        <v>0</v>
      </c>
      <c r="AO66"/>
      <c r="AP66" s="3232"/>
      <c r="AQ66"/>
      <c r="AR66" s="3232"/>
      <c r="AS66"/>
      <c r="AT66" s="3232"/>
      <c r="AU66"/>
      <c r="AV66" s="3232"/>
      <c r="AW66">
        <v>2</v>
      </c>
      <c r="AX66">
        <f>+U66+U67</f>
        <v>40500000</v>
      </c>
      <c r="AY66">
        <f>+V66+V67</f>
        <v>40500000</v>
      </c>
      <c r="AZ66" s="3590">
        <f>AY66/AX66</f>
        <v>1</v>
      </c>
      <c r="BA66"/>
      <c r="BB66" s="3012" t="s">
        <v>2045</v>
      </c>
      <c r="BC66" s="2425">
        <v>42677</v>
      </c>
      <c r="BD66" s="2426">
        <v>42677</v>
      </c>
      <c r="BE66" s="2425">
        <v>42724</v>
      </c>
      <c r="BF66" s="2426" t="s">
        <v>2134</v>
      </c>
      <c r="BG66" t="s">
        <v>1936</v>
      </c>
    </row>
    <row r="67" spans="1:59" s="3" customFormat="1" ht="70.5" customHeight="1">
      <c r="A67"/>
      <c r="B67"/>
      <c r="C67" s="3349"/>
      <c r="D67" s="3350"/>
      <c r="E67" s="3349"/>
      <c r="F67" s="3350"/>
      <c r="G67"/>
      <c r="H67"/>
      <c r="I67"/>
      <c r="J67" s="3220"/>
      <c r="K67"/>
      <c r="L67"/>
      <c r="M67"/>
      <c r="N67"/>
      <c r="O67"/>
      <c r="P67"/>
      <c r="Q67"/>
      <c r="R67" s="3360"/>
      <c r="S67" s="2372" t="s">
        <v>2064</v>
      </c>
      <c r="T67" s="2197">
        <v>20000000</v>
      </c>
      <c r="U67" s="2195">
        <f>+T67</f>
        <v>20000000</v>
      </c>
      <c r="V67" s="2195">
        <v>20000000</v>
      </c>
      <c r="W67"/>
      <c r="X67"/>
      <c r="Y67"/>
      <c r="Z67"/>
      <c r="AA67"/>
      <c r="AB67"/>
      <c r="AC67"/>
      <c r="AD67"/>
      <c r="AE67"/>
      <c r="AF67"/>
      <c r="AG67"/>
      <c r="AH67"/>
      <c r="AI67"/>
      <c r="AJ67"/>
      <c r="AK67"/>
      <c r="AL67"/>
      <c r="AM67"/>
      <c r="AN67" s="3141"/>
      <c r="AO67"/>
      <c r="AP67"/>
      <c r="AQ67"/>
      <c r="AR67"/>
      <c r="AS67"/>
      <c r="AT67"/>
      <c r="AU67"/>
      <c r="AV67"/>
      <c r="AW67"/>
      <c r="AX67"/>
      <c r="AY67"/>
      <c r="AZ67" s="3591"/>
      <c r="BA67"/>
      <c r="BB67" s="3013"/>
      <c r="BC67">
        <v>42650</v>
      </c>
      <c r="BD67">
        <v>42650</v>
      </c>
      <c r="BE67">
        <v>42724</v>
      </c>
      <c r="BF67">
        <v>43089</v>
      </c>
      <c r="BG67"/>
    </row>
    <row r="68" spans="1:59" s="3" customFormat="1" ht="49.5" customHeight="1">
      <c r="A68"/>
      <c r="B68"/>
      <c r="C68" s="3349"/>
      <c r="D68" s="3350"/>
      <c r="E68" s="3351"/>
      <c r="F68" s="3352"/>
      <c r="G68"/>
      <c r="H68"/>
      <c r="I68"/>
      <c r="J68" s="3220"/>
      <c r="K68"/>
      <c r="L68"/>
      <c r="M68"/>
      <c r="N68"/>
      <c r="O68"/>
      <c r="P68"/>
      <c r="Q68"/>
      <c r="R68" s="3361"/>
      <c r="S68" s="2372" t="s">
        <v>2065</v>
      </c>
      <c r="T68" s="2197">
        <v>9000000</v>
      </c>
      <c r="U68" s="2195">
        <v>0</v>
      </c>
      <c r="V68" s="2195">
        <v>0</v>
      </c>
      <c r="W68"/>
      <c r="X68"/>
      <c r="Y68"/>
      <c r="Z68" s="3233"/>
      <c r="AA68"/>
      <c r="AB68" s="3233"/>
      <c r="AC68"/>
      <c r="AD68" s="3233"/>
      <c r="AE68"/>
      <c r="AF68" s="3233"/>
      <c r="AG68"/>
      <c r="AH68" s="3233"/>
      <c r="AI68"/>
      <c r="AJ68" s="3233"/>
      <c r="AK68"/>
      <c r="AL68" s="3233"/>
      <c r="AM68"/>
      <c r="AN68" s="3142"/>
      <c r="AO68"/>
      <c r="AP68" s="3233"/>
      <c r="AQ68"/>
      <c r="AR68" s="3233"/>
      <c r="AS68"/>
      <c r="AT68" s="3233"/>
      <c r="AU68"/>
      <c r="AV68" s="3233"/>
      <c r="AW68"/>
      <c r="AX68"/>
      <c r="AY68"/>
      <c r="AZ68" s="3592"/>
      <c r="BA68"/>
      <c r="BB68" s="3014"/>
      <c r="BC68"/>
      <c r="BD68"/>
      <c r="BE68"/>
      <c r="BF68"/>
      <c r="BG68"/>
    </row>
    <row r="69" spans="1:59" s="3" customFormat="1" ht="15">
      <c r="A69"/>
      <c r="B69"/>
      <c r="C69" s="3349"/>
      <c r="D69" s="3350"/>
      <c r="E69" s="730">
        <v>64</v>
      </c>
      <c r="F69" s="2725" t="s">
        <v>2066</v>
      </c>
      <c r="G69" s="2726"/>
      <c r="H69" s="2726"/>
      <c r="I69" s="2726"/>
      <c r="J69" s="2726"/>
      <c r="K69" s="475"/>
      <c r="L69" s="2726"/>
      <c r="M69" s="2726"/>
      <c r="N69" s="2726"/>
      <c r="O69" s="2726"/>
      <c r="P69" s="2726"/>
      <c r="Q69" s="2726"/>
      <c r="R69" s="2726"/>
      <c r="S69" s="2726"/>
      <c r="T69" s="2726"/>
      <c r="U69" s="2722"/>
      <c r="V69" s="2722"/>
      <c r="W69" s="2726"/>
      <c r="X69" s="2726"/>
      <c r="Y69" s="2726"/>
      <c r="Z69" s="475"/>
      <c r="AA69" s="2726"/>
      <c r="AB69" s="475"/>
      <c r="AC69" s="2726"/>
      <c r="AD69" s="475"/>
      <c r="AE69" s="2726"/>
      <c r="AF69" s="475"/>
      <c r="AG69" s="2726"/>
      <c r="AH69" s="475"/>
      <c r="AI69" s="2726"/>
      <c r="AJ69" s="475"/>
      <c r="AK69" s="2726"/>
      <c r="AL69" s="475"/>
      <c r="AM69" s="2726"/>
      <c r="AN69" s="475"/>
      <c r="AO69" s="2726"/>
      <c r="AP69" s="475"/>
      <c r="AQ69" s="2726"/>
      <c r="AR69" s="475"/>
      <c r="AS69" s="2726"/>
      <c r="AT69" s="475"/>
      <c r="AU69" s="2726"/>
      <c r="AV69" s="475"/>
      <c r="AW69" s="2726"/>
      <c r="AX69" s="2726"/>
      <c r="AY69" s="2726"/>
      <c r="AZ69" s="2726"/>
      <c r="BA69" s="2726"/>
      <c r="BB69" s="2726"/>
      <c r="BC69" s="2726"/>
      <c r="BD69" s="475"/>
      <c r="BE69" s="2726"/>
      <c r="BF69" s="475"/>
      <c r="BG69" s="2727"/>
    </row>
    <row r="70" spans="1:59" s="3" customFormat="1" ht="57.75" customHeight="1">
      <c r="A70"/>
      <c r="B70"/>
      <c r="C70" s="3349"/>
      <c r="D70" s="3350"/>
      <c r="E70"/>
      <c r="F70"/>
      <c r="G70">
        <v>195</v>
      </c>
      <c r="H70" t="s">
        <v>2067</v>
      </c>
      <c r="I70" t="s">
        <v>2060</v>
      </c>
      <c r="J70">
        <v>1</v>
      </c>
      <c r="K70">
        <v>0.5</v>
      </c>
      <c r="L70" t="s">
        <v>2068</v>
      </c>
      <c r="M70">
        <v>123</v>
      </c>
      <c r="N70" t="s">
        <v>2069</v>
      </c>
      <c r="O70" s="3013">
        <v>100</v>
      </c>
      <c r="P70">
        <v>23800000</v>
      </c>
      <c r="Q70" t="s">
        <v>2035</v>
      </c>
      <c r="R70" s="3360" t="s">
        <v>2070</v>
      </c>
      <c r="S70" s="2347" t="s">
        <v>1957</v>
      </c>
      <c r="T70" s="2367">
        <v>3800000</v>
      </c>
      <c r="U70" s="2345">
        <v>3800000</v>
      </c>
      <c r="V70" s="2345">
        <v>3800000</v>
      </c>
      <c r="W70" s="3013">
        <v>20</v>
      </c>
      <c r="X70" s="3013" t="s">
        <v>232</v>
      </c>
      <c r="Y70"/>
      <c r="Z70"/>
      <c r="AA70"/>
      <c r="AB70"/>
      <c r="AC70"/>
      <c r="AD70"/>
      <c r="AE70"/>
      <c r="AF70"/>
      <c r="AG70"/>
      <c r="AH70"/>
      <c r="AI70"/>
      <c r="AJ70"/>
      <c r="AK70"/>
      <c r="AL70"/>
      <c r="AM70"/>
      <c r="AN70"/>
      <c r="AO70"/>
      <c r="AP70"/>
      <c r="AQ70"/>
      <c r="AR70"/>
      <c r="AS70"/>
      <c r="AT70"/>
      <c r="AU70"/>
      <c r="AV70"/>
      <c r="AW70">
        <v>2</v>
      </c>
      <c r="AX70">
        <v>23800000</v>
      </c>
      <c r="AY70">
        <v>23800000</v>
      </c>
      <c r="AZ70" s="3590">
        <f>+AY70/AX70</f>
        <v>1</v>
      </c>
      <c r="BA70">
        <v>20</v>
      </c>
      <c r="BB70" t="s">
        <v>2071</v>
      </c>
      <c r="BC70">
        <v>42494</v>
      </c>
      <c r="BD70">
        <v>42494</v>
      </c>
      <c r="BE70">
        <v>42553</v>
      </c>
      <c r="BF70">
        <v>42553</v>
      </c>
      <c r="BG70" t="s">
        <v>1936</v>
      </c>
    </row>
    <row r="71" spans="1:59" s="3" customFormat="1" ht="68.25" customHeight="1">
      <c r="A71"/>
      <c r="B71"/>
      <c r="C71" s="3349"/>
      <c r="D71" s="3350"/>
      <c r="E71"/>
      <c r="F71"/>
      <c r="G71"/>
      <c r="H71"/>
      <c r="I71"/>
      <c r="J71"/>
      <c r="K71"/>
      <c r="L71"/>
      <c r="M71"/>
      <c r="N71"/>
      <c r="O71" s="3014"/>
      <c r="P71" s="3774"/>
      <c r="Q71"/>
      <c r="R71" s="3361"/>
      <c r="S71" s="2344" t="s">
        <v>2009</v>
      </c>
      <c r="T71" s="2350">
        <v>20000000</v>
      </c>
      <c r="U71" s="2345">
        <v>20000000</v>
      </c>
      <c r="V71" s="2345">
        <v>20000000</v>
      </c>
      <c r="W71" s="3014"/>
      <c r="X71" s="3014"/>
      <c r="Y71"/>
      <c r="Z71"/>
      <c r="AA71"/>
      <c r="AB71"/>
      <c r="AC71"/>
      <c r="AD71"/>
      <c r="AE71"/>
      <c r="AF71"/>
      <c r="AG71"/>
      <c r="AH71"/>
      <c r="AI71"/>
      <c r="AJ71"/>
      <c r="AK71"/>
      <c r="AL71"/>
      <c r="AM71"/>
      <c r="AN71"/>
      <c r="AO71"/>
      <c r="AP71"/>
      <c r="AQ71"/>
      <c r="AR71"/>
      <c r="AS71"/>
      <c r="AT71"/>
      <c r="AU71"/>
      <c r="AV71"/>
      <c r="AW71"/>
      <c r="AX71"/>
      <c r="AY71"/>
      <c r="AZ71" s="3592"/>
      <c r="BA71"/>
      <c r="BB71"/>
      <c r="BC71"/>
      <c r="BD71" s="3242"/>
      <c r="BE71"/>
      <c r="BF71" s="3242"/>
      <c r="BG71"/>
    </row>
    <row r="72" spans="1:59" s="3" customFormat="1" ht="52.5" customHeight="1">
      <c r="A72"/>
      <c r="B72"/>
      <c r="C72" s="3349"/>
      <c r="D72" s="3350"/>
      <c r="E72"/>
      <c r="F72"/>
      <c r="G72">
        <v>195</v>
      </c>
      <c r="H72" t="s">
        <v>2067</v>
      </c>
      <c r="I72" t="s">
        <v>2072</v>
      </c>
      <c r="J72">
        <v>1</v>
      </c>
      <c r="K72">
        <v>0.5</v>
      </c>
      <c r="L72" t="s">
        <v>2073</v>
      </c>
      <c r="M72">
        <v>124</v>
      </c>
      <c r="N72" s="3091" t="s">
        <v>2074</v>
      </c>
      <c r="O72">
        <v>100</v>
      </c>
      <c r="P72">
        <v>76200000</v>
      </c>
      <c r="Q72" t="s">
        <v>2035</v>
      </c>
      <c r="R72" s="3359" t="s">
        <v>2070</v>
      </c>
      <c r="S72" s="2372" t="s">
        <v>2075</v>
      </c>
      <c r="T72" s="2197">
        <v>7600000</v>
      </c>
      <c r="U72" s="2195">
        <v>7600000</v>
      </c>
      <c r="V72" s="2195">
        <v>7600000</v>
      </c>
      <c r="W72">
        <v>20</v>
      </c>
      <c r="X72" t="s">
        <v>232</v>
      </c>
      <c r="Y72"/>
      <c r="Z72" s="3140"/>
      <c r="AA72"/>
      <c r="AB72" s="3232"/>
      <c r="AC72"/>
      <c r="AD72" s="3232"/>
      <c r="AE72"/>
      <c r="AF72" s="3232"/>
      <c r="AG72"/>
      <c r="AH72" s="3232"/>
      <c r="AI72"/>
      <c r="AJ72" s="3232"/>
      <c r="AK72"/>
      <c r="AL72" s="3140"/>
      <c r="AM72"/>
      <c r="AN72" s="3232"/>
      <c r="AO72"/>
      <c r="AP72" s="3232"/>
      <c r="AQ72"/>
      <c r="AR72" s="3232"/>
      <c r="AS72"/>
      <c r="AT72" s="3232"/>
      <c r="AU72"/>
      <c r="AV72" s="3232"/>
      <c r="AW72">
        <v>7</v>
      </c>
      <c r="AX72">
        <v>70600000</v>
      </c>
      <c r="AY72">
        <v>70600000</v>
      </c>
      <c r="AZ72" s="3590">
        <f>AY72/AX72</f>
        <v>1</v>
      </c>
      <c r="BA72">
        <v>20</v>
      </c>
      <c r="BB72" s="3012" t="s">
        <v>2076</v>
      </c>
      <c r="BC72">
        <v>42614</v>
      </c>
      <c r="BD72">
        <v>42614</v>
      </c>
      <c r="BE72">
        <v>42721</v>
      </c>
      <c r="BF72">
        <v>42721</v>
      </c>
      <c r="BG72" t="s">
        <v>1936</v>
      </c>
    </row>
    <row r="73" spans="1:59" s="3" customFormat="1" ht="76.5" customHeight="1">
      <c r="A73"/>
      <c r="B73"/>
      <c r="C73" s="3349"/>
      <c r="D73" s="3350"/>
      <c r="E73"/>
      <c r="F73"/>
      <c r="G73"/>
      <c r="H73"/>
      <c r="I73"/>
      <c r="J73"/>
      <c r="K73"/>
      <c r="L73"/>
      <c r="M73"/>
      <c r="N73" s="3092"/>
      <c r="O73"/>
      <c r="P73"/>
      <c r="Q73"/>
      <c r="R73" s="3360"/>
      <c r="S73" s="2372" t="s">
        <v>2077</v>
      </c>
      <c r="T73" s="2197">
        <v>50000000</v>
      </c>
      <c r="U73" s="2195">
        <v>50000000</v>
      </c>
      <c r="V73" s="2195">
        <v>50000000</v>
      </c>
      <c r="W73"/>
      <c r="X73"/>
      <c r="Y73"/>
      <c r="Z73" s="3141"/>
      <c r="AA73"/>
      <c r="AB73"/>
      <c r="AC73"/>
      <c r="AD73"/>
      <c r="AE73"/>
      <c r="AF73"/>
      <c r="AG73"/>
      <c r="AH73"/>
      <c r="AI73"/>
      <c r="AJ73"/>
      <c r="AK73"/>
      <c r="AL73" s="3141"/>
      <c r="AM73"/>
      <c r="AN73"/>
      <c r="AO73"/>
      <c r="AP73"/>
      <c r="AQ73"/>
      <c r="AR73"/>
      <c r="AS73"/>
      <c r="AT73"/>
      <c r="AU73"/>
      <c r="AV73"/>
      <c r="AW73"/>
      <c r="AX73"/>
      <c r="AY73"/>
      <c r="AZ73" s="3591"/>
      <c r="BA73"/>
      <c r="BB73" s="3013"/>
      <c r="BC73" s="3013"/>
      <c r="BD73" s="3127"/>
      <c r="BE73"/>
      <c r="BF73"/>
      <c r="BG73"/>
    </row>
    <row r="74" spans="1:59" s="3" customFormat="1" ht="49.5" customHeight="1">
      <c r="A74"/>
      <c r="B74"/>
      <c r="C74" s="3349"/>
      <c r="D74" s="3350"/>
      <c r="E74"/>
      <c r="F74"/>
      <c r="G74"/>
      <c r="H74"/>
      <c r="I74"/>
      <c r="J74"/>
      <c r="K74"/>
      <c r="L74"/>
      <c r="M74"/>
      <c r="N74" s="3093"/>
      <c r="O74"/>
      <c r="P74"/>
      <c r="Q74"/>
      <c r="R74" s="3361"/>
      <c r="S74" s="2372" t="s">
        <v>2078</v>
      </c>
      <c r="T74" s="2197">
        <v>18600000</v>
      </c>
      <c r="U74" s="2195">
        <v>13000000</v>
      </c>
      <c r="V74" s="2195">
        <v>13000000</v>
      </c>
      <c r="W74"/>
      <c r="X74"/>
      <c r="Y74"/>
      <c r="Z74" s="3142"/>
      <c r="AA74"/>
      <c r="AB74" s="3233"/>
      <c r="AC74"/>
      <c r="AD74" s="3233"/>
      <c r="AE74"/>
      <c r="AF74" s="3233"/>
      <c r="AG74"/>
      <c r="AH74" s="3233"/>
      <c r="AI74"/>
      <c r="AJ74" s="3233"/>
      <c r="AK74"/>
      <c r="AL74" s="3142"/>
      <c r="AM74"/>
      <c r="AN74" s="3233"/>
      <c r="AO74"/>
      <c r="AP74" s="3233"/>
      <c r="AQ74"/>
      <c r="AR74" s="3233"/>
      <c r="AS74"/>
      <c r="AT74" s="3233"/>
      <c r="AU74"/>
      <c r="AV74" s="3233"/>
      <c r="AW74"/>
      <c r="AX74"/>
      <c r="AY74"/>
      <c r="AZ74" s="3592"/>
      <c r="BA74"/>
      <c r="BB74" s="3014"/>
      <c r="BC74" s="3014"/>
      <c r="BD74" s="3128"/>
      <c r="BE74"/>
      <c r="BF74"/>
      <c r="BG74"/>
    </row>
    <row r="75" spans="1:59" s="3" customFormat="1" ht="15">
      <c r="A75"/>
      <c r="B75"/>
      <c r="C75" s="3349"/>
      <c r="D75" s="3350"/>
      <c r="E75" s="2709">
        <v>65</v>
      </c>
      <c r="F75" s="2698" t="s">
        <v>2079</v>
      </c>
      <c r="G75" s="2699"/>
      <c r="H75" s="2699"/>
      <c r="I75" s="2699"/>
      <c r="J75" s="2699"/>
      <c r="K75" s="681"/>
      <c r="L75" s="2699"/>
      <c r="M75" s="2699"/>
      <c r="N75" s="2699"/>
      <c r="O75" s="2699"/>
      <c r="P75" s="2699"/>
      <c r="Q75" s="2699"/>
      <c r="R75" s="2699"/>
      <c r="S75" s="2699"/>
      <c r="T75" s="2699"/>
      <c r="U75" s="2700"/>
      <c r="V75" s="2700"/>
      <c r="W75" s="2699"/>
      <c r="X75" s="2699"/>
      <c r="Y75" s="2699"/>
      <c r="Z75" s="681"/>
      <c r="AA75" s="2699"/>
      <c r="AB75" s="681"/>
      <c r="AC75" s="2699"/>
      <c r="AD75" s="681"/>
      <c r="AE75" s="2699"/>
      <c r="AF75" s="681"/>
      <c r="AG75" s="2699"/>
      <c r="AH75" s="681"/>
      <c r="AI75" s="2699"/>
      <c r="AJ75" s="681"/>
      <c r="AK75" s="2699"/>
      <c r="AL75" s="681"/>
      <c r="AM75" s="2699"/>
      <c r="AN75" s="681"/>
      <c r="AO75" s="2699"/>
      <c r="AP75" s="681"/>
      <c r="AQ75" s="2699"/>
      <c r="AR75" s="681"/>
      <c r="AS75" s="2699"/>
      <c r="AT75" s="681"/>
      <c r="AU75" s="2699"/>
      <c r="AV75" s="681"/>
      <c r="AW75" s="2699"/>
      <c r="AX75" s="2699"/>
      <c r="AY75" s="2699"/>
      <c r="AZ75" s="2699"/>
      <c r="BA75" s="2699"/>
      <c r="BB75" s="2699"/>
      <c r="BC75" s="2699"/>
      <c r="BD75" s="681"/>
      <c r="BE75" s="2699"/>
      <c r="BF75" s="681"/>
      <c r="BG75" s="2701"/>
    </row>
    <row r="76" spans="1:59" s="3" customFormat="1" ht="65.25" customHeight="1">
      <c r="A76"/>
      <c r="B76"/>
      <c r="C76" s="3349"/>
      <c r="D76" s="3350"/>
      <c r="E76" s="3347"/>
      <c r="F76" s="3348"/>
      <c r="G76">
        <v>196</v>
      </c>
      <c r="H76" t="s">
        <v>2080</v>
      </c>
      <c r="I76" t="s">
        <v>2081</v>
      </c>
      <c r="J76">
        <v>1</v>
      </c>
      <c r="K76">
        <v>0.4</v>
      </c>
      <c r="L76" t="s">
        <v>2082</v>
      </c>
      <c r="M76">
        <v>125</v>
      </c>
      <c r="N76" t="s">
        <v>2083</v>
      </c>
      <c r="O76">
        <v>100</v>
      </c>
      <c r="P76">
        <v>40000000</v>
      </c>
      <c r="Q76" t="s">
        <v>2035</v>
      </c>
      <c r="R76" s="3359" t="s">
        <v>2084</v>
      </c>
      <c r="S76" s="2239" t="s">
        <v>2085</v>
      </c>
      <c r="T76" s="2240">
        <v>39000000</v>
      </c>
      <c r="U76" s="2427">
        <v>34399997</v>
      </c>
      <c r="V76" s="2427">
        <v>34399997</v>
      </c>
      <c r="W76">
        <v>20</v>
      </c>
      <c r="X76" t="s">
        <v>232</v>
      </c>
      <c r="Y76"/>
      <c r="Z76" s="3232"/>
      <c r="AA76"/>
      <c r="AB76" s="3232"/>
      <c r="AC76"/>
      <c r="AD76" s="3232"/>
      <c r="AE76"/>
      <c r="AF76" s="3232"/>
      <c r="AG76"/>
      <c r="AH76" s="3232"/>
      <c r="AI76"/>
      <c r="AJ76" s="3232"/>
      <c r="AK76">
        <v>13208</v>
      </c>
      <c r="AL76" s="3140">
        <v>0</v>
      </c>
      <c r="AM76"/>
      <c r="AN76" s="3232"/>
      <c r="AO76"/>
      <c r="AP76" s="3232"/>
      <c r="AQ76"/>
      <c r="AR76" s="3232"/>
      <c r="AS76"/>
      <c r="AT76" s="3232"/>
      <c r="AU76"/>
      <c r="AV76" s="3232"/>
      <c r="AW76">
        <v>11</v>
      </c>
      <c r="AX76">
        <f>+U76</f>
        <v>34399997</v>
      </c>
      <c r="AY76">
        <f>+V76</f>
        <v>34399997</v>
      </c>
      <c r="AZ76" s="3590">
        <f>AY76/AX76</f>
        <v>1</v>
      </c>
      <c r="BA76">
        <v>20</v>
      </c>
      <c r="BB76" s="3012" t="s">
        <v>2071</v>
      </c>
      <c r="BC76">
        <v>42650</v>
      </c>
      <c r="BD76">
        <v>42650</v>
      </c>
      <c r="BE76">
        <v>42731</v>
      </c>
      <c r="BF76" s="3241">
        <v>42731</v>
      </c>
      <c r="BG76" t="s">
        <v>1936</v>
      </c>
    </row>
    <row r="77" spans="1:59" s="3" customFormat="1" ht="72" customHeight="1">
      <c r="A77"/>
      <c r="B77"/>
      <c r="C77" s="3349"/>
      <c r="D77" s="3350"/>
      <c r="E77" s="3349"/>
      <c r="F77" s="3350"/>
      <c r="G77"/>
      <c r="H77"/>
      <c r="I77"/>
      <c r="J77"/>
      <c r="K77"/>
      <c r="L77"/>
      <c r="M77"/>
      <c r="N77"/>
      <c r="O77"/>
      <c r="P77"/>
      <c r="Q77"/>
      <c r="R77" s="3360"/>
      <c r="S77" s="2239" t="s">
        <v>2086</v>
      </c>
      <c r="T77" s="2240">
        <v>500000</v>
      </c>
      <c r="U77" s="2427">
        <v>0</v>
      </c>
      <c r="V77" s="2427">
        <v>0</v>
      </c>
      <c r="W77"/>
      <c r="X77"/>
      <c r="Y77"/>
      <c r="Z77"/>
      <c r="AA77"/>
      <c r="AB77"/>
      <c r="AC77"/>
      <c r="AD77"/>
      <c r="AE77"/>
      <c r="AF77"/>
      <c r="AG77"/>
      <c r="AH77"/>
      <c r="AI77"/>
      <c r="AJ77"/>
      <c r="AK77"/>
      <c r="AL77" s="3141"/>
      <c r="AM77"/>
      <c r="AN77"/>
      <c r="AO77"/>
      <c r="AP77"/>
      <c r="AQ77"/>
      <c r="AR77"/>
      <c r="AS77"/>
      <c r="AT77"/>
      <c r="AU77"/>
      <c r="AV77"/>
      <c r="AW77"/>
      <c r="AX77"/>
      <c r="AY77"/>
      <c r="AZ77" s="3591"/>
      <c r="BA77"/>
      <c r="BB77" s="3013"/>
      <c r="BC77"/>
      <c r="BD77"/>
      <c r="BE77"/>
      <c r="BF77" s="3141"/>
      <c r="BG77"/>
    </row>
    <row r="78" spans="1:59" s="3" customFormat="1" ht="68.25" customHeight="1">
      <c r="A78"/>
      <c r="B78"/>
      <c r="C78" s="3349"/>
      <c r="D78" s="3350"/>
      <c r="E78" s="3351"/>
      <c r="F78" s="3352"/>
      <c r="G78"/>
      <c r="H78"/>
      <c r="I78"/>
      <c r="J78"/>
      <c r="K78"/>
      <c r="L78"/>
      <c r="M78"/>
      <c r="N78"/>
      <c r="O78"/>
      <c r="P78"/>
      <c r="Q78"/>
      <c r="R78" s="3361"/>
      <c r="S78" s="2395" t="s">
        <v>2087</v>
      </c>
      <c r="T78" s="2240">
        <v>500000</v>
      </c>
      <c r="U78" s="2427">
        <v>0</v>
      </c>
      <c r="V78" s="2427">
        <v>0</v>
      </c>
      <c r="W78"/>
      <c r="X78"/>
      <c r="Y78"/>
      <c r="Z78" s="3233"/>
      <c r="AA78"/>
      <c r="AB78" s="3233"/>
      <c r="AC78"/>
      <c r="AD78" s="3233"/>
      <c r="AE78"/>
      <c r="AF78" s="3233"/>
      <c r="AG78"/>
      <c r="AH78" s="3233"/>
      <c r="AI78"/>
      <c r="AJ78" s="3233"/>
      <c r="AK78"/>
      <c r="AL78" s="3142"/>
      <c r="AM78"/>
      <c r="AN78" s="3233"/>
      <c r="AO78"/>
      <c r="AP78" s="3233"/>
      <c r="AQ78"/>
      <c r="AR78" s="3233"/>
      <c r="AS78"/>
      <c r="AT78" s="3233"/>
      <c r="AU78"/>
      <c r="AV78" s="3233"/>
      <c r="AW78"/>
      <c r="AX78"/>
      <c r="AY78"/>
      <c r="AZ78" s="3592"/>
      <c r="BA78"/>
      <c r="BB78" s="3014"/>
      <c r="BC78"/>
      <c r="BD78"/>
      <c r="BE78"/>
      <c r="BF78" s="3142"/>
      <c r="BG78"/>
    </row>
    <row r="79" spans="1:59" s="3" customFormat="1" ht="15">
      <c r="A79"/>
      <c r="B79"/>
      <c r="C79" s="3349"/>
      <c r="D79" s="3350"/>
      <c r="E79" s="822">
        <v>66</v>
      </c>
      <c r="F79" s="2698" t="s">
        <v>2088</v>
      </c>
      <c r="G79" s="2699"/>
      <c r="H79" s="2699"/>
      <c r="I79" s="2699"/>
      <c r="J79" s="2699"/>
      <c r="K79" s="681"/>
      <c r="L79" s="2699"/>
      <c r="M79" s="2699"/>
      <c r="N79" s="2699"/>
      <c r="O79" s="2699"/>
      <c r="P79" s="2699"/>
      <c r="Q79" s="2699"/>
      <c r="R79" s="2699"/>
      <c r="S79" s="2699"/>
      <c r="T79" s="2699"/>
      <c r="U79" s="2700"/>
      <c r="V79" s="2700"/>
      <c r="W79" s="2699"/>
      <c r="X79" s="2699"/>
      <c r="Y79" s="2699"/>
      <c r="Z79" s="681"/>
      <c r="AA79" s="2699"/>
      <c r="AB79" s="681"/>
      <c r="AC79" s="2699"/>
      <c r="AD79" s="681"/>
      <c r="AE79" s="2699"/>
      <c r="AF79" s="681"/>
      <c r="AG79" s="2699"/>
      <c r="AH79" s="681"/>
      <c r="AI79" s="2699"/>
      <c r="AJ79" s="681"/>
      <c r="AK79" s="2699"/>
      <c r="AL79" s="681"/>
      <c r="AM79" s="2699"/>
      <c r="AN79" s="681"/>
      <c r="AO79" s="2699"/>
      <c r="AP79" s="681"/>
      <c r="AQ79" s="2699"/>
      <c r="AR79" s="681"/>
      <c r="AS79" s="2699"/>
      <c r="AT79" s="681"/>
      <c r="AU79" s="2699"/>
      <c r="AV79" s="681"/>
      <c r="AW79" s="2699"/>
      <c r="AX79" s="2699"/>
      <c r="AY79" s="2699"/>
      <c r="AZ79" s="2699"/>
      <c r="BA79" s="2699"/>
      <c r="BB79" s="2699"/>
      <c r="BC79" s="2699"/>
      <c r="BD79" s="681"/>
      <c r="BE79" s="2699"/>
      <c r="BF79" s="681"/>
      <c r="BG79" s="2701"/>
    </row>
    <row r="80" spans="1:59" s="3" customFormat="1" ht="77.25" customHeight="1">
      <c r="A80"/>
      <c r="B80"/>
      <c r="C80" s="3349"/>
      <c r="D80" s="3350"/>
      <c r="E80"/>
      <c r="F80"/>
      <c r="G80">
        <v>197</v>
      </c>
      <c r="H80" s="3091" t="s">
        <v>2089</v>
      </c>
      <c r="I80" t="s">
        <v>2090</v>
      </c>
      <c r="J80">
        <v>1</v>
      </c>
      <c r="K80">
        <v>1</v>
      </c>
      <c r="L80" s="2397" t="s">
        <v>2091</v>
      </c>
      <c r="M80" s="2241">
        <v>126</v>
      </c>
      <c r="N80" s="2393" t="s">
        <v>2092</v>
      </c>
      <c r="O80" s="2344">
        <v>100</v>
      </c>
      <c r="P80" s="2368">
        <v>4000000</v>
      </c>
      <c r="Q80" t="s">
        <v>2035</v>
      </c>
      <c r="R80" s="3359" t="s">
        <v>2093</v>
      </c>
      <c r="S80" s="2344" t="s">
        <v>1957</v>
      </c>
      <c r="T80" s="2350">
        <v>4000000</v>
      </c>
      <c r="U80" s="2345">
        <v>4000000</v>
      </c>
      <c r="V80" s="2345">
        <v>4000000</v>
      </c>
      <c r="W80" s="2344">
        <v>20</v>
      </c>
      <c r="X80" s="2344" t="s">
        <v>232</v>
      </c>
      <c r="Y80" s="2242"/>
      <c r="Z80" s="2243"/>
      <c r="AA80" s="2242"/>
      <c r="AB80" s="2243"/>
      <c r="AC80" s="2244">
        <v>31285</v>
      </c>
      <c r="AD80" s="2245">
        <v>31285</v>
      </c>
      <c r="AE80" s="2244">
        <v>48714</v>
      </c>
      <c r="AF80" s="2245">
        <v>48714</v>
      </c>
      <c r="AG80" s="2244">
        <v>79975</v>
      </c>
      <c r="AH80" s="2245">
        <v>79975</v>
      </c>
      <c r="AI80" s="2244">
        <v>122258</v>
      </c>
      <c r="AJ80" s="2245">
        <v>122258</v>
      </c>
      <c r="AK80" s="2242"/>
      <c r="AL80" s="2243"/>
      <c r="AM80" s="2242"/>
      <c r="AN80" s="2243"/>
      <c r="AO80" s="2242"/>
      <c r="AP80" s="2243"/>
      <c r="AQ80" s="2242"/>
      <c r="AR80" s="2243"/>
      <c r="AS80" s="2242"/>
      <c r="AT80" s="2243"/>
      <c r="AU80" s="2228"/>
      <c r="AV80" s="2229"/>
      <c r="AW80" s="2370">
        <v>1</v>
      </c>
      <c r="AX80" s="2230">
        <v>4000000</v>
      </c>
      <c r="AY80" s="2230">
        <v>4000000</v>
      </c>
      <c r="AZ80" s="2366">
        <f>+AY80/AX80</f>
        <v>1</v>
      </c>
      <c r="BA80" s="2374">
        <v>20</v>
      </c>
      <c r="BB80" s="2343" t="s">
        <v>2094</v>
      </c>
      <c r="BC80" s="2391">
        <v>42419</v>
      </c>
      <c r="BD80" s="2355">
        <v>42419</v>
      </c>
      <c r="BE80" s="2391">
        <v>42503</v>
      </c>
      <c r="BF80" s="2355">
        <v>42503</v>
      </c>
      <c r="BG80" s="2381" t="s">
        <v>1936</v>
      </c>
    </row>
    <row r="81" spans="1:59" s="3" customFormat="1" ht="36" customHeight="1">
      <c r="A81"/>
      <c r="B81"/>
      <c r="C81" s="3349"/>
      <c r="D81" s="3350"/>
      <c r="E81"/>
      <c r="F81"/>
      <c r="G81"/>
      <c r="H81" s="3092"/>
      <c r="I81"/>
      <c r="J81"/>
      <c r="K81"/>
      <c r="L81" t="s">
        <v>2095</v>
      </c>
      <c r="M81">
        <v>127</v>
      </c>
      <c r="N81" t="s">
        <v>2096</v>
      </c>
      <c r="O81" s="3012">
        <v>100</v>
      </c>
      <c r="P81" s="3774">
        <v>9766666</v>
      </c>
      <c r="Q81"/>
      <c r="R81" s="3360"/>
      <c r="S81" s="2344" t="s">
        <v>1957</v>
      </c>
      <c r="T81" s="2350">
        <v>4700000</v>
      </c>
      <c r="U81" s="2345">
        <v>4700000</v>
      </c>
      <c r="V81" s="2345">
        <v>4700000</v>
      </c>
      <c r="W81" s="3012">
        <v>20</v>
      </c>
      <c r="X81" s="3013" t="s">
        <v>232</v>
      </c>
      <c r="Y81"/>
      <c r="Z81"/>
      <c r="AA81"/>
      <c r="AB81"/>
      <c r="AC81">
        <v>31285</v>
      </c>
      <c r="AD81">
        <v>31285</v>
      </c>
      <c r="AE81">
        <v>48714</v>
      </c>
      <c r="AF81">
        <v>48714</v>
      </c>
      <c r="AG81">
        <v>79975</v>
      </c>
      <c r="AH81">
        <v>79975</v>
      </c>
      <c r="AI81">
        <v>122258</v>
      </c>
      <c r="AJ81">
        <v>122258</v>
      </c>
      <c r="AK81"/>
      <c r="AL81"/>
      <c r="AM81"/>
      <c r="AN81"/>
      <c r="AO81"/>
      <c r="AP81"/>
      <c r="AQ81"/>
      <c r="AR81"/>
      <c r="AS81"/>
      <c r="AT81"/>
      <c r="AU81"/>
      <c r="AV81"/>
      <c r="AW81">
        <v>2</v>
      </c>
      <c r="AX81">
        <v>9766666</v>
      </c>
      <c r="AY81">
        <v>9766666</v>
      </c>
      <c r="AZ81" s="3591">
        <v>1</v>
      </c>
      <c r="BA81">
        <v>20</v>
      </c>
      <c r="BB81" s="3013" t="s">
        <v>2094</v>
      </c>
      <c r="BC81">
        <v>42419</v>
      </c>
      <c r="BD81" s="3241">
        <v>42419</v>
      </c>
      <c r="BE81">
        <v>42585</v>
      </c>
      <c r="BF81" s="3241">
        <v>42585</v>
      </c>
      <c r="BG81" t="s">
        <v>1936</v>
      </c>
    </row>
    <row r="82" spans="1:59" s="3" customFormat="1" ht="75" customHeight="1">
      <c r="A82"/>
      <c r="B82"/>
      <c r="C82" s="3349"/>
      <c r="D82" s="3350"/>
      <c r="E82"/>
      <c r="F82"/>
      <c r="G82"/>
      <c r="H82" s="3093"/>
      <c r="I82"/>
      <c r="J82"/>
      <c r="K82"/>
      <c r="L82"/>
      <c r="M82"/>
      <c r="N82"/>
      <c r="O82" s="3014"/>
      <c r="P82" s="3774"/>
      <c r="Q82"/>
      <c r="R82" s="3361"/>
      <c r="S82" s="2344" t="s">
        <v>1959</v>
      </c>
      <c r="T82" s="2350">
        <v>5066666</v>
      </c>
      <c r="U82" s="2345">
        <v>5066666</v>
      </c>
      <c r="V82" s="2345">
        <v>5066666</v>
      </c>
      <c r="W82" s="3014"/>
      <c r="X82" s="3014"/>
      <c r="Y82"/>
      <c r="Z82"/>
      <c r="AA82"/>
      <c r="AB82"/>
      <c r="AC82"/>
      <c r="AD82"/>
      <c r="AE82"/>
      <c r="AF82"/>
      <c r="AG82"/>
      <c r="AH82"/>
      <c r="AI82"/>
      <c r="AJ82"/>
      <c r="AK82"/>
      <c r="AL82"/>
      <c r="AM82"/>
      <c r="AN82"/>
      <c r="AO82"/>
      <c r="AP82"/>
      <c r="AQ82"/>
      <c r="AR82"/>
      <c r="AS82"/>
      <c r="AT82"/>
      <c r="AU82"/>
      <c r="AV82" s="3233"/>
      <c r="AW82"/>
      <c r="AX82"/>
      <c r="AY82"/>
      <c r="AZ82" s="3592"/>
      <c r="BA82"/>
      <c r="BB82" s="3014"/>
      <c r="BC82"/>
      <c r="BD82" s="3242"/>
      <c r="BE82"/>
      <c r="BF82" s="3242"/>
      <c r="BG82"/>
    </row>
    <row r="83" spans="1:59" s="3" customFormat="1" ht="75.75" customHeight="1">
      <c r="A83"/>
      <c r="B83"/>
      <c r="C83" s="3349"/>
      <c r="D83" s="3350"/>
      <c r="E83"/>
      <c r="F83"/>
      <c r="G83">
        <v>197</v>
      </c>
      <c r="H83" s="3091" t="s">
        <v>2089</v>
      </c>
      <c r="I83" t="s">
        <v>2090</v>
      </c>
      <c r="J83">
        <v>1</v>
      </c>
      <c r="K83" s="3131">
        <v>1</v>
      </c>
      <c r="L83" t="s">
        <v>2097</v>
      </c>
      <c r="M83">
        <v>128</v>
      </c>
      <c r="N83" t="s">
        <v>2098</v>
      </c>
      <c r="O83">
        <v>100</v>
      </c>
      <c r="P83">
        <v>36233334</v>
      </c>
      <c r="Q83" t="s">
        <v>2035</v>
      </c>
      <c r="R83" s="3359" t="s">
        <v>2093</v>
      </c>
      <c r="S83" s="2372" t="s">
        <v>2099</v>
      </c>
      <c r="T83" s="2246">
        <v>0</v>
      </c>
      <c r="U83" s="2195">
        <v>0</v>
      </c>
      <c r="V83" s="2195">
        <v>0</v>
      </c>
      <c r="W83">
        <v>20</v>
      </c>
      <c r="X83" t="s">
        <v>232</v>
      </c>
      <c r="Y83"/>
      <c r="Z83"/>
      <c r="AA83"/>
      <c r="AB83"/>
      <c r="AC83">
        <v>31285</v>
      </c>
      <c r="AD83">
        <v>0</v>
      </c>
      <c r="AE83">
        <v>48714</v>
      </c>
      <c r="AF83">
        <v>0</v>
      </c>
      <c r="AG83">
        <v>79975</v>
      </c>
      <c r="AH83">
        <v>0</v>
      </c>
      <c r="AI83">
        <v>122258</v>
      </c>
      <c r="AJ83">
        <v>0</v>
      </c>
      <c r="AK83"/>
      <c r="AL83" s="3232"/>
      <c r="AM83"/>
      <c r="AN83" s="3232"/>
      <c r="AO83"/>
      <c r="AP83" s="3232"/>
      <c r="AQ83"/>
      <c r="AR83" s="3232"/>
      <c r="AS83"/>
      <c r="AT83" s="3232"/>
      <c r="AU83"/>
      <c r="AV83" s="3232"/>
      <c r="AW83">
        <v>6</v>
      </c>
      <c r="AX83">
        <v>33390809</v>
      </c>
      <c r="AY83">
        <v>33390809</v>
      </c>
      <c r="AZ83" s="3590">
        <f>AY83/AX83</f>
        <v>1</v>
      </c>
      <c r="BA83">
        <v>20</v>
      </c>
      <c r="BB83" s="3012" t="s">
        <v>2071</v>
      </c>
      <c r="BC83">
        <v>42683</v>
      </c>
      <c r="BD83">
        <v>42683</v>
      </c>
      <c r="BE83">
        <v>42731</v>
      </c>
      <c r="BF83">
        <v>42731</v>
      </c>
      <c r="BG83" t="s">
        <v>1936</v>
      </c>
    </row>
    <row r="84" spans="1:59" s="3" customFormat="1" ht="81" customHeight="1">
      <c r="A84"/>
      <c r="B84"/>
      <c r="C84" s="3349"/>
      <c r="D84" s="3350"/>
      <c r="E84"/>
      <c r="F84"/>
      <c r="G84"/>
      <c r="H84" s="3092"/>
      <c r="I84"/>
      <c r="J84"/>
      <c r="K84" s="3132"/>
      <c r="L84"/>
      <c r="M84"/>
      <c r="N84"/>
      <c r="O84"/>
      <c r="P84"/>
      <c r="Q84"/>
      <c r="R84" s="3360"/>
      <c r="S84" s="2372" t="s">
        <v>2100</v>
      </c>
      <c r="T84" s="2246">
        <v>19783334</v>
      </c>
      <c r="U84" s="2195">
        <v>19783334</v>
      </c>
      <c r="V84" s="2195">
        <v>19783334</v>
      </c>
      <c r="W84"/>
      <c r="X84"/>
      <c r="Y84"/>
      <c r="Z84"/>
      <c r="AA84"/>
      <c r="AB84"/>
      <c r="AC84"/>
      <c r="AD84"/>
      <c r="AE84"/>
      <c r="AF84"/>
      <c r="AG84"/>
      <c r="AH84"/>
      <c r="AI84"/>
      <c r="AJ84"/>
      <c r="AK84"/>
      <c r="AL84"/>
      <c r="AM84"/>
      <c r="AN84"/>
      <c r="AO84"/>
      <c r="AP84"/>
      <c r="AQ84"/>
      <c r="AR84"/>
      <c r="AS84"/>
      <c r="AT84"/>
      <c r="AU84"/>
      <c r="AV84"/>
      <c r="AW84"/>
      <c r="AX84"/>
      <c r="AY84"/>
      <c r="AZ84" s="3591"/>
      <c r="BA84"/>
      <c r="BB84" s="3013"/>
      <c r="BC84"/>
      <c r="BD84"/>
      <c r="BE84"/>
      <c r="BF84"/>
      <c r="BG84"/>
    </row>
    <row r="85" spans="1:59" s="3" customFormat="1" ht="54.75" customHeight="1">
      <c r="A85"/>
      <c r="B85"/>
      <c r="C85" s="3349"/>
      <c r="D85" s="3350"/>
      <c r="E85"/>
      <c r="F85"/>
      <c r="G85"/>
      <c r="H85" s="3092"/>
      <c r="I85"/>
      <c r="J85"/>
      <c r="K85" s="3132"/>
      <c r="L85"/>
      <c r="M85"/>
      <c r="N85"/>
      <c r="O85"/>
      <c r="P85"/>
      <c r="Q85"/>
      <c r="R85" s="3360"/>
      <c r="S85" s="2372" t="s">
        <v>2101</v>
      </c>
      <c r="T85" s="2246">
        <v>4450000</v>
      </c>
      <c r="U85" s="2195">
        <v>4450000</v>
      </c>
      <c r="V85" s="2195">
        <v>4450000</v>
      </c>
      <c r="W85"/>
      <c r="X85"/>
      <c r="Y85"/>
      <c r="Z85"/>
      <c r="AA85"/>
      <c r="AB85"/>
      <c r="AC85"/>
      <c r="AD85"/>
      <c r="AE85"/>
      <c r="AF85"/>
      <c r="AG85"/>
      <c r="AH85"/>
      <c r="AI85"/>
      <c r="AJ85"/>
      <c r="AK85"/>
      <c r="AL85"/>
      <c r="AM85"/>
      <c r="AN85"/>
      <c r="AO85"/>
      <c r="AP85"/>
      <c r="AQ85"/>
      <c r="AR85"/>
      <c r="AS85"/>
      <c r="AT85"/>
      <c r="AU85"/>
      <c r="AV85"/>
      <c r="AW85"/>
      <c r="AX85"/>
      <c r="AY85"/>
      <c r="AZ85" s="3591"/>
      <c r="BA85"/>
      <c r="BB85" s="3013"/>
      <c r="BC85"/>
      <c r="BD85"/>
      <c r="BE85"/>
      <c r="BF85"/>
      <c r="BG85"/>
    </row>
    <row r="86" spans="1:59" s="3" customFormat="1" ht="59.25" customHeight="1">
      <c r="A86"/>
      <c r="B86"/>
      <c r="C86" s="3351"/>
      <c r="D86" s="3352"/>
      <c r="E86"/>
      <c r="F86"/>
      <c r="G86"/>
      <c r="H86" s="3093"/>
      <c r="I86"/>
      <c r="J86"/>
      <c r="K86" s="3167"/>
      <c r="L86"/>
      <c r="M86"/>
      <c r="N86"/>
      <c r="O86"/>
      <c r="P86"/>
      <c r="Q86"/>
      <c r="R86" s="3361"/>
      <c r="S86" s="2372" t="s">
        <v>2102</v>
      </c>
      <c r="T86" s="2246">
        <v>12000000</v>
      </c>
      <c r="U86" s="2195">
        <f>6000000+3157475</f>
        <v>9157475</v>
      </c>
      <c r="V86" s="2195">
        <v>9157475</v>
      </c>
      <c r="W86"/>
      <c r="X86"/>
      <c r="Y86"/>
      <c r="Z86"/>
      <c r="AA86"/>
      <c r="AB86"/>
      <c r="AC86"/>
      <c r="AD86"/>
      <c r="AE86"/>
      <c r="AF86"/>
      <c r="AG86"/>
      <c r="AH86"/>
      <c r="AI86"/>
      <c r="AJ86"/>
      <c r="AK86"/>
      <c r="AL86" s="3233"/>
      <c r="AM86"/>
      <c r="AN86" s="3233"/>
      <c r="AO86"/>
      <c r="AP86" s="3233"/>
      <c r="AQ86"/>
      <c r="AR86" s="3233"/>
      <c r="AS86"/>
      <c r="AT86" s="3233"/>
      <c r="AU86"/>
      <c r="AV86" s="3233"/>
      <c r="AW86"/>
      <c r="AX86"/>
      <c r="AY86"/>
      <c r="AZ86" s="3592"/>
      <c r="BA86"/>
      <c r="BB86" s="3014"/>
      <c r="BC86"/>
      <c r="BD86"/>
      <c r="BE86"/>
      <c r="BF86"/>
      <c r="BG86"/>
    </row>
    <row r="87" spans="1:59" ht="15">
      <c r="A87"/>
      <c r="B87"/>
      <c r="C87" s="2233">
        <v>19</v>
      </c>
      <c r="D87" s="70" t="s">
        <v>2103</v>
      </c>
      <c r="E87" s="48"/>
      <c r="F87" s="48"/>
      <c r="G87" s="48"/>
      <c r="H87" s="48"/>
      <c r="I87" s="48"/>
      <c r="J87" s="48"/>
      <c r="K87" s="170"/>
      <c r="L87" s="48"/>
      <c r="M87" s="48"/>
      <c r="N87" s="48"/>
      <c r="O87" s="48"/>
      <c r="P87" s="48"/>
      <c r="Q87" s="48"/>
      <c r="R87" s="48"/>
      <c r="S87" s="48"/>
      <c r="T87" s="48"/>
      <c r="U87" s="2428"/>
      <c r="V87" s="2428"/>
      <c r="W87" s="48"/>
      <c r="X87" s="48"/>
      <c r="Y87" s="48"/>
      <c r="Z87" s="170"/>
      <c r="AA87" s="48"/>
      <c r="AB87" s="170"/>
      <c r="AC87" s="48"/>
      <c r="AD87" s="170"/>
      <c r="AE87" s="48"/>
      <c r="AF87" s="170"/>
      <c r="AG87" s="48"/>
      <c r="AH87" s="170"/>
      <c r="AI87" s="48"/>
      <c r="AJ87" s="170"/>
      <c r="AK87" s="48"/>
      <c r="AL87" s="170"/>
      <c r="AM87" s="48"/>
      <c r="AN87" s="170"/>
      <c r="AO87" s="48"/>
      <c r="AP87" s="170"/>
      <c r="AQ87" s="48"/>
      <c r="AR87" s="170"/>
      <c r="AS87" s="48"/>
      <c r="AT87" s="170"/>
      <c r="AU87" s="48"/>
      <c r="AV87" s="170"/>
      <c r="AW87" s="48"/>
      <c r="AX87" s="48"/>
      <c r="AY87" s="48"/>
      <c r="AZ87" s="48"/>
      <c r="BA87" s="48"/>
      <c r="BB87" s="48"/>
      <c r="BC87" s="48"/>
      <c r="BD87" s="170"/>
      <c r="BE87" s="48"/>
      <c r="BF87" s="170"/>
      <c r="BG87" s="104"/>
    </row>
    <row r="88" spans="1:59" s="3" customFormat="1" ht="15">
      <c r="A88"/>
      <c r="B88"/>
      <c r="C88" s="3349"/>
      <c r="D88" s="3350"/>
      <c r="E88" s="730">
        <v>67</v>
      </c>
      <c r="F88" s="2725" t="s">
        <v>2104</v>
      </c>
      <c r="G88" s="2726"/>
      <c r="H88" s="2726"/>
      <c r="I88" s="2726"/>
      <c r="J88" s="2726"/>
      <c r="K88" s="475"/>
      <c r="L88" s="2726"/>
      <c r="M88" s="2726"/>
      <c r="N88" s="2726"/>
      <c r="O88" s="2726"/>
      <c r="P88" s="2726"/>
      <c r="Q88" s="2726"/>
      <c r="R88" s="2726"/>
      <c r="S88" s="2726"/>
      <c r="T88" s="2726"/>
      <c r="U88" s="2722"/>
      <c r="V88" s="2722"/>
      <c r="W88" s="2726"/>
      <c r="X88" s="2726"/>
      <c r="Y88" s="2726"/>
      <c r="Z88" s="475"/>
      <c r="AA88" s="2726"/>
      <c r="AB88" s="475"/>
      <c r="AC88" s="2726"/>
      <c r="AD88" s="475"/>
      <c r="AE88" s="2726"/>
      <c r="AF88" s="475"/>
      <c r="AG88" s="2726"/>
      <c r="AH88" s="475"/>
      <c r="AI88" s="2726"/>
      <c r="AJ88" s="475"/>
      <c r="AK88" s="2726"/>
      <c r="AL88" s="475"/>
      <c r="AM88" s="2726"/>
      <c r="AN88" s="475"/>
      <c r="AO88" s="2726"/>
      <c r="AP88" s="475"/>
      <c r="AQ88" s="2726"/>
      <c r="AR88" s="475"/>
      <c r="AS88" s="2726"/>
      <c r="AT88" s="475"/>
      <c r="AU88" s="2726"/>
      <c r="AV88" s="475"/>
      <c r="AW88" s="2726"/>
      <c r="AX88" s="2726"/>
      <c r="AY88" s="2726"/>
      <c r="AZ88" s="2726"/>
      <c r="BA88" s="2726"/>
      <c r="BB88" s="2726"/>
      <c r="BC88" s="2726"/>
      <c r="BD88" s="475"/>
      <c r="BE88" s="2726"/>
      <c r="BF88" s="475"/>
      <c r="BG88" s="2727"/>
    </row>
    <row r="89" spans="1:59" s="3" customFormat="1" ht="81" customHeight="1">
      <c r="A89"/>
      <c r="B89"/>
      <c r="C89" s="3349"/>
      <c r="D89" s="3350"/>
      <c r="E89" s="3347"/>
      <c r="F89" s="3348"/>
      <c r="G89">
        <v>198</v>
      </c>
      <c r="H89" t="s">
        <v>2105</v>
      </c>
      <c r="I89" s="3360" t="s">
        <v>2106</v>
      </c>
      <c r="J89">
        <v>1</v>
      </c>
      <c r="K89">
        <v>0.8</v>
      </c>
      <c r="L89" s="2247" t="s">
        <v>2107</v>
      </c>
      <c r="M89">
        <v>129</v>
      </c>
      <c r="N89" t="s">
        <v>2108</v>
      </c>
      <c r="O89">
        <v>100</v>
      </c>
      <c r="P89">
        <v>3287557575</v>
      </c>
      <c r="Q89" t="s">
        <v>2109</v>
      </c>
      <c r="R89" s="3360" t="s">
        <v>2110</v>
      </c>
      <c r="S89" s="2363" t="s">
        <v>2111</v>
      </c>
      <c r="T89" s="2237">
        <v>26100000</v>
      </c>
      <c r="U89" s="2237">
        <v>9466667</v>
      </c>
      <c r="V89" s="2237">
        <v>9466667</v>
      </c>
      <c r="W89">
        <v>20</v>
      </c>
      <c r="X89" t="s">
        <v>232</v>
      </c>
      <c r="Y89"/>
      <c r="Z89" s="3232"/>
      <c r="AA89"/>
      <c r="AB89" s="3232"/>
      <c r="AC89"/>
      <c r="AD89" s="3232"/>
      <c r="AE89"/>
      <c r="AF89" s="3232"/>
      <c r="AG89"/>
      <c r="AH89" s="3232"/>
      <c r="AI89">
        <v>81384</v>
      </c>
      <c r="AJ89" s="3140">
        <v>163</v>
      </c>
      <c r="AK89"/>
      <c r="AL89" s="3232"/>
      <c r="AM89"/>
      <c r="AN89" s="3232"/>
      <c r="AO89"/>
      <c r="AP89" s="3232"/>
      <c r="AQ89"/>
      <c r="AR89" s="3232"/>
      <c r="AS89"/>
      <c r="AT89" s="3232"/>
      <c r="AU89"/>
      <c r="AV89" s="3232"/>
      <c r="AW89">
        <v>5</v>
      </c>
      <c r="AX89">
        <v>2648492174</v>
      </c>
      <c r="AY89">
        <v>2648492174</v>
      </c>
      <c r="AZ89">
        <f>+AY89/AX89</f>
        <v>1</v>
      </c>
      <c r="BA89">
        <v>20</v>
      </c>
      <c r="BB89" s="3012" t="s">
        <v>2112</v>
      </c>
      <c r="BC89">
        <v>42447</v>
      </c>
      <c r="BD89">
        <v>42447</v>
      </c>
      <c r="BE89">
        <v>42726</v>
      </c>
      <c r="BF89">
        <v>42726</v>
      </c>
      <c r="BG89" t="s">
        <v>1936</v>
      </c>
    </row>
    <row r="90" spans="1:59" s="3" customFormat="1" ht="81" customHeight="1">
      <c r="A90"/>
      <c r="B90"/>
      <c r="C90" s="3349"/>
      <c r="D90" s="3350"/>
      <c r="E90" s="3349"/>
      <c r="F90" s="3350"/>
      <c r="G90"/>
      <c r="H90"/>
      <c r="I90" s="3360"/>
      <c r="J90"/>
      <c r="K90"/>
      <c r="L90" t="s">
        <v>2113</v>
      </c>
      <c r="M90"/>
      <c r="N90"/>
      <c r="O90"/>
      <c r="P90"/>
      <c r="Q90"/>
      <c r="R90" s="3360"/>
      <c r="S90" s="2372" t="s">
        <v>2114</v>
      </c>
      <c r="T90" s="2238">
        <v>13900000</v>
      </c>
      <c r="U90" s="2238">
        <v>7500000</v>
      </c>
      <c r="V90" s="2238">
        <v>7500000</v>
      </c>
      <c r="W90"/>
      <c r="X90"/>
      <c r="Y90"/>
      <c r="Z90"/>
      <c r="AA90"/>
      <c r="AB90"/>
      <c r="AC90"/>
      <c r="AD90"/>
      <c r="AE90"/>
      <c r="AF90"/>
      <c r="AG90"/>
      <c r="AH90"/>
      <c r="AI90"/>
      <c r="AJ90" s="3141"/>
      <c r="AK90"/>
      <c r="AL90"/>
      <c r="AM90"/>
      <c r="AN90"/>
      <c r="AO90"/>
      <c r="AP90"/>
      <c r="AQ90"/>
      <c r="AR90"/>
      <c r="AS90"/>
      <c r="AT90"/>
      <c r="AU90"/>
      <c r="AV90"/>
      <c r="AW90"/>
      <c r="AX90"/>
      <c r="AY90"/>
      <c r="AZ90"/>
      <c r="BA90"/>
      <c r="BB90"/>
      <c r="BC90"/>
      <c r="BD90"/>
      <c r="BE90"/>
      <c r="BF90"/>
      <c r="BG90"/>
    </row>
    <row r="91" spans="1:59" s="3" customFormat="1" ht="77.25" customHeight="1">
      <c r="A91"/>
      <c r="B91"/>
      <c r="C91" s="3349"/>
      <c r="D91" s="3350"/>
      <c r="E91" s="3349"/>
      <c r="F91" s="3350"/>
      <c r="G91"/>
      <c r="H91"/>
      <c r="I91" s="3360"/>
      <c r="J91"/>
      <c r="K91"/>
      <c r="L91"/>
      <c r="M91"/>
      <c r="N91"/>
      <c r="O91"/>
      <c r="P91"/>
      <c r="Q91"/>
      <c r="R91" s="3360"/>
      <c r="S91" s="2372" t="s">
        <v>2115</v>
      </c>
      <c r="T91" s="2238">
        <v>0</v>
      </c>
      <c r="U91" s="2238">
        <v>0</v>
      </c>
      <c r="V91" s="2238">
        <v>0</v>
      </c>
      <c r="W91"/>
      <c r="X91"/>
      <c r="Y91"/>
      <c r="Z91"/>
      <c r="AA91"/>
      <c r="AB91"/>
      <c r="AC91"/>
      <c r="AD91"/>
      <c r="AE91"/>
      <c r="AF91"/>
      <c r="AG91"/>
      <c r="AH91"/>
      <c r="AI91"/>
      <c r="AJ91" s="3141"/>
      <c r="AK91"/>
      <c r="AL91"/>
      <c r="AM91"/>
      <c r="AN91"/>
      <c r="AO91"/>
      <c r="AP91"/>
      <c r="AQ91"/>
      <c r="AR91"/>
      <c r="AS91"/>
      <c r="AT91"/>
      <c r="AU91"/>
      <c r="AV91"/>
      <c r="AW91"/>
      <c r="AX91"/>
      <c r="AY91"/>
      <c r="AZ91"/>
      <c r="BA91"/>
      <c r="BB91"/>
      <c r="BC91"/>
      <c r="BD91"/>
      <c r="BE91"/>
      <c r="BF91"/>
      <c r="BG91"/>
    </row>
    <row r="92" spans="1:59" s="3" customFormat="1" ht="77.25" customHeight="1">
      <c r="A92"/>
      <c r="B92"/>
      <c r="C92" s="3349"/>
      <c r="D92" s="3350"/>
      <c r="E92" s="3349"/>
      <c r="F92" s="3350"/>
      <c r="G92"/>
      <c r="H92"/>
      <c r="I92" s="3360"/>
      <c r="J92"/>
      <c r="K92"/>
      <c r="L92"/>
      <c r="M92"/>
      <c r="N92"/>
      <c r="O92"/>
      <c r="P92"/>
      <c r="Q92"/>
      <c r="R92" s="3360"/>
      <c r="S92" s="2372" t="s">
        <v>2116</v>
      </c>
      <c r="T92" s="2238">
        <v>0</v>
      </c>
      <c r="U92" s="2238">
        <v>0</v>
      </c>
      <c r="V92" s="2238">
        <v>0</v>
      </c>
      <c r="W92"/>
      <c r="X92"/>
      <c r="Y92"/>
      <c r="Z92"/>
      <c r="AA92"/>
      <c r="AB92"/>
      <c r="AC92"/>
      <c r="AD92"/>
      <c r="AE92"/>
      <c r="AF92"/>
      <c r="AG92"/>
      <c r="AH92"/>
      <c r="AI92"/>
      <c r="AJ92" s="3141"/>
      <c r="AK92"/>
      <c r="AL92"/>
      <c r="AM92"/>
      <c r="AN92"/>
      <c r="AO92"/>
      <c r="AP92"/>
      <c r="AQ92"/>
      <c r="AR92"/>
      <c r="AS92"/>
      <c r="AT92"/>
      <c r="AU92"/>
      <c r="AV92"/>
      <c r="AW92"/>
      <c r="AX92"/>
      <c r="AY92"/>
      <c r="AZ92"/>
      <c r="BA92"/>
      <c r="BB92"/>
      <c r="BC92"/>
      <c r="BD92"/>
      <c r="BE92"/>
      <c r="BF92"/>
      <c r="BG92"/>
    </row>
    <row r="93" spans="1:59" s="3" customFormat="1" ht="69" customHeight="1">
      <c r="A93"/>
      <c r="B93"/>
      <c r="C93" s="3349"/>
      <c r="D93" s="3350"/>
      <c r="E93" s="3349"/>
      <c r="F93" s="3350"/>
      <c r="G93" s="2383">
        <v>200</v>
      </c>
      <c r="H93" s="2395" t="s">
        <v>2117</v>
      </c>
      <c r="I93" s="2372" t="s">
        <v>2118</v>
      </c>
      <c r="J93" s="2344">
        <v>12</v>
      </c>
      <c r="K93" s="2398">
        <v>20</v>
      </c>
      <c r="L93" t="s">
        <v>2119</v>
      </c>
      <c r="M93"/>
      <c r="N93"/>
      <c r="O93"/>
      <c r="P93"/>
      <c r="Q93"/>
      <c r="R93" s="3360"/>
      <c r="S93" s="3360" t="s">
        <v>2120</v>
      </c>
      <c r="T93" s="2248">
        <v>974267272.9</v>
      </c>
      <c r="U93" s="2195">
        <v>789457652</v>
      </c>
      <c r="V93" s="2195">
        <v>789457652.1</v>
      </c>
      <c r="W93" s="2379">
        <v>84</v>
      </c>
      <c r="X93" s="2379" t="s">
        <v>2121</v>
      </c>
      <c r="Y93"/>
      <c r="Z93"/>
      <c r="AA93"/>
      <c r="AB93"/>
      <c r="AC93"/>
      <c r="AD93"/>
      <c r="AE93"/>
      <c r="AF93"/>
      <c r="AG93"/>
      <c r="AH93"/>
      <c r="AI93"/>
      <c r="AJ93" s="3141"/>
      <c r="AK93"/>
      <c r="AL93"/>
      <c r="AM93"/>
      <c r="AN93"/>
      <c r="AO93"/>
      <c r="AP93"/>
      <c r="AQ93"/>
      <c r="AR93"/>
      <c r="AS93"/>
      <c r="AT93"/>
      <c r="AU93"/>
      <c r="AV93"/>
      <c r="AW93"/>
      <c r="AX93"/>
      <c r="AY93"/>
      <c r="AZ93"/>
      <c r="BA93"/>
      <c r="BB93"/>
      <c r="BC93"/>
      <c r="BD93"/>
      <c r="BE93"/>
      <c r="BF93"/>
      <c r="BG93"/>
    </row>
    <row r="94" spans="1:59" s="3" customFormat="1" ht="68.25" customHeight="1" thickBot="1">
      <c r="A94"/>
      <c r="B94"/>
      <c r="C94"/>
      <c r="D94"/>
      <c r="E94"/>
      <c r="F94"/>
      <c r="G94" s="2249">
        <v>201</v>
      </c>
      <c r="H94" s="2250" t="s">
        <v>2122</v>
      </c>
      <c r="I94" s="2250" t="s">
        <v>2123</v>
      </c>
      <c r="J94" s="2251">
        <v>14</v>
      </c>
      <c r="K94" s="2252">
        <v>18</v>
      </c>
      <c r="L94"/>
      <c r="M94"/>
      <c r="N94"/>
      <c r="O94"/>
      <c r="P94"/>
      <c r="Q94"/>
      <c r="R94"/>
      <c r="S94" s="3361"/>
      <c r="T94" s="2248">
        <v>2273290302.1</v>
      </c>
      <c r="U94" s="2429">
        <v>1842067855.1</v>
      </c>
      <c r="V94" s="2429">
        <v>1842067855.1</v>
      </c>
      <c r="W94" s="2253"/>
      <c r="X94" s="2254" t="s">
        <v>2124</v>
      </c>
      <c r="Y94"/>
      <c r="Z94"/>
      <c r="AA94"/>
      <c r="AB94"/>
      <c r="AC94"/>
      <c r="AD94"/>
      <c r="AE94"/>
      <c r="AF94"/>
      <c r="AG94"/>
      <c r="AH94"/>
      <c r="AI94"/>
      <c r="AJ94"/>
      <c r="AK94"/>
      <c r="AL94"/>
      <c r="AM94"/>
      <c r="AN94"/>
      <c r="AO94"/>
      <c r="AP94"/>
      <c r="AQ94"/>
      <c r="AR94"/>
      <c r="AS94"/>
      <c r="AT94"/>
      <c r="AU94"/>
      <c r="AV94"/>
      <c r="AW94"/>
      <c r="AX94"/>
      <c r="AY94"/>
      <c r="AZ94"/>
      <c r="BA94"/>
      <c r="BB94"/>
      <c r="BC94"/>
      <c r="BD94"/>
      <c r="BE94"/>
      <c r="BF94"/>
      <c r="BG94"/>
    </row>
    <row r="95" spans="1:59" ht="15.75" thickBot="1">
      <c r="A95" t="s">
        <v>391</v>
      </c>
      <c r="B95"/>
      <c r="C95"/>
      <c r="D95"/>
      <c r="E95"/>
      <c r="F95"/>
      <c r="G95"/>
      <c r="H95"/>
      <c r="I95"/>
      <c r="J95"/>
      <c r="K95"/>
      <c r="L95"/>
      <c r="M95"/>
      <c r="N95"/>
      <c r="O95"/>
      <c r="P95" s="2255">
        <f>SUM(P13:P94)</f>
        <v>4497557575</v>
      </c>
      <c r="Q95" s="2256"/>
      <c r="R95" s="2257"/>
      <c r="S95" s="2258"/>
      <c r="T95" s="2259">
        <f>SUM(T13:T94)</f>
        <v>4497557575</v>
      </c>
      <c r="U95" s="2259">
        <f>SUM(U13:U94)</f>
        <v>3560404754.1</v>
      </c>
      <c r="V95" s="2259">
        <f>SUM(V13:V94)</f>
        <v>3536404754.2</v>
      </c>
      <c r="W95" s="2260"/>
      <c r="X95" s="2257"/>
      <c r="Y95" s="2257"/>
      <c r="Z95" s="2261"/>
      <c r="AA95" s="2257"/>
      <c r="AB95" s="2261"/>
      <c r="AC95" s="2257"/>
      <c r="AD95" s="2261"/>
      <c r="AE95" s="2257"/>
      <c r="AF95" s="2261"/>
      <c r="AG95" s="2257"/>
      <c r="AH95" s="2261"/>
      <c r="AI95" s="2257"/>
      <c r="AJ95" s="2261"/>
      <c r="AK95" s="2257"/>
      <c r="AL95" s="2261"/>
      <c r="AM95" s="2257"/>
      <c r="AN95" s="2261"/>
      <c r="AO95" s="2257"/>
      <c r="AP95" s="2261"/>
      <c r="AQ95" s="2257"/>
      <c r="AR95" s="2261"/>
      <c r="AS95" s="2257"/>
      <c r="AT95" s="2261"/>
      <c r="AU95" s="2257"/>
      <c r="AV95" s="2261"/>
      <c r="AW95" s="2257"/>
      <c r="AX95" s="2259">
        <f>SUM(AX13:AX94)</f>
        <v>3560404754</v>
      </c>
      <c r="AY95" s="2259">
        <f>SUM(AY13:AY94)</f>
        <v>3536404754</v>
      </c>
      <c r="AZ95" s="2262">
        <f>AY95/AX95</f>
        <v>0.9932591933619241</v>
      </c>
      <c r="BA95" s="2257"/>
      <c r="BB95" s="2257"/>
      <c r="BC95" s="2257"/>
      <c r="BD95" s="2261"/>
      <c r="BE95" s="2257"/>
      <c r="BF95" s="2261"/>
      <c r="BG95" s="2258"/>
    </row>
    <row r="96" spans="1:59" ht="15">
      <c r="A96" s="24"/>
      <c r="B96" s="24"/>
      <c r="C96" s="24"/>
      <c r="D96" s="24"/>
      <c r="E96" s="2263"/>
      <c r="F96" s="2264"/>
      <c r="G96" s="2265"/>
      <c r="H96" s="2265"/>
      <c r="I96" s="852"/>
      <c r="J96" s="2266"/>
      <c r="K96" s="2267"/>
      <c r="L96" s="2266"/>
      <c r="M96" s="2266"/>
      <c r="N96" s="852"/>
      <c r="O96" s="2268"/>
      <c r="P96" s="2269"/>
      <c r="Q96" s="2265"/>
      <c r="R96" s="2430"/>
      <c r="S96" s="2431"/>
      <c r="T96" s="2270"/>
      <c r="U96" s="2271"/>
      <c r="V96" s="2271"/>
      <c r="W96" s="24"/>
      <c r="X96" s="24"/>
      <c r="Y96" s="24"/>
      <c r="Z96" s="2272"/>
      <c r="AA96" s="24"/>
      <c r="AB96" s="2272"/>
      <c r="AC96" s="24"/>
      <c r="AD96" s="2272"/>
      <c r="AE96" s="24"/>
      <c r="AF96" s="2272"/>
      <c r="AG96" s="24"/>
      <c r="AH96" s="2272"/>
      <c r="AI96" s="24"/>
      <c r="AJ96" s="2272"/>
      <c r="AK96" s="24"/>
      <c r="AL96" s="2272"/>
      <c r="AM96" s="24"/>
      <c r="AN96" s="2272"/>
      <c r="AO96" s="24"/>
      <c r="AP96" s="2272"/>
      <c r="AQ96" s="24"/>
      <c r="AR96" s="2272"/>
      <c r="AS96" s="24"/>
      <c r="AT96" s="2272"/>
      <c r="BG96" s="2273"/>
    </row>
    <row r="97" spans="1:59" ht="15">
      <c r="A97" s="24"/>
      <c r="B97" s="24"/>
      <c r="C97" s="24"/>
      <c r="D97" s="24"/>
      <c r="E97" s="2263"/>
      <c r="F97" s="2264"/>
      <c r="G97" s="2265"/>
      <c r="H97" s="2265"/>
      <c r="I97" s="852"/>
      <c r="J97" s="2266"/>
      <c r="K97" s="2267"/>
      <c r="L97" s="2266"/>
      <c r="M97" s="2266"/>
      <c r="N97" s="852"/>
      <c r="O97" s="2268"/>
      <c r="P97" s="2269"/>
      <c r="Q97" s="2265"/>
      <c r="R97" s="2430"/>
      <c r="S97" s="2432"/>
      <c r="T97" s="2274"/>
      <c r="U97" s="2275"/>
      <c r="V97" s="2271"/>
      <c r="W97" s="24"/>
      <c r="X97" s="24"/>
      <c r="Y97" s="24"/>
      <c r="Z97" s="2272"/>
      <c r="AA97" s="24"/>
      <c r="AB97" s="2272"/>
      <c r="AC97" s="24"/>
      <c r="AD97" s="2272"/>
      <c r="AE97" s="24"/>
      <c r="AF97" s="2272"/>
      <c r="AG97" s="24"/>
      <c r="AH97" s="2272"/>
      <c r="AI97" s="24"/>
      <c r="AJ97" s="2272"/>
      <c r="AK97" s="24"/>
      <c r="AL97" s="2272"/>
      <c r="AM97" s="24"/>
      <c r="AN97" s="2272"/>
      <c r="AO97" s="24"/>
      <c r="AP97" s="2272"/>
      <c r="AQ97" s="24"/>
      <c r="AR97" s="2272"/>
      <c r="AS97" s="24"/>
      <c r="AT97" s="2272"/>
      <c r="BG97" s="2273"/>
    </row>
    <row r="98" spans="1:59" ht="24.75" customHeight="1">
      <c r="A98" s="24"/>
      <c r="B98" s="24"/>
      <c r="C98" s="24"/>
      <c r="D98" s="24"/>
      <c r="E98" s="2263"/>
      <c r="F98" s="2264"/>
      <c r="G98" s="2266"/>
      <c r="H98" s="2266"/>
      <c r="I98" s="2266"/>
      <c r="J98" s="2266"/>
      <c r="K98" s="2267"/>
      <c r="L98" s="2266"/>
      <c r="M98" s="2266"/>
      <c r="N98" s="852"/>
      <c r="O98" s="2268"/>
      <c r="P98" s="2695"/>
      <c r="Q98" s="2265"/>
      <c r="R98" s="2430"/>
      <c r="S98" s="2431"/>
      <c r="T98" s="2433"/>
      <c r="U98" s="2434"/>
      <c r="V98" s="2434"/>
      <c r="W98" s="24"/>
      <c r="X98" s="24"/>
      <c r="Y98" s="24"/>
      <c r="Z98" s="2272"/>
      <c r="AA98" s="24"/>
      <c r="AB98" s="2272"/>
      <c r="AC98" s="24"/>
      <c r="AD98" s="2272"/>
      <c r="AE98" s="24"/>
      <c r="AF98" s="2272"/>
      <c r="AG98" s="24"/>
      <c r="AH98" s="2272"/>
      <c r="AI98" s="24"/>
      <c r="AJ98" s="2272"/>
      <c r="AK98" s="24"/>
      <c r="AL98" s="2272"/>
      <c r="AM98" s="24"/>
      <c r="AN98" s="2272"/>
      <c r="AO98" s="24"/>
      <c r="AP98" s="2272"/>
      <c r="AQ98" s="24"/>
      <c r="AR98" s="2272"/>
      <c r="AS98" s="24"/>
      <c r="AT98" s="2272"/>
      <c r="AX98" s="2276"/>
      <c r="AY98" s="2276"/>
      <c r="BG98" s="2273"/>
    </row>
    <row r="99" spans="5:59" ht="14.25">
      <c r="E99" s="2263"/>
      <c r="F99" s="2277"/>
      <c r="G99" s="2263"/>
      <c r="H99" s="2263"/>
      <c r="I99" s="2263"/>
      <c r="J99" s="2263"/>
      <c r="K99" s="2278"/>
      <c r="L99" s="2266"/>
      <c r="M99" s="2266"/>
      <c r="N99" s="2268"/>
      <c r="O99" s="2268"/>
      <c r="P99" s="2279"/>
      <c r="Q99" s="2265"/>
      <c r="R99" s="2430"/>
      <c r="S99" s="2432"/>
      <c r="T99" s="2274"/>
      <c r="U99" s="2275"/>
      <c r="V99" s="2275"/>
      <c r="W99" s="24"/>
      <c r="X99" s="24"/>
      <c r="Y99" s="24"/>
      <c r="Z99" s="2272"/>
      <c r="AA99" s="24"/>
      <c r="AB99" s="2272"/>
      <c r="AC99" s="24"/>
      <c r="AD99" s="2272"/>
      <c r="AE99" s="24"/>
      <c r="AF99" s="2272"/>
      <c r="AG99" s="24"/>
      <c r="AH99" s="2272"/>
      <c r="AI99" s="24"/>
      <c r="AJ99" s="2272"/>
      <c r="AK99" s="24"/>
      <c r="AL99" s="2272"/>
      <c r="AM99" s="24"/>
      <c r="AN99" s="2272"/>
      <c r="AO99" s="24"/>
      <c r="AP99" s="2272"/>
      <c r="AQ99" s="24"/>
      <c r="AR99" s="2272"/>
      <c r="AS99" s="24"/>
      <c r="AT99" s="2272"/>
      <c r="AW99" s="780"/>
      <c r="AX99" s="2280"/>
      <c r="AY99" s="2280"/>
      <c r="BG99" s="2273"/>
    </row>
    <row r="100" spans="1:59" ht="14.25">
      <c r="A100" s="24"/>
      <c r="B100" s="24"/>
      <c r="C100" s="24"/>
      <c r="D100" s="24"/>
      <c r="E100" s="2263"/>
      <c r="F100" s="2277"/>
      <c r="G100" s="2263"/>
      <c r="H100" s="2263"/>
      <c r="I100" s="2263"/>
      <c r="J100" s="2263"/>
      <c r="K100" s="2278"/>
      <c r="L100" s="2266"/>
      <c r="M100" s="2266"/>
      <c r="N100" s="2268"/>
      <c r="O100" s="2268"/>
      <c r="P100" s="2281"/>
      <c r="Q100" s="2268"/>
      <c r="R100" s="2268"/>
      <c r="S100" s="2268"/>
      <c r="T100" s="2282"/>
      <c r="U100" s="2283"/>
      <c r="V100" s="2283"/>
      <c r="W100" s="24"/>
      <c r="X100" s="24"/>
      <c r="Y100" s="24"/>
      <c r="Z100" s="2272"/>
      <c r="AA100" s="24"/>
      <c r="AB100" s="2272"/>
      <c r="AC100" s="24"/>
      <c r="AD100" s="2272"/>
      <c r="AE100" s="24"/>
      <c r="AF100" s="2272"/>
      <c r="AG100" s="24"/>
      <c r="AH100" s="2272"/>
      <c r="AI100" s="24"/>
      <c r="AJ100" s="2272"/>
      <c r="AK100" s="24"/>
      <c r="AL100" s="2272"/>
      <c r="AM100" s="24"/>
      <c r="AN100" s="2272"/>
      <c r="AO100" s="24"/>
      <c r="AP100" s="2272"/>
      <c r="AQ100" s="24"/>
      <c r="AR100" s="2272"/>
      <c r="AS100" s="24"/>
      <c r="AT100" s="2272"/>
      <c r="BG100" s="2273"/>
    </row>
    <row r="101" spans="1:46" ht="14.25">
      <c r="A101" s="24"/>
      <c r="B101" s="24"/>
      <c r="C101" s="24"/>
      <c r="D101" s="24"/>
      <c r="E101" s="2263"/>
      <c r="F101" s="2277"/>
      <c r="G101" s="2263"/>
      <c r="H101" s="2263"/>
      <c r="I101" s="2263"/>
      <c r="J101" s="2263"/>
      <c r="K101" s="2278"/>
      <c r="L101" s="2266"/>
      <c r="M101" s="2266"/>
      <c r="N101" s="2268"/>
      <c r="O101" s="2268"/>
      <c r="P101" s="2281"/>
      <c r="Q101" s="2268"/>
      <c r="R101" s="24"/>
      <c r="S101" s="24"/>
      <c r="T101" s="2282"/>
      <c r="U101" s="2283"/>
      <c r="V101" s="2283"/>
      <c r="W101" s="24"/>
      <c r="X101" s="24"/>
      <c r="Y101" s="24"/>
      <c r="Z101" s="2272"/>
      <c r="AA101" s="24"/>
      <c r="AB101" s="2272"/>
      <c r="AC101" s="24"/>
      <c r="AD101" s="2272"/>
      <c r="AE101" s="24"/>
      <c r="AF101" s="2272"/>
      <c r="AG101" s="24"/>
      <c r="AH101" s="2272"/>
      <c r="AI101" s="24"/>
      <c r="AJ101" s="2272"/>
      <c r="AK101" s="24"/>
      <c r="AL101" s="2272"/>
      <c r="AM101" s="24"/>
      <c r="AN101" s="2272"/>
      <c r="AO101" s="24"/>
      <c r="AP101" s="2272"/>
      <c r="AQ101" s="24"/>
      <c r="AR101" s="2272"/>
      <c r="AS101" s="24"/>
      <c r="AT101" s="2272"/>
    </row>
    <row r="102" spans="1:46" ht="15">
      <c r="A102" s="24"/>
      <c r="B102" s="24"/>
      <c r="C102" s="24"/>
      <c r="D102" s="24"/>
      <c r="E102" s="2263"/>
      <c r="F102" s="2277"/>
      <c r="G102" s="2263"/>
      <c r="H102" t="s">
        <v>2076</v>
      </c>
      <c r="I102"/>
      <c r="J102"/>
      <c r="K102"/>
      <c r="L102"/>
      <c r="M102" s="2266"/>
      <c r="N102" s="2268"/>
      <c r="O102" s="2268"/>
      <c r="P102" s="2281"/>
      <c r="Q102" s="2268"/>
      <c r="R102" s="24"/>
      <c r="S102" s="24"/>
      <c r="T102" s="2282"/>
      <c r="U102" s="2283"/>
      <c r="V102" s="2283"/>
      <c r="W102" s="24"/>
      <c r="X102" s="24"/>
      <c r="Y102" s="24"/>
      <c r="Z102" s="2272"/>
      <c r="AA102" s="24"/>
      <c r="AB102" s="2272"/>
      <c r="AC102" s="24"/>
      <c r="AD102" s="2272"/>
      <c r="AE102" s="24"/>
      <c r="AF102" s="2272"/>
      <c r="AG102" s="24"/>
      <c r="AH102" s="2272"/>
      <c r="AI102" s="24"/>
      <c r="AJ102" s="2272"/>
      <c r="AK102" s="24"/>
      <c r="AL102" s="2272"/>
      <c r="AM102" s="24"/>
      <c r="AN102" s="2272"/>
      <c r="AO102" s="24"/>
      <c r="AP102" s="2272"/>
      <c r="AQ102" s="24"/>
      <c r="AR102" s="2272"/>
      <c r="AS102" s="24"/>
      <c r="AT102" s="2272"/>
    </row>
    <row r="103" spans="1:46" ht="15">
      <c r="A103" s="24"/>
      <c r="B103" s="24"/>
      <c r="C103" s="24"/>
      <c r="D103" s="24"/>
      <c r="E103" s="2263"/>
      <c r="F103" s="2277"/>
      <c r="G103" s="2263"/>
      <c r="H103" t="s">
        <v>2135</v>
      </c>
      <c r="I103"/>
      <c r="J103"/>
      <c r="K103"/>
      <c r="L103"/>
      <c r="M103" s="2266"/>
      <c r="N103" s="2268"/>
      <c r="O103" s="2268"/>
      <c r="P103" s="2281"/>
      <c r="Q103" s="2268"/>
      <c r="R103" s="24"/>
      <c r="S103" s="24"/>
      <c r="T103" s="2282"/>
      <c r="U103" s="2283"/>
      <c r="V103" s="2283"/>
      <c r="W103" s="24"/>
      <c r="X103" s="24"/>
      <c r="Y103" s="24"/>
      <c r="Z103" s="2272"/>
      <c r="AA103" s="24"/>
      <c r="AB103" s="2272"/>
      <c r="AC103" s="24"/>
      <c r="AD103" s="2272"/>
      <c r="AE103" s="24"/>
      <c r="AF103" s="2272"/>
      <c r="AG103" s="24"/>
      <c r="AH103" s="2272"/>
      <c r="AI103" s="24"/>
      <c r="AJ103" s="2272"/>
      <c r="AK103" s="24"/>
      <c r="AL103" s="2272"/>
      <c r="AM103" s="24"/>
      <c r="AN103" s="2272"/>
      <c r="AO103" s="24"/>
      <c r="AP103" s="2272"/>
      <c r="AQ103" s="24"/>
      <c r="AR103" s="2272"/>
      <c r="AS103" s="24"/>
      <c r="AT103" s="2272"/>
    </row>
    <row r="104" spans="1:46" ht="14.25">
      <c r="A104" s="24"/>
      <c r="B104" s="24"/>
      <c r="C104" s="24"/>
      <c r="D104" s="24"/>
      <c r="E104" s="2263"/>
      <c r="F104" s="2277"/>
      <c r="G104" s="2263"/>
      <c r="H104" s="2263"/>
      <c r="I104" s="2263"/>
      <c r="J104" s="2263"/>
      <c r="K104" s="2278"/>
      <c r="L104" s="2266"/>
      <c r="M104" s="2266"/>
      <c r="N104" s="2268"/>
      <c r="O104" s="2268"/>
      <c r="P104" s="2281"/>
      <c r="Q104" s="2268"/>
      <c r="R104" s="24"/>
      <c r="S104" s="24"/>
      <c r="T104" s="2282"/>
      <c r="U104" s="2283"/>
      <c r="V104" s="2283"/>
      <c r="W104" s="24"/>
      <c r="X104" s="24"/>
      <c r="Y104" s="24"/>
      <c r="Z104" s="2272"/>
      <c r="AA104" s="24"/>
      <c r="AB104" s="2272"/>
      <c r="AC104" s="24"/>
      <c r="AD104" s="2272"/>
      <c r="AE104" s="24"/>
      <c r="AF104" s="2272"/>
      <c r="AG104" s="24"/>
      <c r="AH104" s="2272"/>
      <c r="AI104" s="24"/>
      <c r="AJ104" s="2272"/>
      <c r="AK104" s="24"/>
      <c r="AL104" s="2272"/>
      <c r="AM104" s="24"/>
      <c r="AN104" s="2272"/>
      <c r="AO104" s="24"/>
      <c r="AP104" s="2272"/>
      <c r="AQ104" s="24"/>
      <c r="AR104" s="2272"/>
      <c r="AS104" s="24"/>
      <c r="AT104" s="2272"/>
    </row>
    <row r="105" spans="1:46" ht="14.25">
      <c r="A105" t="s">
        <v>2125</v>
      </c>
      <c r="B105"/>
      <c r="C105"/>
      <c r="D105"/>
      <c r="E105" s="2263"/>
      <c r="F105" s="2277"/>
      <c r="G105" s="2263"/>
      <c r="H105" s="2263"/>
      <c r="I105" s="2263"/>
      <c r="J105" s="2263"/>
      <c r="K105" s="2278"/>
      <c r="L105" s="2266"/>
      <c r="M105" s="2266"/>
      <c r="N105" s="2268"/>
      <c r="O105" s="2268"/>
      <c r="P105" s="2281"/>
      <c r="Q105" s="2268"/>
      <c r="R105" s="24"/>
      <c r="S105" s="24"/>
      <c r="T105" s="2282"/>
      <c r="U105" s="2283"/>
      <c r="V105" s="2283"/>
      <c r="W105" s="24"/>
      <c r="X105" s="24"/>
      <c r="Y105" s="24"/>
      <c r="Z105" s="2272"/>
      <c r="AA105" s="24"/>
      <c r="AB105" s="2272"/>
      <c r="AC105" s="24"/>
      <c r="AD105" s="2272"/>
      <c r="AE105" s="24"/>
      <c r="AF105" s="2272"/>
      <c r="AG105" s="24"/>
      <c r="AH105" s="2272"/>
      <c r="AI105" s="24"/>
      <c r="AJ105" s="2272"/>
      <c r="AK105" s="24"/>
      <c r="AL105" s="2272"/>
      <c r="AM105" s="24"/>
      <c r="AN105" s="2272"/>
      <c r="AO105" s="24"/>
      <c r="AP105" s="2272"/>
      <c r="AQ105" s="24"/>
      <c r="AR105" s="2272"/>
      <c r="AS105" s="24"/>
      <c r="AT105" s="2272"/>
    </row>
    <row r="106" spans="1:46" ht="14.25">
      <c r="A106" s="24"/>
      <c r="B106" s="24"/>
      <c r="C106" s="24"/>
      <c r="D106" s="24"/>
      <c r="E106" s="2263"/>
      <c r="F106" s="2277"/>
      <c r="G106" s="2263"/>
      <c r="H106" s="2263"/>
      <c r="I106" s="2263"/>
      <c r="J106" s="2263"/>
      <c r="K106" s="2278"/>
      <c r="L106" s="2266"/>
      <c r="M106" s="2266"/>
      <c r="N106" s="2268"/>
      <c r="O106" s="2268"/>
      <c r="P106" s="2281"/>
      <c r="Q106" s="2268"/>
      <c r="R106" s="24"/>
      <c r="S106" s="24"/>
      <c r="T106" s="2282"/>
      <c r="U106" s="2283"/>
      <c r="V106" s="2283"/>
      <c r="W106" s="24"/>
      <c r="X106" s="24"/>
      <c r="Y106" s="24"/>
      <c r="Z106" s="2272"/>
      <c r="AA106" s="24"/>
      <c r="AB106" s="2272"/>
      <c r="AC106" s="24"/>
      <c r="AD106" s="2272"/>
      <c r="AE106" s="24"/>
      <c r="AF106" s="2272"/>
      <c r="AG106" s="24"/>
      <c r="AH106" s="2272"/>
      <c r="AI106" s="24"/>
      <c r="AJ106" s="2272"/>
      <c r="AK106" s="24"/>
      <c r="AL106" s="2272"/>
      <c r="AM106" s="24"/>
      <c r="AN106" s="2272"/>
      <c r="AO106" s="24"/>
      <c r="AP106" s="2272"/>
      <c r="AQ106" s="24"/>
      <c r="AR106" s="2272"/>
      <c r="AS106" s="24"/>
      <c r="AT106" s="2272"/>
    </row>
    <row r="107" spans="1:46" ht="14.25">
      <c r="A107" s="24"/>
      <c r="B107" s="24"/>
      <c r="C107" s="24"/>
      <c r="D107" s="24"/>
      <c r="E107" s="2263"/>
      <c r="F107" s="2277"/>
      <c r="G107" s="2263"/>
      <c r="H107" s="2263"/>
      <c r="I107" s="2263"/>
      <c r="J107" s="2263"/>
      <c r="K107" s="2278"/>
      <c r="L107" s="2266"/>
      <c r="M107" s="2266"/>
      <c r="N107" s="2268"/>
      <c r="O107" s="2268"/>
      <c r="P107" s="2281"/>
      <c r="Q107" s="2268"/>
      <c r="R107" s="24"/>
      <c r="S107" s="24"/>
      <c r="T107" s="2282"/>
      <c r="U107" s="2283"/>
      <c r="V107" s="2283"/>
      <c r="W107" s="24"/>
      <c r="X107" s="24"/>
      <c r="Y107" s="24"/>
      <c r="Z107" s="2272"/>
      <c r="AA107" s="24"/>
      <c r="AB107" s="2272"/>
      <c r="AC107" s="24"/>
      <c r="AD107" s="2272"/>
      <c r="AE107" s="24"/>
      <c r="AF107" s="2272"/>
      <c r="AG107" s="24"/>
      <c r="AH107" s="2272"/>
      <c r="AI107" s="24"/>
      <c r="AJ107" s="2272"/>
      <c r="AK107" s="24"/>
      <c r="AL107" s="2272"/>
      <c r="AM107" s="24"/>
      <c r="AN107" s="2272"/>
      <c r="AO107" s="24"/>
      <c r="AP107" s="2272"/>
      <c r="AQ107" s="24"/>
      <c r="AR107" s="2272"/>
      <c r="AS107" s="24"/>
      <c r="AT107" s="2272"/>
    </row>
    <row r="108" spans="1:46" ht="14.25">
      <c r="A108" s="24"/>
      <c r="B108" s="24"/>
      <c r="C108" s="24"/>
      <c r="D108" s="24"/>
      <c r="E108" s="2263"/>
      <c r="F108" s="2277"/>
      <c r="G108" s="2263"/>
      <c r="H108" s="2263"/>
      <c r="I108" s="2263"/>
      <c r="J108" s="2263"/>
      <c r="K108" s="2278"/>
      <c r="L108" s="2266"/>
      <c r="M108" s="2266"/>
      <c r="N108" s="2268"/>
      <c r="O108" s="2268"/>
      <c r="P108" s="2281"/>
      <c r="Q108" s="2268"/>
      <c r="R108" s="24"/>
      <c r="S108" s="24"/>
      <c r="T108" s="2282"/>
      <c r="U108" s="2283"/>
      <c r="V108" s="2283"/>
      <c r="W108" s="24"/>
      <c r="X108" s="24"/>
      <c r="Y108" s="24"/>
      <c r="Z108" s="2272"/>
      <c r="AA108" s="24"/>
      <c r="AB108" s="2272"/>
      <c r="AC108" s="24"/>
      <c r="AD108" s="2272"/>
      <c r="AE108" s="24"/>
      <c r="AF108" s="2272"/>
      <c r="AG108" s="24"/>
      <c r="AH108" s="2272"/>
      <c r="AI108" s="24"/>
      <c r="AJ108" s="2272"/>
      <c r="AK108" s="24"/>
      <c r="AL108" s="2272"/>
      <c r="AM108" s="24"/>
      <c r="AN108" s="2272"/>
      <c r="AO108" s="24"/>
      <c r="AP108" s="2272"/>
      <c r="AQ108" s="24"/>
      <c r="AR108" s="2272"/>
      <c r="AS108" s="24"/>
      <c r="AT108" s="2272"/>
    </row>
    <row r="109" spans="1:46" ht="14.25">
      <c r="A109" s="24"/>
      <c r="B109" s="24"/>
      <c r="C109" s="24"/>
      <c r="D109" s="24"/>
      <c r="E109" s="2263"/>
      <c r="F109" s="2277"/>
      <c r="G109" s="2263"/>
      <c r="H109" s="2263"/>
      <c r="I109" s="2263"/>
      <c r="J109" s="2263"/>
      <c r="K109" s="2278"/>
      <c r="L109" s="2266"/>
      <c r="M109" s="2266"/>
      <c r="N109" s="2268"/>
      <c r="O109" s="2268"/>
      <c r="P109" s="2281"/>
      <c r="Q109" s="2268"/>
      <c r="R109" s="24"/>
      <c r="S109" s="24"/>
      <c r="T109" s="2282"/>
      <c r="U109" s="2283"/>
      <c r="V109" s="2283"/>
      <c r="W109" s="24"/>
      <c r="X109" s="24"/>
      <c r="Y109" s="24"/>
      <c r="Z109" s="2272"/>
      <c r="AA109" s="24"/>
      <c r="AB109" s="2272"/>
      <c r="AC109" s="24"/>
      <c r="AD109" s="2272"/>
      <c r="AE109" s="24"/>
      <c r="AF109" s="2272"/>
      <c r="AG109" s="24"/>
      <c r="AH109" s="2272"/>
      <c r="AI109" s="24"/>
      <c r="AJ109" s="2272"/>
      <c r="AK109" s="24"/>
      <c r="AL109" s="2272"/>
      <c r="AM109" s="24"/>
      <c r="AN109" s="2272"/>
      <c r="AO109" s="24"/>
      <c r="AP109" s="2272"/>
      <c r="AQ109" s="24"/>
      <c r="AR109" s="2272"/>
      <c r="AS109" s="24"/>
      <c r="AT109" s="2272"/>
    </row>
    <row r="110" spans="1:46" ht="14.25">
      <c r="A110" s="24"/>
      <c r="B110" s="24"/>
      <c r="C110" s="24"/>
      <c r="D110" s="24"/>
      <c r="E110" s="2263"/>
      <c r="F110" s="2277"/>
      <c r="G110" s="2263"/>
      <c r="H110" s="2263"/>
      <c r="I110" s="2263"/>
      <c r="J110" s="2263"/>
      <c r="K110" s="2278"/>
      <c r="L110" s="2266"/>
      <c r="M110" s="2266"/>
      <c r="N110" s="2268"/>
      <c r="O110" s="2268"/>
      <c r="P110" s="2281"/>
      <c r="Q110" s="2268"/>
      <c r="R110" s="24"/>
      <c r="S110" s="24"/>
      <c r="T110" s="2282"/>
      <c r="U110" s="2283"/>
      <c r="V110" s="2283"/>
      <c r="W110" s="24"/>
      <c r="X110" s="24"/>
      <c r="Y110" s="24"/>
      <c r="Z110" s="2272"/>
      <c r="AA110" s="24"/>
      <c r="AB110" s="2272"/>
      <c r="AC110" s="24"/>
      <c r="AD110" s="2272"/>
      <c r="AE110" s="24"/>
      <c r="AF110" s="2272"/>
      <c r="AG110" s="24"/>
      <c r="AH110" s="2272"/>
      <c r="AI110" s="24"/>
      <c r="AJ110" s="2272"/>
      <c r="AK110" s="24"/>
      <c r="AL110" s="2272"/>
      <c r="AM110" s="24"/>
      <c r="AN110" s="2272"/>
      <c r="AO110" s="24"/>
      <c r="AP110" s="2272"/>
      <c r="AQ110" s="24"/>
      <c r="AR110" s="2272"/>
      <c r="AS110" s="24"/>
      <c r="AT110" s="2272"/>
    </row>
    <row r="111" spans="1:46" ht="14.25">
      <c r="A111" s="24"/>
      <c r="B111" s="24"/>
      <c r="C111" s="24"/>
      <c r="D111" s="24"/>
      <c r="E111" s="2263"/>
      <c r="F111" s="2277"/>
      <c r="G111" s="2263"/>
      <c r="H111" s="2263"/>
      <c r="I111" s="2263"/>
      <c r="J111" s="2263"/>
      <c r="K111" s="2278"/>
      <c r="L111" s="2266"/>
      <c r="M111" s="2266"/>
      <c r="N111" s="2268"/>
      <c r="O111" s="2268"/>
      <c r="P111" s="2281"/>
      <c r="Q111" s="2268"/>
      <c r="R111" s="24"/>
      <c r="S111" s="24"/>
      <c r="T111" s="2282"/>
      <c r="U111" s="2283"/>
      <c r="V111" s="2283"/>
      <c r="W111" s="24"/>
      <c r="X111" s="24"/>
      <c r="Y111" s="24"/>
      <c r="Z111" s="2272"/>
      <c r="AA111" s="24"/>
      <c r="AB111" s="2272"/>
      <c r="AC111" s="24"/>
      <c r="AD111" s="2272"/>
      <c r="AE111" s="24"/>
      <c r="AF111" s="2272"/>
      <c r="AG111" s="24"/>
      <c r="AH111" s="2272"/>
      <c r="AI111" s="24"/>
      <c r="AJ111" s="2272"/>
      <c r="AK111" s="24"/>
      <c r="AL111" s="2272"/>
      <c r="AM111" s="24"/>
      <c r="AN111" s="2272"/>
      <c r="AO111" s="24"/>
      <c r="AP111" s="2272"/>
      <c r="AQ111" s="24"/>
      <c r="AR111" s="2272"/>
      <c r="AS111" s="24"/>
      <c r="AT111" s="2272"/>
    </row>
    <row r="112" spans="1:46" ht="14.25">
      <c r="A112" s="24"/>
      <c r="B112" s="24"/>
      <c r="C112" s="24"/>
      <c r="D112" s="24"/>
      <c r="E112" s="2263"/>
      <c r="F112" s="2277"/>
      <c r="G112" s="2263"/>
      <c r="H112" s="2263"/>
      <c r="I112" s="2263"/>
      <c r="J112" s="2263"/>
      <c r="K112" s="2278"/>
      <c r="L112" s="2266"/>
      <c r="M112" s="2266"/>
      <c r="N112" s="2268"/>
      <c r="O112" s="2268"/>
      <c r="P112" s="2281"/>
      <c r="Q112" s="2268"/>
      <c r="R112" s="24"/>
      <c r="S112" s="24"/>
      <c r="T112" s="2282"/>
      <c r="U112" s="2283"/>
      <c r="V112" s="2283"/>
      <c r="W112" s="24"/>
      <c r="X112" s="24"/>
      <c r="Y112" s="24"/>
      <c r="Z112" s="2272"/>
      <c r="AA112" s="24"/>
      <c r="AB112" s="2272"/>
      <c r="AC112" s="24"/>
      <c r="AD112" s="2272"/>
      <c r="AE112" s="24"/>
      <c r="AF112" s="2272"/>
      <c r="AG112" s="24"/>
      <c r="AH112" s="2272"/>
      <c r="AI112" s="24"/>
      <c r="AJ112" s="2272"/>
      <c r="AK112" s="24"/>
      <c r="AL112" s="2272"/>
      <c r="AM112" s="24"/>
      <c r="AN112" s="2272"/>
      <c r="AO112" s="24"/>
      <c r="AP112" s="2272"/>
      <c r="AQ112" s="24"/>
      <c r="AR112" s="2272"/>
      <c r="AS112" s="24"/>
      <c r="AT112" s="2272"/>
    </row>
    <row r="113" spans="1:46" ht="14.25">
      <c r="A113" s="24"/>
      <c r="B113" s="24"/>
      <c r="C113" s="24"/>
      <c r="D113" s="24"/>
      <c r="E113" s="2263"/>
      <c r="F113" s="2277"/>
      <c r="G113" s="2263"/>
      <c r="H113" s="2263"/>
      <c r="I113" s="2263"/>
      <c r="J113" s="2263"/>
      <c r="K113" s="2278"/>
      <c r="L113" s="2266"/>
      <c r="M113" s="2266"/>
      <c r="N113" s="2268"/>
      <c r="O113" s="2268"/>
      <c r="P113" s="2281"/>
      <c r="Q113" s="2268"/>
      <c r="R113" s="24"/>
      <c r="S113" s="24"/>
      <c r="T113" s="2282"/>
      <c r="U113" s="2283"/>
      <c r="V113" s="2283"/>
      <c r="W113" s="24"/>
      <c r="X113" s="24"/>
      <c r="Y113" s="24"/>
      <c r="Z113" s="2272"/>
      <c r="AA113" s="24"/>
      <c r="AB113" s="2272"/>
      <c r="AC113" s="24"/>
      <c r="AD113" s="2272"/>
      <c r="AE113" s="24"/>
      <c r="AF113" s="2272"/>
      <c r="AG113" s="24"/>
      <c r="AH113" s="2272"/>
      <c r="AI113" s="24"/>
      <c r="AJ113" s="2272"/>
      <c r="AK113" s="24"/>
      <c r="AL113" s="2272"/>
      <c r="AM113" s="24"/>
      <c r="AN113" s="2272"/>
      <c r="AO113" s="24"/>
      <c r="AP113" s="2272"/>
      <c r="AQ113" s="24"/>
      <c r="AR113" s="2272"/>
      <c r="AS113" s="24"/>
      <c r="AT113" s="2272"/>
    </row>
    <row r="114" spans="1:46" ht="14.25">
      <c r="A114" s="24"/>
      <c r="B114" s="24"/>
      <c r="C114" s="24"/>
      <c r="D114" s="24"/>
      <c r="E114" s="2263"/>
      <c r="F114" s="2277"/>
      <c r="G114" s="2263"/>
      <c r="H114" s="2263"/>
      <c r="I114" s="2263"/>
      <c r="J114" s="2263"/>
      <c r="K114" s="2278"/>
      <c r="L114" s="2266"/>
      <c r="M114" s="2266"/>
      <c r="N114" s="2268"/>
      <c r="O114" s="2268"/>
      <c r="P114" s="2281"/>
      <c r="Q114" s="2268"/>
      <c r="R114" s="24"/>
      <c r="S114" s="24"/>
      <c r="T114" s="2282"/>
      <c r="U114" s="2283"/>
      <c r="V114" s="2283"/>
      <c r="W114" s="24"/>
      <c r="X114" s="24"/>
      <c r="Y114" s="24"/>
      <c r="Z114" s="2272"/>
      <c r="AA114" s="24"/>
      <c r="AB114" s="2272"/>
      <c r="AC114" s="24"/>
      <c r="AD114" s="2272"/>
      <c r="AE114" s="24"/>
      <c r="AF114" s="2272"/>
      <c r="AG114" s="24"/>
      <c r="AH114" s="2272"/>
      <c r="AI114" s="24"/>
      <c r="AJ114" s="2272"/>
      <c r="AK114" s="24"/>
      <c r="AL114" s="2272"/>
      <c r="AM114" s="24"/>
      <c r="AN114" s="2272"/>
      <c r="AO114" s="24"/>
      <c r="AP114" s="2272"/>
      <c r="AQ114" s="24"/>
      <c r="AR114" s="2272"/>
      <c r="AS114" s="24"/>
      <c r="AT114" s="2272"/>
    </row>
    <row r="115" spans="1:46" ht="14.25">
      <c r="A115" s="24"/>
      <c r="B115" s="24"/>
      <c r="C115" s="24"/>
      <c r="D115" s="24"/>
      <c r="E115" s="2263"/>
      <c r="F115" s="2277"/>
      <c r="G115" s="2263"/>
      <c r="H115" s="2263"/>
      <c r="I115" s="2263"/>
      <c r="J115" s="2263"/>
      <c r="K115" s="2278"/>
      <c r="L115" s="2266"/>
      <c r="M115" s="2266"/>
      <c r="N115" s="2268"/>
      <c r="O115" s="2268"/>
      <c r="P115" s="2281"/>
      <c r="Q115" s="2268"/>
      <c r="R115" s="24"/>
      <c r="S115" s="24"/>
      <c r="T115" s="2282"/>
      <c r="U115" s="2283"/>
      <c r="V115" s="2283"/>
      <c r="W115" s="24"/>
      <c r="X115" s="24"/>
      <c r="Y115" s="24"/>
      <c r="Z115" s="2272"/>
      <c r="AA115" s="24"/>
      <c r="AB115" s="2272"/>
      <c r="AC115" s="24"/>
      <c r="AD115" s="2272"/>
      <c r="AE115" s="24"/>
      <c r="AF115" s="2272"/>
      <c r="AG115" s="24"/>
      <c r="AH115" s="2272"/>
      <c r="AI115" s="24"/>
      <c r="AJ115" s="2272"/>
      <c r="AK115" s="24"/>
      <c r="AL115" s="2272"/>
      <c r="AM115" s="24"/>
      <c r="AN115" s="2272"/>
      <c r="AO115" s="24"/>
      <c r="AP115" s="2272"/>
      <c r="AQ115" s="24"/>
      <c r="AR115" s="2272"/>
      <c r="AS115" s="24"/>
      <c r="AT115" s="2272"/>
    </row>
    <row r="116" spans="1:46" ht="14.25">
      <c r="A116" s="24"/>
      <c r="B116" s="24"/>
      <c r="C116" s="24"/>
      <c r="D116" s="24"/>
      <c r="E116" s="2263"/>
      <c r="F116" s="2277"/>
      <c r="G116" s="2263"/>
      <c r="H116" s="2263"/>
      <c r="I116" s="2263"/>
      <c r="J116" s="2263"/>
      <c r="K116" s="2278"/>
      <c r="L116" s="2266"/>
      <c r="M116" s="2266"/>
      <c r="N116" s="2268"/>
      <c r="O116" s="2268"/>
      <c r="P116" s="2281"/>
      <c r="Q116" s="2268"/>
      <c r="R116" s="24"/>
      <c r="S116" s="24"/>
      <c r="T116" s="2282"/>
      <c r="U116" s="2283"/>
      <c r="V116" s="2283"/>
      <c r="W116" s="24"/>
      <c r="X116" s="24"/>
      <c r="Y116" s="24"/>
      <c r="Z116" s="2272"/>
      <c r="AA116" s="24"/>
      <c r="AB116" s="2272"/>
      <c r="AC116" s="24"/>
      <c r="AD116" s="2272"/>
      <c r="AE116" s="24"/>
      <c r="AF116" s="2272"/>
      <c r="AG116" s="24"/>
      <c r="AH116" s="2272"/>
      <c r="AI116" s="24"/>
      <c r="AJ116" s="2272"/>
      <c r="AK116" s="24"/>
      <c r="AL116" s="2272"/>
      <c r="AM116" s="24"/>
      <c r="AN116" s="2272"/>
      <c r="AO116" s="24"/>
      <c r="AP116" s="2272"/>
      <c r="AQ116" s="24"/>
      <c r="AR116" s="2272"/>
      <c r="AS116" s="24"/>
      <c r="AT116" s="2272"/>
    </row>
    <row r="117" spans="1:46" ht="14.25">
      <c r="A117" s="24"/>
      <c r="B117" s="24"/>
      <c r="C117" s="24"/>
      <c r="D117" s="24"/>
      <c r="E117" s="2263"/>
      <c r="F117" s="2277"/>
      <c r="G117" s="2263"/>
      <c r="H117" s="2263"/>
      <c r="I117" s="2263"/>
      <c r="J117" s="2263"/>
      <c r="K117" s="2278"/>
      <c r="L117" s="2266"/>
      <c r="M117" s="2266"/>
      <c r="N117" s="2268"/>
      <c r="O117" s="2268"/>
      <c r="P117" s="2281"/>
      <c r="Q117" s="2268"/>
      <c r="R117" s="24"/>
      <c r="S117" s="24"/>
      <c r="T117" s="2282"/>
      <c r="U117" s="2283"/>
      <c r="V117" s="2283"/>
      <c r="W117" s="24"/>
      <c r="X117" s="24"/>
      <c r="Y117" s="24"/>
      <c r="Z117" s="2272"/>
      <c r="AA117" s="24"/>
      <c r="AB117" s="2272"/>
      <c r="AC117" s="24"/>
      <c r="AD117" s="2272"/>
      <c r="AE117" s="24"/>
      <c r="AF117" s="2272"/>
      <c r="AG117" s="24"/>
      <c r="AH117" s="2272"/>
      <c r="AI117" s="24"/>
      <c r="AJ117" s="2272"/>
      <c r="AK117" s="24"/>
      <c r="AL117" s="2272"/>
      <c r="AM117" s="24"/>
      <c r="AN117" s="2272"/>
      <c r="AO117" s="24"/>
      <c r="AP117" s="2272"/>
      <c r="AQ117" s="24"/>
      <c r="AR117" s="2272"/>
      <c r="AS117" s="24"/>
      <c r="AT117" s="2272"/>
    </row>
    <row r="118" spans="1:46" ht="14.25">
      <c r="A118" s="24"/>
      <c r="B118" s="24"/>
      <c r="C118" s="24"/>
      <c r="D118" s="24"/>
      <c r="E118" s="2263"/>
      <c r="F118" s="2277"/>
      <c r="G118" s="2263"/>
      <c r="H118" s="2263"/>
      <c r="I118" s="2263"/>
      <c r="J118" s="2263"/>
      <c r="K118" s="2278"/>
      <c r="L118" s="2266"/>
      <c r="M118" s="2266"/>
      <c r="N118" s="2268"/>
      <c r="O118" s="2268"/>
      <c r="P118" s="2281"/>
      <c r="Q118" s="2268"/>
      <c r="R118" s="24"/>
      <c r="S118" s="24"/>
      <c r="T118" s="2282"/>
      <c r="U118" s="2283"/>
      <c r="V118" s="2283"/>
      <c r="W118" s="24"/>
      <c r="X118" s="24"/>
      <c r="Y118" s="24"/>
      <c r="Z118" s="2272"/>
      <c r="AA118" s="24"/>
      <c r="AB118" s="2272"/>
      <c r="AC118" s="24"/>
      <c r="AD118" s="2272"/>
      <c r="AE118" s="24"/>
      <c r="AF118" s="2272"/>
      <c r="AG118" s="24"/>
      <c r="AH118" s="2272"/>
      <c r="AI118" s="24"/>
      <c r="AJ118" s="2272"/>
      <c r="AK118" s="24"/>
      <c r="AL118" s="2272"/>
      <c r="AM118" s="24"/>
      <c r="AN118" s="2272"/>
      <c r="AO118" s="24"/>
      <c r="AP118" s="2272"/>
      <c r="AQ118" s="24"/>
      <c r="AR118" s="2272"/>
      <c r="AS118" s="24"/>
      <c r="AT118" s="2272"/>
    </row>
    <row r="119" spans="1:46" ht="14.25">
      <c r="A119" s="24"/>
      <c r="B119" s="24"/>
      <c r="C119" s="24"/>
      <c r="D119" s="24"/>
      <c r="E119" s="2263"/>
      <c r="F119" s="2277"/>
      <c r="G119" s="2263"/>
      <c r="H119" s="2263"/>
      <c r="I119" s="2263"/>
      <c r="J119" s="2263"/>
      <c r="K119" s="2278"/>
      <c r="L119" s="2266"/>
      <c r="M119" s="2266"/>
      <c r="N119" s="2268"/>
      <c r="O119" s="2268"/>
      <c r="P119" s="2281"/>
      <c r="Q119" s="2268"/>
      <c r="R119" s="24"/>
      <c r="S119" s="24"/>
      <c r="T119" s="2282"/>
      <c r="U119" s="2283"/>
      <c r="V119" s="2283"/>
      <c r="W119" s="24"/>
      <c r="X119" s="24"/>
      <c r="Y119" s="24"/>
      <c r="Z119" s="2272"/>
      <c r="AA119" s="24"/>
      <c r="AB119" s="2272"/>
      <c r="AC119" s="24"/>
      <c r="AD119" s="2272"/>
      <c r="AE119" s="24"/>
      <c r="AF119" s="2272"/>
      <c r="AG119" s="24"/>
      <c r="AH119" s="2272"/>
      <c r="AI119" s="24"/>
      <c r="AJ119" s="2272"/>
      <c r="AK119" s="24"/>
      <c r="AL119" s="2272"/>
      <c r="AM119" s="24"/>
      <c r="AN119" s="2272"/>
      <c r="AO119" s="24"/>
      <c r="AP119" s="2272"/>
      <c r="AQ119" s="24"/>
      <c r="AR119" s="2272"/>
      <c r="AS119" s="24"/>
      <c r="AT119" s="2272"/>
    </row>
    <row r="120" spans="1:46" ht="14.25">
      <c r="A120" s="24"/>
      <c r="B120" s="24"/>
      <c r="C120" s="24"/>
      <c r="D120" s="24"/>
      <c r="E120" s="2263"/>
      <c r="F120" s="2277"/>
      <c r="G120" s="2263"/>
      <c r="H120" s="2263"/>
      <c r="I120" s="2263"/>
      <c r="J120" s="2263"/>
      <c r="K120" s="2278"/>
      <c r="L120" s="2266"/>
      <c r="M120" s="2266"/>
      <c r="N120" s="2268"/>
      <c r="O120" s="2268"/>
      <c r="P120" s="2281"/>
      <c r="Q120" s="2268"/>
      <c r="R120" s="24"/>
      <c r="S120" s="24"/>
      <c r="T120" s="2282"/>
      <c r="U120" s="2283"/>
      <c r="V120" s="2283"/>
      <c r="W120" s="24"/>
      <c r="X120" s="24"/>
      <c r="Y120" s="24"/>
      <c r="Z120" s="2272"/>
      <c r="AA120" s="24"/>
      <c r="AB120" s="2272"/>
      <c r="AC120" s="24"/>
      <c r="AD120" s="2272"/>
      <c r="AE120" s="24"/>
      <c r="AF120" s="2272"/>
      <c r="AG120" s="24"/>
      <c r="AH120" s="2272"/>
      <c r="AI120" s="24"/>
      <c r="AJ120" s="2272"/>
      <c r="AK120" s="24"/>
      <c r="AL120" s="2272"/>
      <c r="AM120" s="24"/>
      <c r="AN120" s="2272"/>
      <c r="AO120" s="24"/>
      <c r="AP120" s="2272"/>
      <c r="AQ120" s="24"/>
      <c r="AR120" s="2272"/>
      <c r="AS120" s="24"/>
      <c r="AT120" s="2272"/>
    </row>
    <row r="121" spans="1:46" ht="14.25">
      <c r="A121" s="24"/>
      <c r="B121" s="24"/>
      <c r="C121" s="24"/>
      <c r="D121" s="24"/>
      <c r="E121" s="2263"/>
      <c r="F121" s="2277"/>
      <c r="G121" s="2263"/>
      <c r="H121" s="2263"/>
      <c r="I121" s="2263"/>
      <c r="J121" s="2263"/>
      <c r="K121" s="2278"/>
      <c r="L121" s="2266"/>
      <c r="M121" s="2266"/>
      <c r="N121" s="2268"/>
      <c r="O121" s="2268"/>
      <c r="P121" s="2281"/>
      <c r="Q121" s="2268"/>
      <c r="R121" s="24"/>
      <c r="S121" s="24"/>
      <c r="T121" s="2282"/>
      <c r="U121" s="2283"/>
      <c r="V121" s="2283"/>
      <c r="W121" s="24"/>
      <c r="X121" s="24"/>
      <c r="Y121" s="24"/>
      <c r="Z121" s="2272"/>
      <c r="AA121" s="24"/>
      <c r="AB121" s="2272"/>
      <c r="AC121" s="24"/>
      <c r="AD121" s="2272"/>
      <c r="AE121" s="24"/>
      <c r="AF121" s="2272"/>
      <c r="AG121" s="24"/>
      <c r="AH121" s="2272"/>
      <c r="AI121" s="24"/>
      <c r="AJ121" s="2272"/>
      <c r="AK121" s="24"/>
      <c r="AL121" s="2272"/>
      <c r="AM121" s="24"/>
      <c r="AN121" s="2272"/>
      <c r="AO121" s="24"/>
      <c r="AP121" s="2272"/>
      <c r="AQ121" s="24"/>
      <c r="AR121" s="2272"/>
      <c r="AS121" s="24"/>
      <c r="AT121" s="2272"/>
    </row>
    <row r="122" spans="1:46" ht="14.25">
      <c r="A122" s="24"/>
      <c r="B122" s="24"/>
      <c r="C122" s="24"/>
      <c r="D122" s="24"/>
      <c r="E122" s="2263"/>
      <c r="F122" s="2277"/>
      <c r="G122" s="2263"/>
      <c r="H122" s="2263"/>
      <c r="I122" s="2263"/>
      <c r="J122" s="2263"/>
      <c r="K122" s="2278"/>
      <c r="L122" s="2263"/>
      <c r="M122" s="2263"/>
      <c r="N122" s="24"/>
      <c r="O122" s="24"/>
      <c r="P122" s="2282"/>
      <c r="Q122" s="24"/>
      <c r="R122" s="24"/>
      <c r="S122" s="24"/>
      <c r="T122" s="2282"/>
      <c r="U122" s="2283"/>
      <c r="V122" s="2283"/>
      <c r="W122" s="24"/>
      <c r="X122" s="24"/>
      <c r="Y122" s="24"/>
      <c r="Z122" s="2272"/>
      <c r="AA122" s="24"/>
      <c r="AB122" s="2272"/>
      <c r="AC122" s="24"/>
      <c r="AD122" s="2272"/>
      <c r="AE122" s="24"/>
      <c r="AF122" s="2272"/>
      <c r="AG122" s="24"/>
      <c r="AH122" s="2272"/>
      <c r="AI122" s="24"/>
      <c r="AJ122" s="2272"/>
      <c r="AK122" s="24"/>
      <c r="AL122" s="2272"/>
      <c r="AM122" s="24"/>
      <c r="AN122" s="2272"/>
      <c r="AO122" s="24"/>
      <c r="AP122" s="2272"/>
      <c r="AQ122" s="24"/>
      <c r="AR122" s="2272"/>
      <c r="AS122" s="24"/>
      <c r="AT122" s="2272"/>
    </row>
    <row r="123" spans="1:46" ht="14.25">
      <c r="A123" s="24"/>
      <c r="B123" s="24"/>
      <c r="C123" s="24"/>
      <c r="D123" s="24"/>
      <c r="E123" s="24"/>
      <c r="F123" s="2284"/>
      <c r="G123" s="24"/>
      <c r="H123" s="24"/>
      <c r="I123" s="24"/>
      <c r="J123" s="24"/>
      <c r="K123" s="2272"/>
      <c r="L123" s="24"/>
      <c r="M123" s="24"/>
      <c r="N123" s="24"/>
      <c r="O123" s="24"/>
      <c r="P123" s="2282"/>
      <c r="Q123" s="24"/>
      <c r="R123" s="24"/>
      <c r="S123" s="24"/>
      <c r="T123" s="2282"/>
      <c r="U123" s="2283"/>
      <c r="V123" s="2283"/>
      <c r="W123" s="24"/>
      <c r="X123" s="24"/>
      <c r="Y123" s="24"/>
      <c r="Z123" s="2272"/>
      <c r="AA123" s="24"/>
      <c r="AB123" s="2272"/>
      <c r="AC123" s="24"/>
      <c r="AD123" s="2272"/>
      <c r="AE123" s="24"/>
      <c r="AF123" s="2272"/>
      <c r="AG123" s="24"/>
      <c r="AH123" s="2272"/>
      <c r="AI123" s="24"/>
      <c r="AJ123" s="2272"/>
      <c r="AK123" s="24"/>
      <c r="AL123" s="2272"/>
      <c r="AM123" s="24"/>
      <c r="AN123" s="2272"/>
      <c r="AO123" s="24"/>
      <c r="AP123" s="2272"/>
      <c r="AQ123" s="24"/>
      <c r="AR123" s="2272"/>
      <c r="AS123" s="24"/>
      <c r="AT123" s="2272"/>
    </row>
    <row r="124" spans="1:46" ht="14.25">
      <c r="A124" s="24"/>
      <c r="B124" s="24"/>
      <c r="C124" s="24"/>
      <c r="D124" s="24"/>
      <c r="E124" s="24"/>
      <c r="F124" s="2284"/>
      <c r="G124" s="24"/>
      <c r="H124" s="24"/>
      <c r="I124" s="24"/>
      <c r="J124" s="24"/>
      <c r="K124" s="2272"/>
      <c r="L124" s="24"/>
      <c r="M124" s="24"/>
      <c r="N124" s="24"/>
      <c r="O124" s="24"/>
      <c r="P124" s="2282"/>
      <c r="Q124" s="24"/>
      <c r="R124" s="24"/>
      <c r="S124" s="24"/>
      <c r="T124" s="2282"/>
      <c r="U124" s="2283"/>
      <c r="V124" s="2283"/>
      <c r="W124" s="24"/>
      <c r="X124" s="24"/>
      <c r="Y124" s="24"/>
      <c r="Z124" s="2272"/>
      <c r="AA124" s="24"/>
      <c r="AB124" s="2272"/>
      <c r="AC124" s="24"/>
      <c r="AD124" s="2272"/>
      <c r="AE124" s="24"/>
      <c r="AF124" s="2272"/>
      <c r="AG124" s="24"/>
      <c r="AH124" s="2272"/>
      <c r="AI124" s="24"/>
      <c r="AJ124" s="2272"/>
      <c r="AK124" s="24"/>
      <c r="AL124" s="2272"/>
      <c r="AM124" s="24"/>
      <c r="AN124" s="2272"/>
      <c r="AO124" s="24"/>
      <c r="AP124" s="2272"/>
      <c r="AQ124" s="24"/>
      <c r="AR124" s="2272"/>
      <c r="AS124" s="24"/>
      <c r="AT124" s="2272"/>
    </row>
    <row r="125" spans="1:46" ht="14.25">
      <c r="A125" s="24"/>
      <c r="B125" s="24"/>
      <c r="C125" s="24"/>
      <c r="D125" s="24"/>
      <c r="E125" s="24"/>
      <c r="F125" s="2284"/>
      <c r="G125" s="24"/>
      <c r="H125" s="24"/>
      <c r="I125" s="24"/>
      <c r="J125" s="24"/>
      <c r="K125" s="2272"/>
      <c r="L125" s="24"/>
      <c r="M125" s="24"/>
      <c r="N125" s="24"/>
      <c r="O125" s="24"/>
      <c r="P125" s="2282"/>
      <c r="Q125" s="24"/>
      <c r="R125" s="24"/>
      <c r="S125" s="24"/>
      <c r="T125" s="2282"/>
      <c r="U125" s="2283"/>
      <c r="V125" s="2283"/>
      <c r="W125" s="24"/>
      <c r="X125" s="24"/>
      <c r="Y125" s="24"/>
      <c r="Z125" s="2272"/>
      <c r="AA125" s="24"/>
      <c r="AB125" s="2272"/>
      <c r="AC125" s="24"/>
      <c r="AD125" s="2272"/>
      <c r="AE125" s="24"/>
      <c r="AF125" s="2272"/>
      <c r="AG125" s="24"/>
      <c r="AH125" s="2272"/>
      <c r="AI125" s="24"/>
      <c r="AJ125" s="2272"/>
      <c r="AK125" s="24"/>
      <c r="AL125" s="2272"/>
      <c r="AM125" s="24"/>
      <c r="AN125" s="2272"/>
      <c r="AO125" s="24"/>
      <c r="AP125" s="2272"/>
      <c r="AQ125" s="24"/>
      <c r="AR125" s="2272"/>
      <c r="AS125" s="24"/>
      <c r="AT125" s="2272"/>
    </row>
    <row r="126" spans="1:46" ht="14.25">
      <c r="A126" s="24"/>
      <c r="B126" s="24"/>
      <c r="C126" s="24"/>
      <c r="D126" s="24"/>
      <c r="E126" s="24"/>
      <c r="F126" s="2284"/>
      <c r="G126" s="24"/>
      <c r="H126" s="24"/>
      <c r="I126" s="24"/>
      <c r="J126" s="24"/>
      <c r="K126" s="2272"/>
      <c r="L126" s="24"/>
      <c r="M126" s="24"/>
      <c r="N126" s="24"/>
      <c r="O126" s="24"/>
      <c r="P126" s="2282"/>
      <c r="Q126" s="24"/>
      <c r="R126" s="24"/>
      <c r="S126" s="24"/>
      <c r="T126" s="2282"/>
      <c r="U126" s="2283"/>
      <c r="V126" s="2283"/>
      <c r="W126" s="24"/>
      <c r="X126" s="24"/>
      <c r="Y126" s="24"/>
      <c r="Z126" s="2272"/>
      <c r="AA126" s="24"/>
      <c r="AB126" s="2272"/>
      <c r="AC126" s="24"/>
      <c r="AD126" s="2272"/>
      <c r="AE126" s="24"/>
      <c r="AF126" s="2272"/>
      <c r="AG126" s="24"/>
      <c r="AH126" s="2272"/>
      <c r="AI126" s="24"/>
      <c r="AJ126" s="2272"/>
      <c r="AK126" s="24"/>
      <c r="AL126" s="2272"/>
      <c r="AM126" s="24"/>
      <c r="AN126" s="2272"/>
      <c r="AO126" s="24"/>
      <c r="AP126" s="2272"/>
      <c r="AQ126" s="24"/>
      <c r="AR126" s="2272"/>
      <c r="AS126" s="24"/>
      <c r="AT126" s="2272"/>
    </row>
    <row r="127" spans="1:18" ht="14.25">
      <c r="A127" s="24"/>
      <c r="B127" s="24"/>
      <c r="C127" s="24"/>
      <c r="D127" s="24"/>
      <c r="E127" s="24"/>
      <c r="F127" s="2284"/>
      <c r="G127" s="24"/>
      <c r="H127" s="24"/>
      <c r="I127" s="24"/>
      <c r="J127" s="24"/>
      <c r="K127" s="2272"/>
      <c r="L127" s="24"/>
      <c r="M127" s="24"/>
      <c r="N127" s="24"/>
      <c r="O127" s="24"/>
      <c r="P127" s="2282"/>
      <c r="Q127" s="24"/>
      <c r="R127" s="24"/>
    </row>
    <row r="128" spans="1:18" ht="14.25">
      <c r="A128" s="24"/>
      <c r="B128" s="24"/>
      <c r="C128" s="24"/>
      <c r="D128" s="24"/>
      <c r="E128" s="24"/>
      <c r="F128" s="2284"/>
      <c r="G128" s="24"/>
      <c r="H128" s="24"/>
      <c r="I128" s="24"/>
      <c r="J128" s="24"/>
      <c r="K128" s="2272"/>
      <c r="L128" s="24"/>
      <c r="M128" s="24"/>
      <c r="N128" s="24"/>
      <c r="O128" s="24"/>
      <c r="P128" s="2282"/>
      <c r="Q128" s="24"/>
      <c r="R128" s="24"/>
    </row>
  </sheetData>
  <sheetProtection/>
  <mergeCells count="922">
    <mergeCell ref="A5:M6"/>
    <mergeCell ref="Q5:BG5"/>
    <mergeCell ref="Q6:AA6"/>
    <mergeCell ref="AB6:AY6"/>
    <mergeCell ref="BF6:BG6"/>
    <mergeCell ref="A95:O95"/>
    <mergeCell ref="H102:L102"/>
    <mergeCell ref="H103:L103"/>
    <mergeCell ref="A105:D105"/>
    <mergeCell ref="BC89:BC94"/>
    <mergeCell ref="BD89:BD94"/>
    <mergeCell ref="BE89:BE94"/>
    <mergeCell ref="BF89:BF94"/>
    <mergeCell ref="BG89:BG94"/>
    <mergeCell ref="L90:L92"/>
    <mergeCell ref="L93:L94"/>
    <mergeCell ref="S93:S94"/>
    <mergeCell ref="AW89:AW94"/>
    <mergeCell ref="AX89:AX94"/>
    <mergeCell ref="AY89:AY94"/>
    <mergeCell ref="AZ89:AZ94"/>
    <mergeCell ref="BA89:BA94"/>
    <mergeCell ref="BB89:BB94"/>
    <mergeCell ref="AQ89:AQ94"/>
    <mergeCell ref="AR89:AR94"/>
    <mergeCell ref="AS89:AS94"/>
    <mergeCell ref="AT89:AT94"/>
    <mergeCell ref="AU89:AU94"/>
    <mergeCell ref="AV89:AV94"/>
    <mergeCell ref="AK89:AK94"/>
    <mergeCell ref="AL89:AL94"/>
    <mergeCell ref="AM89:AM94"/>
    <mergeCell ref="AN89:AN94"/>
    <mergeCell ref="AO89:AO94"/>
    <mergeCell ref="AP89:AP94"/>
    <mergeCell ref="AE89:AE94"/>
    <mergeCell ref="AF89:AF94"/>
    <mergeCell ref="AG89:AG94"/>
    <mergeCell ref="AH89:AH94"/>
    <mergeCell ref="AI89:AI94"/>
    <mergeCell ref="AJ89:AJ94"/>
    <mergeCell ref="Y89:Y94"/>
    <mergeCell ref="Z89:Z94"/>
    <mergeCell ref="AA89:AA94"/>
    <mergeCell ref="AB89:AB94"/>
    <mergeCell ref="AC89:AC94"/>
    <mergeCell ref="AD89:AD94"/>
    <mergeCell ref="O89:O94"/>
    <mergeCell ref="P89:P94"/>
    <mergeCell ref="Q89:Q94"/>
    <mergeCell ref="R89:R94"/>
    <mergeCell ref="W89:W92"/>
    <mergeCell ref="X89:X92"/>
    <mergeCell ref="BG83:BG86"/>
    <mergeCell ref="C88:D94"/>
    <mergeCell ref="E89:F94"/>
    <mergeCell ref="G89:G92"/>
    <mergeCell ref="H89:H92"/>
    <mergeCell ref="I89:I92"/>
    <mergeCell ref="J89:J92"/>
    <mergeCell ref="K89:K92"/>
    <mergeCell ref="M89:M94"/>
    <mergeCell ref="N89:N94"/>
    <mergeCell ref="BA83:BA86"/>
    <mergeCell ref="BB83:BB86"/>
    <mergeCell ref="BC83:BC86"/>
    <mergeCell ref="BD83:BD86"/>
    <mergeCell ref="BE83:BE86"/>
    <mergeCell ref="BF83:BF86"/>
    <mergeCell ref="AU83:AU86"/>
    <mergeCell ref="AV83:AV86"/>
    <mergeCell ref="AW83:AW86"/>
    <mergeCell ref="AX83:AX86"/>
    <mergeCell ref="AY83:AY86"/>
    <mergeCell ref="AZ83:AZ86"/>
    <mergeCell ref="AO83:AO86"/>
    <mergeCell ref="AP83:AP86"/>
    <mergeCell ref="AQ83:AQ86"/>
    <mergeCell ref="AR83:AR86"/>
    <mergeCell ref="AS83:AS86"/>
    <mergeCell ref="AT83:AT86"/>
    <mergeCell ref="AI83:AI86"/>
    <mergeCell ref="AJ83:AJ86"/>
    <mergeCell ref="AK83:AK86"/>
    <mergeCell ref="AL83:AL86"/>
    <mergeCell ref="AM83:AM86"/>
    <mergeCell ref="AN83:AN86"/>
    <mergeCell ref="AC83:AC86"/>
    <mergeCell ref="AD83:AD86"/>
    <mergeCell ref="AE83:AE86"/>
    <mergeCell ref="AF83:AF86"/>
    <mergeCell ref="AG83:AG86"/>
    <mergeCell ref="AH83:AH86"/>
    <mergeCell ref="Z83:Z86"/>
    <mergeCell ref="AA83:AA86"/>
    <mergeCell ref="AB83:AB86"/>
    <mergeCell ref="M83:M86"/>
    <mergeCell ref="N83:N86"/>
    <mergeCell ref="O83:O86"/>
    <mergeCell ref="P83:P86"/>
    <mergeCell ref="Q83:Q86"/>
    <mergeCell ref="R83:R86"/>
    <mergeCell ref="J83:J86"/>
    <mergeCell ref="K83:K86"/>
    <mergeCell ref="L83:L86"/>
    <mergeCell ref="BB81:BB82"/>
    <mergeCell ref="BC81:BC82"/>
    <mergeCell ref="BD81:BD82"/>
    <mergeCell ref="AP81:AP82"/>
    <mergeCell ref="AQ81:AQ82"/>
    <mergeCell ref="AR81:AR82"/>
    <mergeCell ref="AS81:AS82"/>
    <mergeCell ref="AT81:AT82"/>
    <mergeCell ref="AU81:AU82"/>
    <mergeCell ref="AJ81:AJ82"/>
    <mergeCell ref="AK81:AK82"/>
    <mergeCell ref="AL81:AL82"/>
    <mergeCell ref="AM81:AM82"/>
    <mergeCell ref="AN81:AN82"/>
    <mergeCell ref="AO81:AO82"/>
    <mergeCell ref="AD81:AD82"/>
    <mergeCell ref="AE81:AE82"/>
    <mergeCell ref="AF81:AF82"/>
    <mergeCell ref="W83:W86"/>
    <mergeCell ref="X83:X86"/>
    <mergeCell ref="Y83:Y86"/>
    <mergeCell ref="BE81:BE82"/>
    <mergeCell ref="BF81:BF82"/>
    <mergeCell ref="BG81:BG82"/>
    <mergeCell ref="AV81:AV82"/>
    <mergeCell ref="AW81:AW82"/>
    <mergeCell ref="AX81:AX82"/>
    <mergeCell ref="AY81:AY82"/>
    <mergeCell ref="AZ81:AZ82"/>
    <mergeCell ref="BA81:BA82"/>
    <mergeCell ref="AG81:AG82"/>
    <mergeCell ref="AH81:AH82"/>
    <mergeCell ref="AI81:AI82"/>
    <mergeCell ref="X81:X82"/>
    <mergeCell ref="Y81:Y82"/>
    <mergeCell ref="Z81:Z82"/>
    <mergeCell ref="AA81:AA82"/>
    <mergeCell ref="AB81:AB82"/>
    <mergeCell ref="AC81:AC82"/>
    <mergeCell ref="L81:L82"/>
    <mergeCell ref="M81:M82"/>
    <mergeCell ref="N81:N82"/>
    <mergeCell ref="O81:O82"/>
    <mergeCell ref="P81:P82"/>
    <mergeCell ref="W81:W82"/>
    <mergeCell ref="BF76:BF78"/>
    <mergeCell ref="BG76:BG78"/>
    <mergeCell ref="E80:F86"/>
    <mergeCell ref="G80:G82"/>
    <mergeCell ref="H80:H82"/>
    <mergeCell ref="I80:I82"/>
    <mergeCell ref="J80:J82"/>
    <mergeCell ref="K80:K82"/>
    <mergeCell ref="Q80:Q82"/>
    <mergeCell ref="R80:R82"/>
    <mergeCell ref="AZ76:AZ78"/>
    <mergeCell ref="BA76:BA78"/>
    <mergeCell ref="BB76:BB78"/>
    <mergeCell ref="BC76:BC78"/>
    <mergeCell ref="BD76:BD78"/>
    <mergeCell ref="BE76:BE78"/>
    <mergeCell ref="AT76:AT78"/>
    <mergeCell ref="AU76:AU78"/>
    <mergeCell ref="AV76:AV78"/>
    <mergeCell ref="AW76:AW78"/>
    <mergeCell ref="AX76:AX78"/>
    <mergeCell ref="AY76:AY78"/>
    <mergeCell ref="AN76:AN78"/>
    <mergeCell ref="AO76:AO78"/>
    <mergeCell ref="AP76:AP78"/>
    <mergeCell ref="AQ76:AQ78"/>
    <mergeCell ref="AR76:AR78"/>
    <mergeCell ref="AS76:AS78"/>
    <mergeCell ref="AI76:AI78"/>
    <mergeCell ref="AJ76:AJ78"/>
    <mergeCell ref="AK76:AK78"/>
    <mergeCell ref="AL76:AL78"/>
    <mergeCell ref="AM76:AM78"/>
    <mergeCell ref="AB76:AB78"/>
    <mergeCell ref="AC76:AC78"/>
    <mergeCell ref="AD76:AD78"/>
    <mergeCell ref="AE76:AE78"/>
    <mergeCell ref="AF76:AF78"/>
    <mergeCell ref="AG76:AG78"/>
    <mergeCell ref="Z76:Z78"/>
    <mergeCell ref="AA76:AA78"/>
    <mergeCell ref="L76:L78"/>
    <mergeCell ref="M76:M78"/>
    <mergeCell ref="N76:N78"/>
    <mergeCell ref="O76:O78"/>
    <mergeCell ref="P76:P78"/>
    <mergeCell ref="Q76:Q78"/>
    <mergeCell ref="AH76:AH78"/>
    <mergeCell ref="J76:J78"/>
    <mergeCell ref="K76:K78"/>
    <mergeCell ref="BB72:BB74"/>
    <mergeCell ref="BC72:BC74"/>
    <mergeCell ref="BD72:BD74"/>
    <mergeCell ref="AP72:AP74"/>
    <mergeCell ref="AQ72:AQ74"/>
    <mergeCell ref="AR72:AR74"/>
    <mergeCell ref="AS72:AS74"/>
    <mergeCell ref="AT72:AT74"/>
    <mergeCell ref="AU72:AU74"/>
    <mergeCell ref="AJ72:AJ74"/>
    <mergeCell ref="AK72:AK74"/>
    <mergeCell ref="AL72:AL74"/>
    <mergeCell ref="AM72:AM74"/>
    <mergeCell ref="AN72:AN74"/>
    <mergeCell ref="AO72:AO74"/>
    <mergeCell ref="AD72:AD74"/>
    <mergeCell ref="AE72:AE74"/>
    <mergeCell ref="AF72:AF74"/>
    <mergeCell ref="R76:R78"/>
    <mergeCell ref="W76:W78"/>
    <mergeCell ref="X76:X78"/>
    <mergeCell ref="Y76:Y78"/>
    <mergeCell ref="X72:X74"/>
    <mergeCell ref="Y72:Y74"/>
    <mergeCell ref="Z72:Z74"/>
    <mergeCell ref="AA72:AA74"/>
    <mergeCell ref="AB72:AB74"/>
    <mergeCell ref="AC72:AC74"/>
    <mergeCell ref="BE72:BE74"/>
    <mergeCell ref="BF72:BF74"/>
    <mergeCell ref="BG72:BG74"/>
    <mergeCell ref="AV72:AV74"/>
    <mergeCell ref="AW72:AW74"/>
    <mergeCell ref="AX72:AX74"/>
    <mergeCell ref="AY72:AY74"/>
    <mergeCell ref="AZ72:AZ74"/>
    <mergeCell ref="BA72:BA74"/>
    <mergeCell ref="Q72:Q74"/>
    <mergeCell ref="R72:R74"/>
    <mergeCell ref="W72:W74"/>
    <mergeCell ref="BE70:BE71"/>
    <mergeCell ref="BF70:BF71"/>
    <mergeCell ref="BG70:BG71"/>
    <mergeCell ref="BA70:BA71"/>
    <mergeCell ref="BB70:BB71"/>
    <mergeCell ref="BC70:BC71"/>
    <mergeCell ref="BD70:BD71"/>
    <mergeCell ref="AJ70:AJ71"/>
    <mergeCell ref="AK70:AK71"/>
    <mergeCell ref="AL70:AL71"/>
    <mergeCell ref="AA70:AA71"/>
    <mergeCell ref="AB70:AB71"/>
    <mergeCell ref="AC70:AC71"/>
    <mergeCell ref="AD70:AD71"/>
    <mergeCell ref="AE70:AE71"/>
    <mergeCell ref="AF70:AF71"/>
    <mergeCell ref="Q70:Q71"/>
    <mergeCell ref="R70:R71"/>
    <mergeCell ref="AG72:AG74"/>
    <mergeCell ref="AH72:AH74"/>
    <mergeCell ref="AI72:AI74"/>
    <mergeCell ref="J72:J74"/>
    <mergeCell ref="K72:K74"/>
    <mergeCell ref="L72:L74"/>
    <mergeCell ref="M72:M74"/>
    <mergeCell ref="AY70:AY71"/>
    <mergeCell ref="AZ70:AZ71"/>
    <mergeCell ref="AS70:AS71"/>
    <mergeCell ref="AT70:AT71"/>
    <mergeCell ref="AU70:AU71"/>
    <mergeCell ref="AV70:AV71"/>
    <mergeCell ref="AW70:AW71"/>
    <mergeCell ref="AX70:AX71"/>
    <mergeCell ref="AM70:AM71"/>
    <mergeCell ref="AN70:AN71"/>
    <mergeCell ref="AO70:AO71"/>
    <mergeCell ref="AP70:AP71"/>
    <mergeCell ref="AQ70:AQ71"/>
    <mergeCell ref="AR70:AR71"/>
    <mergeCell ref="AG70:AG71"/>
    <mergeCell ref="AH70:AH71"/>
    <mergeCell ref="AI70:AI71"/>
    <mergeCell ref="N72:N74"/>
    <mergeCell ref="O72:O74"/>
    <mergeCell ref="P72:P74"/>
    <mergeCell ref="W70:W71"/>
    <mergeCell ref="X70:X71"/>
    <mergeCell ref="Y70:Y71"/>
    <mergeCell ref="Z70:Z71"/>
    <mergeCell ref="K70:K71"/>
    <mergeCell ref="L70:L71"/>
    <mergeCell ref="M70:M71"/>
    <mergeCell ref="N70:N71"/>
    <mergeCell ref="O70:O71"/>
    <mergeCell ref="P70:P71"/>
    <mergeCell ref="BG66:BG68"/>
    <mergeCell ref="BC67:BC68"/>
    <mergeCell ref="BD67:BD68"/>
    <mergeCell ref="BE67:BE68"/>
    <mergeCell ref="BF67:BF68"/>
    <mergeCell ref="E70:F74"/>
    <mergeCell ref="G70:G71"/>
    <mergeCell ref="H70:H71"/>
    <mergeCell ref="I70:I71"/>
    <mergeCell ref="J70:J71"/>
    <mergeCell ref="AW66:AW68"/>
    <mergeCell ref="AX66:AX68"/>
    <mergeCell ref="AY66:AY68"/>
    <mergeCell ref="AZ66:AZ68"/>
    <mergeCell ref="BA66:BA68"/>
    <mergeCell ref="BB66:BB68"/>
    <mergeCell ref="AQ66:AQ68"/>
    <mergeCell ref="AR66:AR68"/>
    <mergeCell ref="AS66:AS68"/>
    <mergeCell ref="AT66:AT68"/>
    <mergeCell ref="AU66:AU68"/>
    <mergeCell ref="AV66:AV68"/>
    <mergeCell ref="AK66:AK68"/>
    <mergeCell ref="AL66:AL68"/>
    <mergeCell ref="AM66:AM68"/>
    <mergeCell ref="AN66:AN68"/>
    <mergeCell ref="AO66:AO68"/>
    <mergeCell ref="AP66:AP68"/>
    <mergeCell ref="AE66:AE68"/>
    <mergeCell ref="AF66:AF68"/>
    <mergeCell ref="AG66:AG68"/>
    <mergeCell ref="AH66:AH68"/>
    <mergeCell ref="AI66:AI68"/>
    <mergeCell ref="AJ66:AJ68"/>
    <mergeCell ref="Y66:Y68"/>
    <mergeCell ref="Z66:Z68"/>
    <mergeCell ref="AA66:AA68"/>
    <mergeCell ref="AB66:AB68"/>
    <mergeCell ref="AC66:AC68"/>
    <mergeCell ref="AD66:AD68"/>
    <mergeCell ref="M66:M68"/>
    <mergeCell ref="N66:N68"/>
    <mergeCell ref="O66:O68"/>
    <mergeCell ref="P66:P68"/>
    <mergeCell ref="W66:W68"/>
    <mergeCell ref="X66:X68"/>
    <mergeCell ref="AP64:AP65"/>
    <mergeCell ref="AQ64:AQ65"/>
    <mergeCell ref="AR64:AR65"/>
    <mergeCell ref="AS64:AS65"/>
    <mergeCell ref="AT64:AT65"/>
    <mergeCell ref="AU64:AU65"/>
    <mergeCell ref="AJ64:AJ65"/>
    <mergeCell ref="AK64:AK65"/>
    <mergeCell ref="AL64:AL65"/>
    <mergeCell ref="AM64:AM65"/>
    <mergeCell ref="AN64:AN65"/>
    <mergeCell ref="AO64:AO65"/>
    <mergeCell ref="BE64:BE65"/>
    <mergeCell ref="BF64:BF65"/>
    <mergeCell ref="BG64:BG65"/>
    <mergeCell ref="AV64:AV65"/>
    <mergeCell ref="AW64:AW65"/>
    <mergeCell ref="AX64:AX65"/>
    <mergeCell ref="AY64:AY65"/>
    <mergeCell ref="AZ64:AZ65"/>
    <mergeCell ref="BA64:BA65"/>
    <mergeCell ref="BB64:BB65"/>
    <mergeCell ref="BC64:BC65"/>
    <mergeCell ref="BD64:BD65"/>
    <mergeCell ref="AG64:AG65"/>
    <mergeCell ref="AH64:AH65"/>
    <mergeCell ref="AI64:AI65"/>
    <mergeCell ref="X64:X65"/>
    <mergeCell ref="Y64:Y65"/>
    <mergeCell ref="Z64:Z65"/>
    <mergeCell ref="AA64:AA65"/>
    <mergeCell ref="AB64:AB65"/>
    <mergeCell ref="AC64:AC65"/>
    <mergeCell ref="AD64:AD65"/>
    <mergeCell ref="AE64:AE65"/>
    <mergeCell ref="AF64:AF65"/>
    <mergeCell ref="N64:N65"/>
    <mergeCell ref="O64:O65"/>
    <mergeCell ref="P64:P65"/>
    <mergeCell ref="Q64:Q68"/>
    <mergeCell ref="R64:R68"/>
    <mergeCell ref="W64:W65"/>
    <mergeCell ref="Q61:Q62"/>
    <mergeCell ref="R61:R62"/>
    <mergeCell ref="E64:F68"/>
    <mergeCell ref="G64:G65"/>
    <mergeCell ref="H64:H65"/>
    <mergeCell ref="I64:I65"/>
    <mergeCell ref="J64:J65"/>
    <mergeCell ref="K64:K65"/>
    <mergeCell ref="L64:L65"/>
    <mergeCell ref="M64:M65"/>
    <mergeCell ref="G66:G68"/>
    <mergeCell ref="H66:H68"/>
    <mergeCell ref="I66:I68"/>
    <mergeCell ref="J66:J68"/>
    <mergeCell ref="K66:K68"/>
    <mergeCell ref="L66:L68"/>
    <mergeCell ref="BC59:BC60"/>
    <mergeCell ref="BD59:BD60"/>
    <mergeCell ref="BE59:BE60"/>
    <mergeCell ref="BF59:BF60"/>
    <mergeCell ref="BG59:BG60"/>
    <mergeCell ref="G61:G62"/>
    <mergeCell ref="H61:H62"/>
    <mergeCell ref="I61:I62"/>
    <mergeCell ref="J61:J62"/>
    <mergeCell ref="K61:K62"/>
    <mergeCell ref="AW59:AW60"/>
    <mergeCell ref="AX59:AX60"/>
    <mergeCell ref="AY59:AY60"/>
    <mergeCell ref="AZ59:AZ60"/>
    <mergeCell ref="BA59:BA60"/>
    <mergeCell ref="BB59:BB60"/>
    <mergeCell ref="AQ59:AQ60"/>
    <mergeCell ref="AR59:AR60"/>
    <mergeCell ref="AS59:AS60"/>
    <mergeCell ref="AT59:AT60"/>
    <mergeCell ref="AU59:AU60"/>
    <mergeCell ref="AV59:AV60"/>
    <mergeCell ref="AK59:AK60"/>
    <mergeCell ref="AL59:AL60"/>
    <mergeCell ref="AM59:AM60"/>
    <mergeCell ref="AN59:AN60"/>
    <mergeCell ref="AO59:AO60"/>
    <mergeCell ref="AP59:AP60"/>
    <mergeCell ref="AE59:AE60"/>
    <mergeCell ref="AF59:AF60"/>
    <mergeCell ref="AG59:AG60"/>
    <mergeCell ref="AH59:AH60"/>
    <mergeCell ref="AI59:AI60"/>
    <mergeCell ref="AJ59:AJ60"/>
    <mergeCell ref="Y59:Y60"/>
    <mergeCell ref="Z59:Z60"/>
    <mergeCell ref="AA59:AA60"/>
    <mergeCell ref="AB59:AB60"/>
    <mergeCell ref="AC59:AC60"/>
    <mergeCell ref="AD59:AD60"/>
    <mergeCell ref="O59:O60"/>
    <mergeCell ref="P59:P60"/>
    <mergeCell ref="Q59:Q60"/>
    <mergeCell ref="R59:R60"/>
    <mergeCell ref="W59:W60"/>
    <mergeCell ref="X59:X60"/>
    <mergeCell ref="BF56:BF58"/>
    <mergeCell ref="BG56:BG58"/>
    <mergeCell ref="G59:G60"/>
    <mergeCell ref="H59:H60"/>
    <mergeCell ref="I59:I60"/>
    <mergeCell ref="J59:J60"/>
    <mergeCell ref="K59:K60"/>
    <mergeCell ref="L59:L60"/>
    <mergeCell ref="M59:M60"/>
    <mergeCell ref="N59:N60"/>
    <mergeCell ref="AZ56:AZ58"/>
    <mergeCell ref="BA56:BA58"/>
    <mergeCell ref="BB56:BB58"/>
    <mergeCell ref="BC56:BC58"/>
    <mergeCell ref="BD56:BD58"/>
    <mergeCell ref="BE56:BE58"/>
    <mergeCell ref="AT56:AT58"/>
    <mergeCell ref="AU56:AU58"/>
    <mergeCell ref="AV56:AV58"/>
    <mergeCell ref="AW56:AW58"/>
    <mergeCell ref="AX56:AX58"/>
    <mergeCell ref="AY56:AY58"/>
    <mergeCell ref="AN56:AN58"/>
    <mergeCell ref="AO56:AO58"/>
    <mergeCell ref="AP56:AP58"/>
    <mergeCell ref="AQ56:AQ58"/>
    <mergeCell ref="AR56:AR58"/>
    <mergeCell ref="AS56:AS58"/>
    <mergeCell ref="AH56:AH58"/>
    <mergeCell ref="AI56:AI58"/>
    <mergeCell ref="AJ56:AJ58"/>
    <mergeCell ref="AK56:AK58"/>
    <mergeCell ref="AL56:AL58"/>
    <mergeCell ref="AM56:AM58"/>
    <mergeCell ref="AB56:AB58"/>
    <mergeCell ref="AC56:AC58"/>
    <mergeCell ref="AD56:AD58"/>
    <mergeCell ref="AE56:AE58"/>
    <mergeCell ref="AF56:AF58"/>
    <mergeCell ref="AG56:AG58"/>
    <mergeCell ref="V56:V57"/>
    <mergeCell ref="W56:W58"/>
    <mergeCell ref="X56:X58"/>
    <mergeCell ref="Y56:Y58"/>
    <mergeCell ref="Z56:Z58"/>
    <mergeCell ref="AA56:AA58"/>
    <mergeCell ref="P56:P58"/>
    <mergeCell ref="Q56:Q58"/>
    <mergeCell ref="R56:R58"/>
    <mergeCell ref="S56:S57"/>
    <mergeCell ref="T56:T57"/>
    <mergeCell ref="U56:U57"/>
    <mergeCell ref="J56:J58"/>
    <mergeCell ref="K56:K58"/>
    <mergeCell ref="L56:L58"/>
    <mergeCell ref="M56:M58"/>
    <mergeCell ref="N56:N58"/>
    <mergeCell ref="O56:O58"/>
    <mergeCell ref="J46:J51"/>
    <mergeCell ref="K46:K51"/>
    <mergeCell ref="L46:L51"/>
    <mergeCell ref="C18:D53"/>
    <mergeCell ref="E19:F24"/>
    <mergeCell ref="G19:G22"/>
    <mergeCell ref="H19:H22"/>
    <mergeCell ref="I19:I22"/>
    <mergeCell ref="J19:J22"/>
    <mergeCell ref="E26:F35"/>
    <mergeCell ref="G40:G41"/>
    <mergeCell ref="H40:H41"/>
    <mergeCell ref="I40:I41"/>
    <mergeCell ref="J40:J41"/>
    <mergeCell ref="K40:K41"/>
    <mergeCell ref="G30:G31"/>
    <mergeCell ref="H30:H31"/>
    <mergeCell ref="I30:I31"/>
    <mergeCell ref="J30:J31"/>
    <mergeCell ref="J26:J27"/>
    <mergeCell ref="E37:F44"/>
    <mergeCell ref="G38:G39"/>
    <mergeCell ref="K26:K27"/>
    <mergeCell ref="K19:K22"/>
    <mergeCell ref="C55:D86"/>
    <mergeCell ref="E56:F62"/>
    <mergeCell ref="G56:G58"/>
    <mergeCell ref="H56:H58"/>
    <mergeCell ref="I56:I58"/>
    <mergeCell ref="E46:F53"/>
    <mergeCell ref="G46:G51"/>
    <mergeCell ref="H46:H51"/>
    <mergeCell ref="I46:I51"/>
    <mergeCell ref="G72:G74"/>
    <mergeCell ref="H72:H74"/>
    <mergeCell ref="I72:I74"/>
    <mergeCell ref="E76:F78"/>
    <mergeCell ref="G76:G78"/>
    <mergeCell ref="H76:H78"/>
    <mergeCell ref="I76:I78"/>
    <mergeCell ref="G83:G86"/>
    <mergeCell ref="H83:H86"/>
    <mergeCell ref="I83:I86"/>
    <mergeCell ref="AW46:AW51"/>
    <mergeCell ref="AX46:AX51"/>
    <mergeCell ref="AY46:AY51"/>
    <mergeCell ref="AZ46:AZ51"/>
    <mergeCell ref="AO46:AO51"/>
    <mergeCell ref="AP46:AP51"/>
    <mergeCell ref="AR52:AR53"/>
    <mergeCell ref="AS52:AS53"/>
    <mergeCell ref="AT52:AT53"/>
    <mergeCell ref="AU52:AU53"/>
    <mergeCell ref="AV52:AV53"/>
    <mergeCell ref="AT46:AT51"/>
    <mergeCell ref="AJ46:AJ51"/>
    <mergeCell ref="AK46:AK51"/>
    <mergeCell ref="AL46:AL51"/>
    <mergeCell ref="AM46:AM51"/>
    <mergeCell ref="AN46:AN51"/>
    <mergeCell ref="BG46:BG51"/>
    <mergeCell ref="G52:G53"/>
    <mergeCell ref="H52:H53"/>
    <mergeCell ref="I52:I53"/>
    <mergeCell ref="J52:J53"/>
    <mergeCell ref="K52:K53"/>
    <mergeCell ref="Q52:Q53"/>
    <mergeCell ref="R52:R53"/>
    <mergeCell ref="AP52:AP53"/>
    <mergeCell ref="AQ52:AQ53"/>
    <mergeCell ref="BA46:BA51"/>
    <mergeCell ref="BB46:BB51"/>
    <mergeCell ref="BC46:BC51"/>
    <mergeCell ref="BD46:BD51"/>
    <mergeCell ref="BE46:BE51"/>
    <mergeCell ref="BF46:BF51"/>
    <mergeCell ref="AU46:AU51"/>
    <mergeCell ref="M46:M51"/>
    <mergeCell ref="AV46:AV51"/>
    <mergeCell ref="N46:N51"/>
    <mergeCell ref="O46:O51"/>
    <mergeCell ref="P46:P51"/>
    <mergeCell ref="Q46:Q51"/>
    <mergeCell ref="R46:R51"/>
    <mergeCell ref="Q42:Q44"/>
    <mergeCell ref="R42:R44"/>
    <mergeCell ref="AV42:AV44"/>
    <mergeCell ref="AC46:AC51"/>
    <mergeCell ref="AD46:AD51"/>
    <mergeCell ref="AE46:AE51"/>
    <mergeCell ref="AF46:AF51"/>
    <mergeCell ref="AG46:AG51"/>
    <mergeCell ref="AH46:AH51"/>
    <mergeCell ref="W46:W51"/>
    <mergeCell ref="X46:X51"/>
    <mergeCell ref="Y46:Y51"/>
    <mergeCell ref="Z46:Z51"/>
    <mergeCell ref="AA46:AA51"/>
    <mergeCell ref="AB46:AB51"/>
    <mergeCell ref="AQ46:AQ51"/>
    <mergeCell ref="AR46:AR51"/>
    <mergeCell ref="AS46:AS51"/>
    <mergeCell ref="AI46:AI51"/>
    <mergeCell ref="O40:O41"/>
    <mergeCell ref="H38:H39"/>
    <mergeCell ref="I38:I39"/>
    <mergeCell ref="J38:J39"/>
    <mergeCell ref="K38:K39"/>
    <mergeCell ref="O38:O39"/>
    <mergeCell ref="L37:L41"/>
    <mergeCell ref="M37:M41"/>
    <mergeCell ref="N37:N41"/>
    <mergeCell ref="R38:R39"/>
    <mergeCell ref="BB37:BB41"/>
    <mergeCell ref="BC37:BC41"/>
    <mergeCell ref="BD37:BD41"/>
    <mergeCell ref="BE37:BE41"/>
    <mergeCell ref="BF37:BF41"/>
    <mergeCell ref="BG37:BG41"/>
    <mergeCell ref="AV37:AV41"/>
    <mergeCell ref="AW37:AW41"/>
    <mergeCell ref="AX37:AX41"/>
    <mergeCell ref="AY37:AY41"/>
    <mergeCell ref="AZ37:AZ41"/>
    <mergeCell ref="BA37:BA41"/>
    <mergeCell ref="AP37:AP41"/>
    <mergeCell ref="AQ37:AQ41"/>
    <mergeCell ref="AR37:AR41"/>
    <mergeCell ref="AS37:AS41"/>
    <mergeCell ref="AT37:AT41"/>
    <mergeCell ref="AU37:AU41"/>
    <mergeCell ref="AJ37:AJ41"/>
    <mergeCell ref="AK37:AK41"/>
    <mergeCell ref="AL37:AL41"/>
    <mergeCell ref="AM37:AM41"/>
    <mergeCell ref="AN37:AN41"/>
    <mergeCell ref="AO37:AO41"/>
    <mergeCell ref="AD37:AD41"/>
    <mergeCell ref="AE37:AE41"/>
    <mergeCell ref="AF37:AF41"/>
    <mergeCell ref="AG37:AG41"/>
    <mergeCell ref="AH37:AH41"/>
    <mergeCell ref="AI37:AI41"/>
    <mergeCell ref="X37:X41"/>
    <mergeCell ref="Y37:Y41"/>
    <mergeCell ref="Z37:Z41"/>
    <mergeCell ref="AA37:AA41"/>
    <mergeCell ref="AB37:AB41"/>
    <mergeCell ref="AC37:AC41"/>
    <mergeCell ref="P37:P41"/>
    <mergeCell ref="Q37:Q41"/>
    <mergeCell ref="W37:W41"/>
    <mergeCell ref="R40:R41"/>
    <mergeCell ref="AU32:AU35"/>
    <mergeCell ref="AV32:AV35"/>
    <mergeCell ref="G33:G35"/>
    <mergeCell ref="H33:H35"/>
    <mergeCell ref="I33:I35"/>
    <mergeCell ref="J33:J35"/>
    <mergeCell ref="K33:K35"/>
    <mergeCell ref="O33:O35"/>
    <mergeCell ref="R33:R35"/>
    <mergeCell ref="AO32:AO35"/>
    <mergeCell ref="AP32:AP35"/>
    <mergeCell ref="AQ32:AQ35"/>
    <mergeCell ref="AR32:AR35"/>
    <mergeCell ref="AS32:AS35"/>
    <mergeCell ref="AT32:AT35"/>
    <mergeCell ref="AI32:AI35"/>
    <mergeCell ref="AJ32:AJ35"/>
    <mergeCell ref="AK32:AK35"/>
    <mergeCell ref="AL32:AL35"/>
    <mergeCell ref="AM32:AM35"/>
    <mergeCell ref="BG30:BG35"/>
    <mergeCell ref="X30:X35"/>
    <mergeCell ref="AW30:AW35"/>
    <mergeCell ref="AX30:AX35"/>
    <mergeCell ref="AY30:AY35"/>
    <mergeCell ref="AZ30:AZ35"/>
    <mergeCell ref="BA30:BA35"/>
    <mergeCell ref="Y32:Y35"/>
    <mergeCell ref="Z32:Z35"/>
    <mergeCell ref="AA32:AA35"/>
    <mergeCell ref="AB32:AB35"/>
    <mergeCell ref="AN32:AN35"/>
    <mergeCell ref="AC32:AC35"/>
    <mergeCell ref="AD32:AD35"/>
    <mergeCell ref="AE32:AE35"/>
    <mergeCell ref="AF32:AF35"/>
    <mergeCell ref="AG32:AG35"/>
    <mergeCell ref="AH32:AH35"/>
    <mergeCell ref="BB30:BB35"/>
    <mergeCell ref="BC30:BC35"/>
    <mergeCell ref="Q26:Q29"/>
    <mergeCell ref="R26:R29"/>
    <mergeCell ref="K30:K31"/>
    <mergeCell ref="L30:L35"/>
    <mergeCell ref="M30:M35"/>
    <mergeCell ref="BD30:BD35"/>
    <mergeCell ref="BE30:BE35"/>
    <mergeCell ref="BF30:BF35"/>
    <mergeCell ref="AK23:AK24"/>
    <mergeCell ref="AL23:AL24"/>
    <mergeCell ref="AM23:AM24"/>
    <mergeCell ref="AN23:AN24"/>
    <mergeCell ref="AO23:AO24"/>
    <mergeCell ref="N30:N35"/>
    <mergeCell ref="O30:O31"/>
    <mergeCell ref="P30:P35"/>
    <mergeCell ref="Q30:Q35"/>
    <mergeCell ref="R30:R31"/>
    <mergeCell ref="W30:W35"/>
    <mergeCell ref="AG23:AG24"/>
    <mergeCell ref="AH23:AH24"/>
    <mergeCell ref="AI23:AI24"/>
    <mergeCell ref="X23:X24"/>
    <mergeCell ref="Y23:Y24"/>
    <mergeCell ref="BG23:BG24"/>
    <mergeCell ref="AV23:AV24"/>
    <mergeCell ref="AW23:AW24"/>
    <mergeCell ref="AX23:AX24"/>
    <mergeCell ref="AY23:AY24"/>
    <mergeCell ref="AZ23:AZ24"/>
    <mergeCell ref="BA23:BA24"/>
    <mergeCell ref="BB23:BB24"/>
    <mergeCell ref="BC23:BC24"/>
    <mergeCell ref="BD23:BD24"/>
    <mergeCell ref="BE23:BE24"/>
    <mergeCell ref="BF23:BF24"/>
    <mergeCell ref="BG19:BG22"/>
    <mergeCell ref="BA19:BA22"/>
    <mergeCell ref="BB19:BB22"/>
    <mergeCell ref="BC19:BC22"/>
    <mergeCell ref="BD19:BD22"/>
    <mergeCell ref="AJ19:AJ22"/>
    <mergeCell ref="AK19:AK22"/>
    <mergeCell ref="AL19:AL22"/>
    <mergeCell ref="AY19:AY22"/>
    <mergeCell ref="AZ19:AZ22"/>
    <mergeCell ref="AS19:AS22"/>
    <mergeCell ref="AT19:AT22"/>
    <mergeCell ref="AU19:AU22"/>
    <mergeCell ref="AV19:AV22"/>
    <mergeCell ref="AW19:AW22"/>
    <mergeCell ref="AX19:AX22"/>
    <mergeCell ref="AM19:AM22"/>
    <mergeCell ref="AN19:AN22"/>
    <mergeCell ref="AO19:AO22"/>
    <mergeCell ref="AP19:AP22"/>
    <mergeCell ref="AQ19:AQ22"/>
    <mergeCell ref="AR19:AR22"/>
    <mergeCell ref="BE19:BE22"/>
    <mergeCell ref="BF19:BF22"/>
    <mergeCell ref="AP23:AP24"/>
    <mergeCell ref="AQ23:AQ24"/>
    <mergeCell ref="AR23:AR24"/>
    <mergeCell ref="AS23:AS24"/>
    <mergeCell ref="AT23:AT24"/>
    <mergeCell ref="AU23:AU24"/>
    <mergeCell ref="Q23:Q24"/>
    <mergeCell ref="R23:R24"/>
    <mergeCell ref="W23:W24"/>
    <mergeCell ref="Z23:Z24"/>
    <mergeCell ref="AA23:AA24"/>
    <mergeCell ref="AD23:AD24"/>
    <mergeCell ref="AE23:AE24"/>
    <mergeCell ref="AF23:AF24"/>
    <mergeCell ref="AB23:AB24"/>
    <mergeCell ref="AC23:AC24"/>
    <mergeCell ref="AJ23:AJ24"/>
    <mergeCell ref="AA19:AA22"/>
    <mergeCell ref="AB19:AB22"/>
    <mergeCell ref="AC19:AC22"/>
    <mergeCell ref="AD19:AD22"/>
    <mergeCell ref="AE19:AE22"/>
    <mergeCell ref="AF19:AF22"/>
    <mergeCell ref="Q19:Q22"/>
    <mergeCell ref="R19:R22"/>
    <mergeCell ref="W19:W22"/>
    <mergeCell ref="X19:X22"/>
    <mergeCell ref="Y19:Y22"/>
    <mergeCell ref="Z19:Z22"/>
    <mergeCell ref="L19:L22"/>
    <mergeCell ref="M19:M22"/>
    <mergeCell ref="N19:N22"/>
    <mergeCell ref="O19:O22"/>
    <mergeCell ref="P19:P22"/>
    <mergeCell ref="G23:G24"/>
    <mergeCell ref="H23:H24"/>
    <mergeCell ref="I23:I24"/>
    <mergeCell ref="J23:J24"/>
    <mergeCell ref="K23:K24"/>
    <mergeCell ref="L23:L24"/>
    <mergeCell ref="M23:M24"/>
    <mergeCell ref="N23:N24"/>
    <mergeCell ref="O23:O24"/>
    <mergeCell ref="P23:P24"/>
    <mergeCell ref="AG19:AG22"/>
    <mergeCell ref="AH19:AH22"/>
    <mergeCell ref="AI19:AI22"/>
    <mergeCell ref="AD15:AD16"/>
    <mergeCell ref="AE15:AE16"/>
    <mergeCell ref="AL15:AL16"/>
    <mergeCell ref="AM15:AM16"/>
    <mergeCell ref="AN15:AN16"/>
    <mergeCell ref="BD13:BD16"/>
    <mergeCell ref="AT15:AT16"/>
    <mergeCell ref="AU15:AU16"/>
    <mergeCell ref="AL13:AL14"/>
    <mergeCell ref="AM13:AM14"/>
    <mergeCell ref="AN13:AN14"/>
    <mergeCell ref="AO13:AO14"/>
    <mergeCell ref="AP13:AP14"/>
    <mergeCell ref="AQ13:AQ14"/>
    <mergeCell ref="AF13:AF14"/>
    <mergeCell ref="AG13:AG14"/>
    <mergeCell ref="AH13:AH14"/>
    <mergeCell ref="AI13:AI14"/>
    <mergeCell ref="AJ13:AJ14"/>
    <mergeCell ref="AK13:AK14"/>
    <mergeCell ref="BE13:BE16"/>
    <mergeCell ref="BF13:BF16"/>
    <mergeCell ref="BG13:BG16"/>
    <mergeCell ref="R14:R16"/>
    <mergeCell ref="AX13:AX16"/>
    <mergeCell ref="AY13:AY16"/>
    <mergeCell ref="AZ13:AZ16"/>
    <mergeCell ref="BA13:BA16"/>
    <mergeCell ref="BB13:BB16"/>
    <mergeCell ref="BC13:BC16"/>
    <mergeCell ref="AR13:AR14"/>
    <mergeCell ref="AS13:AS14"/>
    <mergeCell ref="AT13:AT14"/>
    <mergeCell ref="AU13:AU14"/>
    <mergeCell ref="AV13:AV14"/>
    <mergeCell ref="AW13:AW16"/>
    <mergeCell ref="AR15:AR16"/>
    <mergeCell ref="AS15:AS16"/>
    <mergeCell ref="AP15:AP16"/>
    <mergeCell ref="AQ15:AQ16"/>
    <mergeCell ref="AF15:AF16"/>
    <mergeCell ref="AG15:AG16"/>
    <mergeCell ref="AH15:AH16"/>
    <mergeCell ref="Y15:Y16"/>
    <mergeCell ref="AC15:AC16"/>
    <mergeCell ref="AI15:AI16"/>
    <mergeCell ref="AJ15:AJ16"/>
    <mergeCell ref="AK15:AK16"/>
    <mergeCell ref="AO15:AO16"/>
    <mergeCell ref="N13:N16"/>
    <mergeCell ref="Z13:Z14"/>
    <mergeCell ref="AA13:AA14"/>
    <mergeCell ref="AB13:AB14"/>
    <mergeCell ref="AC13:AC14"/>
    <mergeCell ref="AD13:AD14"/>
    <mergeCell ref="AE13:AE14"/>
    <mergeCell ref="P13:P16"/>
    <mergeCell ref="Q13:Q16"/>
    <mergeCell ref="W13:W16"/>
    <mergeCell ref="X13:X16"/>
    <mergeCell ref="Y13:Y14"/>
    <mergeCell ref="T7:V8"/>
    <mergeCell ref="Y7:AJ7"/>
    <mergeCell ref="AK7:AV7"/>
    <mergeCell ref="AW7:BB7"/>
    <mergeCell ref="BC7:BD8"/>
    <mergeCell ref="BE7:BF8"/>
    <mergeCell ref="AQ8:AR8"/>
    <mergeCell ref="L13:L16"/>
    <mergeCell ref="M13:M16"/>
    <mergeCell ref="AX8:AX9"/>
    <mergeCell ref="AY8:AY9"/>
    <mergeCell ref="AZ8:AZ9"/>
    <mergeCell ref="AS8:AT8"/>
    <mergeCell ref="AU8:AV8"/>
    <mergeCell ref="AW8:AW9"/>
    <mergeCell ref="N7:N9"/>
    <mergeCell ref="O7:O9"/>
    <mergeCell ref="P7:P9"/>
    <mergeCell ref="Q7:Q9"/>
    <mergeCell ref="R7:R9"/>
    <mergeCell ref="S7:S9"/>
    <mergeCell ref="Z15:Z16"/>
    <mergeCell ref="AA15:AA16"/>
    <mergeCell ref="AB15:AB16"/>
    <mergeCell ref="BG7:BG9"/>
    <mergeCell ref="Y8:Z8"/>
    <mergeCell ref="AA8:AB8"/>
    <mergeCell ref="AC8:AD8"/>
    <mergeCell ref="AE8:AF8"/>
    <mergeCell ref="AG8:AH8"/>
    <mergeCell ref="AI8:AJ8"/>
    <mergeCell ref="AK8:AL8"/>
    <mergeCell ref="AM8:AN8"/>
    <mergeCell ref="AO8:AP8"/>
    <mergeCell ref="G14:G16"/>
    <mergeCell ref="H14:H16"/>
    <mergeCell ref="I14:I16"/>
    <mergeCell ref="J14:J16"/>
    <mergeCell ref="K14:K16"/>
    <mergeCell ref="O14:O16"/>
    <mergeCell ref="A1:BC4"/>
    <mergeCell ref="G7:G9"/>
    <mergeCell ref="H7:H9"/>
    <mergeCell ref="I7:I9"/>
    <mergeCell ref="J7:K8"/>
    <mergeCell ref="L7:L9"/>
    <mergeCell ref="M7:M9"/>
    <mergeCell ref="A7:A9"/>
    <mergeCell ref="B7:B9"/>
    <mergeCell ref="C7:C9"/>
    <mergeCell ref="D7:D9"/>
    <mergeCell ref="E7:E9"/>
    <mergeCell ref="F7:F9"/>
    <mergeCell ref="BA8:BA9"/>
    <mergeCell ref="BB8:BB9"/>
    <mergeCell ref="A11:B94"/>
    <mergeCell ref="C12:D16"/>
    <mergeCell ref="E13:F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38" r:id="rId2"/>
  <rowBreaks count="4" manualBreakCount="4">
    <brk id="29" max="255" man="1"/>
    <brk id="36" max="255" man="1"/>
    <brk id="55" max="255" man="1"/>
    <brk id="63" max="255" man="1"/>
  </rowBreaks>
  <colBreaks count="1" manualBreakCount="1">
    <brk id="17" max="65535" man="1"/>
  </colBreaks>
  <drawing r:id="rId1"/>
</worksheet>
</file>

<file path=xl/worksheets/sheet12.xml><?xml version="1.0" encoding="utf-8"?>
<worksheet xmlns="http://schemas.openxmlformats.org/spreadsheetml/2006/main" xmlns:r="http://schemas.openxmlformats.org/officeDocument/2006/relationships">
  <dimension ref="A1:BJ31"/>
  <sheetViews>
    <sheetView zoomScale="55" zoomScaleNormal="55" zoomScalePageLayoutView="0" workbookViewId="0" topLeftCell="AV1">
      <selection activeCell="BL4" sqref="BL4"/>
    </sheetView>
  </sheetViews>
  <sheetFormatPr defaultColWidth="11.421875" defaultRowHeight="15"/>
  <cols>
    <col min="1" max="1" width="13.28125" style="9" customWidth="1"/>
    <col min="2" max="2" width="4.00390625" style="9" customWidth="1"/>
    <col min="3" max="3" width="15.57421875" style="9" customWidth="1"/>
    <col min="4" max="4" width="12.421875" style="9" customWidth="1"/>
    <col min="5" max="5" width="7.421875" style="9" customWidth="1"/>
    <col min="6" max="6" width="12.00390625" style="9" customWidth="1"/>
    <col min="7" max="7" width="14.421875" style="9" customWidth="1"/>
    <col min="8" max="8" width="8.57421875" style="9" customWidth="1"/>
    <col min="9" max="9" width="15.7109375" style="9" customWidth="1"/>
    <col min="10" max="10" width="13.8515625" style="9" customWidth="1"/>
    <col min="11" max="11" width="36.00390625" style="16" customWidth="1"/>
    <col min="12" max="12" width="22.7109375" style="10" customWidth="1"/>
    <col min="13" max="13" width="14.8515625" style="10" customWidth="1"/>
    <col min="14" max="14" width="14.8515625" style="202" customWidth="1"/>
    <col min="15" max="15" width="32.7109375" style="10" customWidth="1"/>
    <col min="16" max="16" width="15.00390625" style="10" customWidth="1"/>
    <col min="17" max="17" width="29.00390625" style="13" customWidth="1"/>
    <col min="18" max="18" width="13.28125" style="14" customWidth="1"/>
    <col min="19" max="19" width="25.8515625" style="15" customWidth="1"/>
    <col min="20" max="20" width="31.7109375" style="10" customWidth="1"/>
    <col min="21" max="21" width="33.421875" style="10" customWidth="1"/>
    <col min="22" max="22" width="43.28125" style="16" customWidth="1"/>
    <col min="23" max="23" width="26.00390625" style="16" customWidth="1"/>
    <col min="24" max="24" width="23.140625" style="205" customWidth="1"/>
    <col min="25" max="25" width="23.8515625" style="205" customWidth="1"/>
    <col min="26" max="26" width="23.421875" style="16" customWidth="1"/>
    <col min="27" max="27" width="16.8515625" style="16" customWidth="1"/>
    <col min="28" max="28" width="11.00390625" style="9" customWidth="1"/>
    <col min="29" max="29" width="11.00390625" style="207" customWidth="1"/>
    <col min="30" max="30" width="11.00390625" style="9" customWidth="1"/>
    <col min="31" max="31" width="11.00390625" style="207" customWidth="1"/>
    <col min="32" max="32" width="11.00390625" style="9" customWidth="1"/>
    <col min="33" max="33" width="11.00390625" style="207" customWidth="1"/>
    <col min="34" max="34" width="11.00390625" style="9" customWidth="1"/>
    <col min="35" max="35" width="11.00390625" style="207" customWidth="1"/>
    <col min="36" max="36" width="11.00390625" style="9" customWidth="1"/>
    <col min="37" max="37" width="11.00390625" style="207" customWidth="1"/>
    <col min="38" max="38" width="11.00390625" style="9" customWidth="1"/>
    <col min="39" max="39" width="11.00390625" style="207" customWidth="1"/>
    <col min="40" max="40" width="11.00390625" style="9" customWidth="1"/>
    <col min="41" max="41" width="11.00390625" style="207" customWidth="1"/>
    <col min="42" max="42" width="11.00390625" style="9" customWidth="1"/>
    <col min="43" max="43" width="11.00390625" style="207" customWidth="1"/>
    <col min="44" max="44" width="11.00390625" style="9" customWidth="1"/>
    <col min="45" max="45" width="11.00390625" style="207" customWidth="1"/>
    <col min="46" max="46" width="11.00390625" style="9" customWidth="1"/>
    <col min="47" max="47" width="11.00390625" style="207" customWidth="1"/>
    <col min="48" max="48" width="11.00390625" style="9" customWidth="1"/>
    <col min="49" max="49" width="11.00390625" style="207" customWidth="1"/>
    <col min="50" max="50" width="11.00390625" style="9" customWidth="1"/>
    <col min="51" max="51" width="11.00390625" style="207" customWidth="1"/>
    <col min="52" max="57" width="20.7109375" style="9" customWidth="1"/>
    <col min="58" max="58" width="22.7109375" style="17" customWidth="1"/>
    <col min="59" max="59" width="22.7109375" style="208" customWidth="1"/>
    <col min="60" max="60" width="22.7109375" style="18" customWidth="1"/>
    <col min="61" max="61" width="22.7109375" style="209" customWidth="1"/>
    <col min="62" max="62" width="28.7109375" style="19" customWidth="1"/>
    <col min="63" max="63" width="21.421875" style="9" customWidth="1"/>
    <col min="64" max="64" width="15.7109375" style="9" bestFit="1" customWidth="1"/>
    <col min="65" max="16384" width="11.421875" style="9" customWidth="1"/>
  </cols>
  <sheetData>
    <row r="1" spans="1:62" ht="21" customHeight="1">
      <c r="A1" t="s">
        <v>110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s="200"/>
      <c r="BI1" s="2633" t="s">
        <v>97</v>
      </c>
      <c r="BJ1" s="2633" t="s">
        <v>112</v>
      </c>
    </row>
    <row r="2" spans="1:62" ht="21"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s="200"/>
      <c r="BI2" s="2634" t="s">
        <v>98</v>
      </c>
      <c r="BJ2" s="2635">
        <v>5</v>
      </c>
    </row>
    <row r="3" spans="1:62" ht="21"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s="200"/>
      <c r="BI3" s="2633" t="s">
        <v>99</v>
      </c>
      <c r="BJ3" s="2636" t="s">
        <v>2149</v>
      </c>
    </row>
    <row r="4" spans="1:62" ht="21"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s="200"/>
      <c r="BI4" s="842" t="s">
        <v>100</v>
      </c>
      <c r="BJ4" s="2637" t="s">
        <v>113</v>
      </c>
    </row>
    <row r="5" spans="1:62" s="4" customFormat="1" ht="15">
      <c r="A5" s="3049" t="s">
        <v>0</v>
      </c>
      <c r="B5" s="3049"/>
      <c r="C5" s="3049"/>
      <c r="D5" s="3049"/>
      <c r="E5" s="3049"/>
      <c r="F5" s="3049"/>
      <c r="G5" s="3049"/>
      <c r="H5" s="3049"/>
      <c r="I5" s="3049"/>
      <c r="J5" s="3049"/>
      <c r="K5" s="3049"/>
      <c r="L5" s="3049"/>
      <c r="M5" s="3049"/>
      <c r="N5" s="2834"/>
      <c r="O5" s="2834"/>
      <c r="P5" s="2834"/>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c r="BH5" s="3049"/>
      <c r="BI5" s="3049"/>
      <c r="BJ5" s="3049"/>
    </row>
    <row r="6" spans="1:62" s="4" customFormat="1" ht="14.25" customHeight="1" thickBot="1">
      <c r="A6" s="3049"/>
      <c r="B6" s="3049"/>
      <c r="C6" s="3049"/>
      <c r="D6" s="3049"/>
      <c r="E6" s="3049"/>
      <c r="F6" s="3049"/>
      <c r="G6" s="3049"/>
      <c r="H6" s="3049"/>
      <c r="I6" s="3049"/>
      <c r="J6" s="3049"/>
      <c r="K6" s="3049"/>
      <c r="L6" s="3049"/>
      <c r="M6" s="3049"/>
      <c r="N6" s="2834"/>
      <c r="O6" s="2834"/>
      <c r="P6" s="2835"/>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2836"/>
      <c r="BA6" s="2836"/>
      <c r="BB6" s="2836"/>
      <c r="BC6" s="2836"/>
      <c r="BD6" s="2836"/>
      <c r="BE6" s="2836"/>
      <c r="BF6" s="3050"/>
      <c r="BG6" s="3051"/>
      <c r="BH6" s="3051"/>
      <c r="BI6" s="3051"/>
      <c r="BJ6" s="3052"/>
    </row>
    <row r="7" spans="1:62" ht="23.25" customHeight="1">
      <c r="A7" t="s">
        <v>3</v>
      </c>
      <c r="B7" t="s">
        <v>4</v>
      </c>
      <c r="C7"/>
      <c r="D7" t="s">
        <v>3</v>
      </c>
      <c r="E7" t="s">
        <v>5</v>
      </c>
      <c r="F7"/>
      <c r="G7" t="s">
        <v>3</v>
      </c>
      <c r="H7" t="s">
        <v>6</v>
      </c>
      <c r="I7"/>
      <c r="J7" t="s">
        <v>3</v>
      </c>
      <c r="K7" t="s">
        <v>7</v>
      </c>
      <c r="L7" t="s">
        <v>8</v>
      </c>
      <c r="M7" t="s">
        <v>9</v>
      </c>
      <c r="N7"/>
      <c r="O7" t="s">
        <v>10</v>
      </c>
      <c r="P7" t="s">
        <v>82</v>
      </c>
      <c r="Q7" t="s">
        <v>1</v>
      </c>
      <c r="R7" t="s">
        <v>11</v>
      </c>
      <c r="S7" t="s">
        <v>12</v>
      </c>
      <c r="T7" t="s">
        <v>13</v>
      </c>
      <c r="U7" t="s">
        <v>14</v>
      </c>
      <c r="V7" t="s">
        <v>15</v>
      </c>
      <c r="W7" t="s">
        <v>12</v>
      </c>
      <c r="X7"/>
      <c r="Y7"/>
      <c r="Z7" t="s">
        <v>85</v>
      </c>
      <c r="AA7" t="s">
        <v>16</v>
      </c>
      <c r="AB7" t="s">
        <v>17</v>
      </c>
      <c r="AC7"/>
      <c r="AD7"/>
      <c r="AE7"/>
      <c r="AF7"/>
      <c r="AG7"/>
      <c r="AH7"/>
      <c r="AI7"/>
      <c r="AJ7"/>
      <c r="AK7"/>
      <c r="AL7"/>
      <c r="AM7"/>
      <c r="AN7" t="s">
        <v>18</v>
      </c>
      <c r="AO7"/>
      <c r="AP7"/>
      <c r="AQ7"/>
      <c r="AR7"/>
      <c r="AS7"/>
      <c r="AT7"/>
      <c r="AU7"/>
      <c r="AV7"/>
      <c r="AW7"/>
      <c r="AX7"/>
      <c r="AY7"/>
      <c r="AZ7" s="3314" t="s">
        <v>119</v>
      </c>
      <c r="BA7" s="3315"/>
      <c r="BB7" s="3315"/>
      <c r="BC7" s="3315"/>
      <c r="BD7" s="3315"/>
      <c r="BE7" s="3316"/>
      <c r="BF7" t="s">
        <v>19</v>
      </c>
      <c r="BG7"/>
      <c r="BH7" t="s">
        <v>20</v>
      </c>
      <c r="BI7"/>
      <c r="BJ7" t="s">
        <v>21</v>
      </c>
    </row>
    <row r="8" spans="1:62" ht="56.25" customHeight="1">
      <c r="A8"/>
      <c r="B8"/>
      <c r="C8"/>
      <c r="D8"/>
      <c r="E8"/>
      <c r="F8"/>
      <c r="G8"/>
      <c r="H8"/>
      <c r="I8"/>
      <c r="J8"/>
      <c r="K8"/>
      <c r="L8"/>
      <c r="M8"/>
      <c r="N8"/>
      <c r="O8"/>
      <c r="P8"/>
      <c r="Q8"/>
      <c r="R8"/>
      <c r="S8"/>
      <c r="T8"/>
      <c r="U8"/>
      <c r="V8"/>
      <c r="W8"/>
      <c r="X8"/>
      <c r="Y8"/>
      <c r="Z8"/>
      <c r="AA8"/>
      <c r="AB8" t="s">
        <v>22</v>
      </c>
      <c r="AC8"/>
      <c r="AD8" t="s">
        <v>23</v>
      </c>
      <c r="AE8"/>
      <c r="AF8" t="s">
        <v>24</v>
      </c>
      <c r="AG8"/>
      <c r="AH8" t="s">
        <v>25</v>
      </c>
      <c r="AI8"/>
      <c r="AJ8" t="s">
        <v>26</v>
      </c>
      <c r="AK8"/>
      <c r="AL8" t="s">
        <v>27</v>
      </c>
      <c r="AM8"/>
      <c r="AN8" t="s">
        <v>28</v>
      </c>
      <c r="AO8"/>
      <c r="AP8" t="s">
        <v>29</v>
      </c>
      <c r="AQ8"/>
      <c r="AR8" t="s">
        <v>30</v>
      </c>
      <c r="AS8"/>
      <c r="AT8" t="s">
        <v>31</v>
      </c>
      <c r="AU8"/>
      <c r="AV8" t="s">
        <v>32</v>
      </c>
      <c r="AW8"/>
      <c r="AX8" t="s">
        <v>33</v>
      </c>
      <c r="AY8"/>
      <c r="AZ8" s="3031" t="s">
        <v>116</v>
      </c>
      <c r="BA8" s="3032" t="s">
        <v>120</v>
      </c>
      <c r="BB8" s="3031" t="s">
        <v>121</v>
      </c>
      <c r="BC8" s="3033" t="s">
        <v>117</v>
      </c>
      <c r="BD8" s="3031" t="s">
        <v>118</v>
      </c>
      <c r="BE8" s="3026" t="s">
        <v>122</v>
      </c>
      <c r="BF8"/>
      <c r="BG8"/>
      <c r="BH8"/>
      <c r="BI8"/>
      <c r="BJ8"/>
    </row>
    <row r="9" spans="1:62" ht="28.5" customHeight="1">
      <c r="A9"/>
      <c r="B9"/>
      <c r="C9"/>
      <c r="D9"/>
      <c r="E9"/>
      <c r="F9"/>
      <c r="G9"/>
      <c r="H9"/>
      <c r="I9"/>
      <c r="J9"/>
      <c r="K9"/>
      <c r="L9"/>
      <c r="M9" s="90" t="s">
        <v>109</v>
      </c>
      <c r="N9" s="91" t="s">
        <v>107</v>
      </c>
      <c r="O9"/>
      <c r="P9"/>
      <c r="Q9"/>
      <c r="R9"/>
      <c r="S9"/>
      <c r="T9"/>
      <c r="U9"/>
      <c r="V9"/>
      <c r="W9" s="214" t="s">
        <v>105</v>
      </c>
      <c r="X9" s="87" t="s">
        <v>115</v>
      </c>
      <c r="Y9" s="87" t="s">
        <v>114</v>
      </c>
      <c r="Z9"/>
      <c r="AA9"/>
      <c r="AB9" s="88" t="s">
        <v>109</v>
      </c>
      <c r="AC9" s="89" t="s">
        <v>107</v>
      </c>
      <c r="AD9" s="88" t="s">
        <v>109</v>
      </c>
      <c r="AE9" s="89" t="s">
        <v>107</v>
      </c>
      <c r="AF9" s="88" t="s">
        <v>109</v>
      </c>
      <c r="AG9" s="89" t="s">
        <v>107</v>
      </c>
      <c r="AH9" s="88" t="s">
        <v>109</v>
      </c>
      <c r="AI9" s="89" t="s">
        <v>107</v>
      </c>
      <c r="AJ9" s="88" t="s">
        <v>109</v>
      </c>
      <c r="AK9" s="89" t="s">
        <v>107</v>
      </c>
      <c r="AL9" s="88" t="s">
        <v>109</v>
      </c>
      <c r="AM9" s="89" t="s">
        <v>107</v>
      </c>
      <c r="AN9" s="88" t="s">
        <v>109</v>
      </c>
      <c r="AO9" s="89" t="s">
        <v>107</v>
      </c>
      <c r="AP9" s="88" t="s">
        <v>109</v>
      </c>
      <c r="AQ9" s="89" t="s">
        <v>107</v>
      </c>
      <c r="AR9" s="88" t="s">
        <v>109</v>
      </c>
      <c r="AS9" s="89" t="s">
        <v>107</v>
      </c>
      <c r="AT9" s="88" t="s">
        <v>109</v>
      </c>
      <c r="AU9" s="89" t="s">
        <v>107</v>
      </c>
      <c r="AV9" s="88" t="s">
        <v>109</v>
      </c>
      <c r="AW9" s="89" t="s">
        <v>107</v>
      </c>
      <c r="AX9" s="88" t="s">
        <v>109</v>
      </c>
      <c r="AY9" s="89" t="s">
        <v>107</v>
      </c>
      <c r="AZ9" s="3031"/>
      <c r="BA9" s="3032"/>
      <c r="BB9" s="3031"/>
      <c r="BC9"/>
      <c r="BD9" s="3031"/>
      <c r="BE9" s="3027"/>
      <c r="BF9" s="116" t="s">
        <v>106</v>
      </c>
      <c r="BG9" s="120" t="s">
        <v>107</v>
      </c>
      <c r="BH9" s="116" t="s">
        <v>106</v>
      </c>
      <c r="BI9" s="120" t="s">
        <v>107</v>
      </c>
      <c r="BJ9"/>
    </row>
    <row r="10" spans="1:62" ht="29.25" customHeight="1">
      <c r="A10" s="114" t="s">
        <v>79</v>
      </c>
      <c r="B10" s="61"/>
      <c r="C10" s="61" t="s">
        <v>80</v>
      </c>
      <c r="D10" s="61"/>
      <c r="E10" s="61"/>
      <c r="F10" s="61"/>
      <c r="G10" s="61"/>
      <c r="H10" s="61"/>
      <c r="I10" s="61"/>
      <c r="J10" s="61"/>
      <c r="K10" s="62"/>
      <c r="L10" s="61"/>
      <c r="M10" s="61"/>
      <c r="N10" s="169"/>
      <c r="O10" s="61"/>
      <c r="P10" s="61"/>
      <c r="Q10" s="61"/>
      <c r="R10" s="61"/>
      <c r="S10" s="61"/>
      <c r="T10" s="61"/>
      <c r="U10" s="61"/>
      <c r="V10" s="61"/>
      <c r="W10" s="61"/>
      <c r="X10" s="169"/>
      <c r="Y10" s="169"/>
      <c r="Z10" s="61"/>
      <c r="AA10" s="61"/>
      <c r="AB10" s="61"/>
      <c r="AC10" s="169"/>
      <c r="AD10" s="61"/>
      <c r="AE10" s="169"/>
      <c r="AF10" s="61"/>
      <c r="AG10" s="169"/>
      <c r="AH10" s="61"/>
      <c r="AI10" s="169"/>
      <c r="AJ10" s="61"/>
      <c r="AK10" s="169"/>
      <c r="AL10" s="61"/>
      <c r="AM10" s="169"/>
      <c r="AN10" s="61"/>
      <c r="AO10" s="169"/>
      <c r="AP10" s="61"/>
      <c r="AQ10" s="169"/>
      <c r="AR10" s="61"/>
      <c r="AS10" s="169"/>
      <c r="AT10" s="61"/>
      <c r="AU10" s="169"/>
      <c r="AV10" s="61"/>
      <c r="AW10" s="169"/>
      <c r="AX10" s="61"/>
      <c r="AY10" s="169"/>
      <c r="AZ10" s="61"/>
      <c r="BA10" s="61"/>
      <c r="BB10" s="61"/>
      <c r="BC10" s="61"/>
      <c r="BD10" s="61"/>
      <c r="BE10" s="61"/>
      <c r="BF10" s="61"/>
      <c r="BG10" s="169"/>
      <c r="BH10" s="61"/>
      <c r="BI10" s="169"/>
      <c r="BJ10" s="66"/>
    </row>
    <row r="11" spans="1:62" ht="29.25" customHeight="1">
      <c r="A11" t="s">
        <v>40</v>
      </c>
      <c r="B11"/>
      <c r="C11"/>
      <c r="D11" s="70" t="s">
        <v>81</v>
      </c>
      <c r="E11" s="3374" t="s">
        <v>41</v>
      </c>
      <c r="F11" s="3374"/>
      <c r="G11" s="3374"/>
      <c r="H11" s="3374"/>
      <c r="I11" s="3374"/>
      <c r="J11" s="3374"/>
      <c r="K11" s="3374"/>
      <c r="L11" s="3374"/>
      <c r="M11" s="48"/>
      <c r="N11" s="170"/>
      <c r="O11" s="48"/>
      <c r="P11" s="48"/>
      <c r="Q11" s="48"/>
      <c r="R11" s="48"/>
      <c r="S11" s="48"/>
      <c r="T11" s="48"/>
      <c r="U11" s="48"/>
      <c r="V11" s="48"/>
      <c r="W11" s="48"/>
      <c r="X11" s="170"/>
      <c r="Y11" s="170"/>
      <c r="Z11" s="48"/>
      <c r="AA11" s="48"/>
      <c r="AB11" s="48"/>
      <c r="AC11" s="170"/>
      <c r="AD11" s="48"/>
      <c r="AE11" s="170"/>
      <c r="AF11" s="48"/>
      <c r="AG11" s="170"/>
      <c r="AH11" s="48"/>
      <c r="AI11" s="170"/>
      <c r="AJ11" s="48"/>
      <c r="AK11" s="170"/>
      <c r="AL11" s="48"/>
      <c r="AM11" s="170"/>
      <c r="AN11" s="48"/>
      <c r="AO11" s="170"/>
      <c r="AP11" s="48"/>
      <c r="AQ11" s="170"/>
      <c r="AR11" s="48"/>
      <c r="AS11" s="170"/>
      <c r="AT11" s="48"/>
      <c r="AU11" s="170"/>
      <c r="AV11" s="48"/>
      <c r="AW11" s="170"/>
      <c r="AX11" s="48"/>
      <c r="AY11" s="170"/>
      <c r="AZ11" s="48"/>
      <c r="BA11" s="48"/>
      <c r="BB11" s="48"/>
      <c r="BC11" s="48"/>
      <c r="BD11" s="48"/>
      <c r="BE11" s="48"/>
      <c r="BF11" s="48"/>
      <c r="BG11" s="170"/>
      <c r="BH11" s="48"/>
      <c r="BI11" s="170"/>
      <c r="BJ11" s="104"/>
    </row>
    <row r="12" spans="1:62" ht="29.25" customHeight="1">
      <c r="A12"/>
      <c r="B12"/>
      <c r="C12"/>
      <c r="D12" t="s">
        <v>40</v>
      </c>
      <c r="E12"/>
      <c r="F12"/>
      <c r="G12" s="69">
        <v>83</v>
      </c>
      <c r="H12" s="67"/>
      <c r="I12" s="67" t="s">
        <v>42</v>
      </c>
      <c r="J12" s="67"/>
      <c r="K12" s="68"/>
      <c r="L12" s="67"/>
      <c r="M12" s="67"/>
      <c r="N12" s="171"/>
      <c r="O12" s="67"/>
      <c r="P12" s="67"/>
      <c r="Q12" s="67"/>
      <c r="R12" s="67"/>
      <c r="S12" s="67"/>
      <c r="T12" s="67"/>
      <c r="U12" s="67"/>
      <c r="V12" s="67"/>
      <c r="W12" s="67"/>
      <c r="X12" s="171"/>
      <c r="Y12" s="171"/>
      <c r="Z12" s="67"/>
      <c r="AA12" s="67"/>
      <c r="AB12" s="67"/>
      <c r="AC12" s="171"/>
      <c r="AD12" s="67"/>
      <c r="AE12" s="171"/>
      <c r="AF12" s="67"/>
      <c r="AG12" s="171"/>
      <c r="AH12" s="67"/>
      <c r="AI12" s="171"/>
      <c r="AJ12" s="67"/>
      <c r="AK12" s="171"/>
      <c r="AL12" s="67"/>
      <c r="AM12" s="171"/>
      <c r="AN12" s="67"/>
      <c r="AO12" s="171"/>
      <c r="AP12" s="67"/>
      <c r="AQ12" s="171"/>
      <c r="AR12" s="67"/>
      <c r="AS12" s="171"/>
      <c r="AT12" s="67"/>
      <c r="AU12" s="171"/>
      <c r="AV12" s="67"/>
      <c r="AW12" s="171"/>
      <c r="AX12" s="67"/>
      <c r="AY12" s="171"/>
      <c r="AZ12" s="67"/>
      <c r="BA12" s="67"/>
      <c r="BB12" s="67"/>
      <c r="BC12" s="67"/>
      <c r="BD12" s="67"/>
      <c r="BE12" s="67"/>
      <c r="BF12" s="67"/>
      <c r="BG12" s="171"/>
      <c r="BH12" s="67"/>
      <c r="BI12" s="171"/>
      <c r="BJ12" s="115"/>
    </row>
    <row r="13" spans="1:62" ht="66.75" customHeight="1">
      <c r="A13"/>
      <c r="B13"/>
      <c r="C13"/>
      <c r="D13"/>
      <c r="E13"/>
      <c r="F13"/>
      <c r="G13" t="s">
        <v>40</v>
      </c>
      <c r="H13"/>
      <c r="I13"/>
      <c r="J13">
        <v>243</v>
      </c>
      <c r="K13" t="s">
        <v>43</v>
      </c>
      <c r="L13" t="s">
        <v>37</v>
      </c>
      <c r="M13">
        <v>2</v>
      </c>
      <c r="N13" s="3187">
        <v>2</v>
      </c>
      <c r="O13" t="s">
        <v>44</v>
      </c>
      <c r="P13">
        <v>130</v>
      </c>
      <c r="Q13" s="2910" t="s">
        <v>83</v>
      </c>
      <c r="R13">
        <v>100</v>
      </c>
      <c r="S13">
        <v>48000000</v>
      </c>
      <c r="T13" t="s">
        <v>45</v>
      </c>
      <c r="U13" t="s">
        <v>46</v>
      </c>
      <c r="V13" s="34" t="s">
        <v>47</v>
      </c>
      <c r="W13">
        <v>48000000</v>
      </c>
      <c r="X13">
        <v>44800000</v>
      </c>
      <c r="Y13">
        <v>44800000</v>
      </c>
      <c r="Z13">
        <v>20</v>
      </c>
      <c r="AA13" t="s">
        <v>38</v>
      </c>
      <c r="AB13">
        <v>64149</v>
      </c>
      <c r="AC13">
        <f>AB13</f>
        <v>64149</v>
      </c>
      <c r="AD13">
        <v>72224</v>
      </c>
      <c r="AE13">
        <f>AD13</f>
        <v>72224</v>
      </c>
      <c r="AF13">
        <v>27477</v>
      </c>
      <c r="AG13">
        <f>AF13</f>
        <v>27477</v>
      </c>
      <c r="AH13">
        <v>86843</v>
      </c>
      <c r="AI13">
        <f>AH13</f>
        <v>86843</v>
      </c>
      <c r="AJ13">
        <v>236429</v>
      </c>
      <c r="AK13">
        <f>AJ13</f>
        <v>236429</v>
      </c>
      <c r="AL13">
        <v>81384</v>
      </c>
      <c r="AM13">
        <f>AL13</f>
        <v>81384</v>
      </c>
      <c r="AN13">
        <v>13208</v>
      </c>
      <c r="AO13">
        <f>AN13</f>
        <v>13208</v>
      </c>
      <c r="AP13">
        <v>1817</v>
      </c>
      <c r="AQ13">
        <f>AP13</f>
        <v>1817</v>
      </c>
      <c r="AR13"/>
      <c r="AS13"/>
      <c r="AT13"/>
      <c r="AU13"/>
      <c r="AV13">
        <v>16897</v>
      </c>
      <c r="AW13">
        <f>AV13</f>
        <v>16897</v>
      </c>
      <c r="AX13">
        <v>81384</v>
      </c>
      <c r="AY13">
        <f>AX13</f>
        <v>81384</v>
      </c>
      <c r="AZ13">
        <v>4</v>
      </c>
      <c r="BA13">
        <v>44800000</v>
      </c>
      <c r="BB13">
        <v>44800000</v>
      </c>
      <c r="BC13">
        <f>BA13/BB13</f>
        <v>1</v>
      </c>
      <c r="BD13" t="s">
        <v>64</v>
      </c>
      <c r="BE13" t="s">
        <v>123</v>
      </c>
      <c r="BF13">
        <v>42371</v>
      </c>
      <c r="BG13">
        <v>42417</v>
      </c>
      <c r="BH13" t="s">
        <v>48</v>
      </c>
      <c r="BI13">
        <v>42566</v>
      </c>
      <c r="BJ13" t="s">
        <v>49</v>
      </c>
    </row>
    <row r="14" spans="1:62" ht="77.25" customHeight="1">
      <c r="A14"/>
      <c r="B14"/>
      <c r="C14"/>
      <c r="D14"/>
      <c r="E14"/>
      <c r="F14"/>
      <c r="G14"/>
      <c r="H14"/>
      <c r="I14"/>
      <c r="J14"/>
      <c r="K14"/>
      <c r="L14"/>
      <c r="M14"/>
      <c r="N14" s="3188"/>
      <c r="O14"/>
      <c r="P14"/>
      <c r="Q14" s="3292"/>
      <c r="R14"/>
      <c r="S14"/>
      <c r="T14"/>
      <c r="U14"/>
      <c r="V14" s="35" t="s">
        <v>50</v>
      </c>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row>
    <row r="15" spans="1:62" s="10" customFormat="1" ht="78.75" customHeight="1">
      <c r="A15"/>
      <c r="B15"/>
      <c r="C15"/>
      <c r="D15"/>
      <c r="E15"/>
      <c r="F15"/>
      <c r="G15"/>
      <c r="H15"/>
      <c r="I15"/>
      <c r="J15"/>
      <c r="K15"/>
      <c r="L15"/>
      <c r="M15"/>
      <c r="N15" s="3188"/>
      <c r="O15"/>
      <c r="P15"/>
      <c r="Q15" s="3293"/>
      <c r="R15"/>
      <c r="S15"/>
      <c r="T15"/>
      <c r="U15" s="230" t="s">
        <v>51</v>
      </c>
      <c r="V15" s="33" t="s">
        <v>52</v>
      </c>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row>
    <row r="16" spans="1:62" s="10" customFormat="1" ht="15" customHeight="1">
      <c r="A16"/>
      <c r="B16"/>
      <c r="C16"/>
      <c r="D16"/>
      <c r="E16"/>
      <c r="F16"/>
      <c r="G16"/>
      <c r="H16"/>
      <c r="I16"/>
      <c r="J16"/>
      <c r="K16"/>
      <c r="L16"/>
      <c r="M16"/>
      <c r="N16" s="3188"/>
      <c r="O16" t="s">
        <v>53</v>
      </c>
      <c r="P16">
        <v>131</v>
      </c>
      <c r="Q16" t="s">
        <v>84</v>
      </c>
      <c r="R16">
        <v>100</v>
      </c>
      <c r="S16">
        <v>52000000</v>
      </c>
      <c r="T16" t="s">
        <v>54</v>
      </c>
      <c r="U16" t="s">
        <v>55</v>
      </c>
      <c r="V16" t="s">
        <v>56</v>
      </c>
      <c r="W16">
        <v>20000000</v>
      </c>
      <c r="X16">
        <f>8750000+11200000</f>
        <v>19950000</v>
      </c>
      <c r="Y16">
        <f>8750000+11200000</f>
        <v>19950000</v>
      </c>
      <c r="Z16">
        <v>20</v>
      </c>
      <c r="AA16" t="s">
        <v>38</v>
      </c>
      <c r="AB16">
        <v>64149</v>
      </c>
      <c r="AC16" s="3187">
        <v>64149</v>
      </c>
      <c r="AD16">
        <v>72224</v>
      </c>
      <c r="AE16" s="3187">
        <v>72224</v>
      </c>
      <c r="AF16">
        <v>27477</v>
      </c>
      <c r="AG16" s="3187">
        <v>27477</v>
      </c>
      <c r="AH16">
        <v>86843</v>
      </c>
      <c r="AI16" s="3187">
        <v>86843</v>
      </c>
      <c r="AJ16">
        <v>236429</v>
      </c>
      <c r="AK16" s="3203">
        <v>236429</v>
      </c>
      <c r="AL16">
        <v>81384</v>
      </c>
      <c r="AM16" s="3187">
        <v>81384</v>
      </c>
      <c r="AN16">
        <v>13208</v>
      </c>
      <c r="AO16" s="3187">
        <v>13208</v>
      </c>
      <c r="AP16">
        <v>1817</v>
      </c>
      <c r="AQ16" s="3187">
        <v>1817</v>
      </c>
      <c r="AR16"/>
      <c r="AS16" s="3187"/>
      <c r="AT16"/>
      <c r="AU16" s="3203"/>
      <c r="AV16">
        <v>16897</v>
      </c>
      <c r="AW16" s="3187">
        <v>16897</v>
      </c>
      <c r="AX16">
        <v>81384</v>
      </c>
      <c r="AY16" s="3187">
        <v>81384</v>
      </c>
      <c r="AZ16">
        <v>4</v>
      </c>
      <c r="BA16">
        <v>38150000</v>
      </c>
      <c r="BB16">
        <v>38150000</v>
      </c>
      <c r="BC16">
        <v>1</v>
      </c>
      <c r="BD16" t="s">
        <v>64</v>
      </c>
      <c r="BE16" t="s">
        <v>123</v>
      </c>
      <c r="BF16">
        <v>42598</v>
      </c>
      <c r="BG16">
        <v>42621</v>
      </c>
      <c r="BH16">
        <v>42735</v>
      </c>
      <c r="BI16">
        <v>42728</v>
      </c>
      <c r="BJ16" t="s">
        <v>49</v>
      </c>
    </row>
    <row r="17" spans="1:62" s="10" customFormat="1" ht="125.25" customHeight="1">
      <c r="A17"/>
      <c r="B17"/>
      <c r="C17"/>
      <c r="D17"/>
      <c r="E17"/>
      <c r="F17"/>
      <c r="G17"/>
      <c r="H17"/>
      <c r="I17"/>
      <c r="J17"/>
      <c r="K17"/>
      <c r="L17"/>
      <c r="M17"/>
      <c r="N17" s="3188"/>
      <c r="O17"/>
      <c r="P17"/>
      <c r="Q17"/>
      <c r="R17"/>
      <c r="S17"/>
      <c r="T17"/>
      <c r="U17"/>
      <c r="V17"/>
      <c r="W17"/>
      <c r="X17"/>
      <c r="Y17"/>
      <c r="Z17"/>
      <c r="AA17"/>
      <c r="AB17"/>
      <c r="AC17" s="3188"/>
      <c r="AD17"/>
      <c r="AE17" s="3188"/>
      <c r="AF17"/>
      <c r="AG17" s="3188"/>
      <c r="AH17"/>
      <c r="AI17" s="3188"/>
      <c r="AJ17"/>
      <c r="AK17" s="3195"/>
      <c r="AL17"/>
      <c r="AM17" s="3188"/>
      <c r="AN17"/>
      <c r="AO17" s="3188"/>
      <c r="AP17"/>
      <c r="AQ17" s="3188"/>
      <c r="AR17"/>
      <c r="AS17" s="3188"/>
      <c r="AT17"/>
      <c r="AU17" s="3195"/>
      <c r="AV17"/>
      <c r="AW17" s="3188"/>
      <c r="AX17"/>
      <c r="AY17" s="3188"/>
      <c r="AZ17"/>
      <c r="BA17"/>
      <c r="BB17"/>
      <c r="BC17"/>
      <c r="BD17"/>
      <c r="BE17"/>
      <c r="BF17"/>
      <c r="BG17"/>
      <c r="BH17"/>
      <c r="BI17"/>
      <c r="BJ17"/>
    </row>
    <row r="18" spans="1:62" s="10" customFormat="1" ht="91.5" customHeight="1">
      <c r="A18"/>
      <c r="B18"/>
      <c r="C18"/>
      <c r="D18"/>
      <c r="E18"/>
      <c r="F18"/>
      <c r="G18"/>
      <c r="H18"/>
      <c r="I18"/>
      <c r="J18"/>
      <c r="K18"/>
      <c r="L18"/>
      <c r="M18"/>
      <c r="N18" s="3188"/>
      <c r="O18"/>
      <c r="P18"/>
      <c r="Q18"/>
      <c r="R18"/>
      <c r="S18"/>
      <c r="T18"/>
      <c r="U18" t="s">
        <v>57</v>
      </c>
      <c r="V18" s="36" t="s">
        <v>58</v>
      </c>
      <c r="W18" s="231">
        <v>20000000</v>
      </c>
      <c r="X18" s="232">
        <v>12600000</v>
      </c>
      <c r="Y18" s="232">
        <v>12600000</v>
      </c>
      <c r="Z18"/>
      <c r="AA18"/>
      <c r="AB18"/>
      <c r="AC18" s="3188"/>
      <c r="AD18"/>
      <c r="AE18" s="3188"/>
      <c r="AF18"/>
      <c r="AG18" s="3188"/>
      <c r="AH18"/>
      <c r="AI18" s="3188"/>
      <c r="AJ18"/>
      <c r="AK18" s="3195"/>
      <c r="AL18"/>
      <c r="AM18" s="3188"/>
      <c r="AN18"/>
      <c r="AO18" s="3188"/>
      <c r="AP18"/>
      <c r="AQ18" s="3188"/>
      <c r="AR18"/>
      <c r="AS18" s="3188"/>
      <c r="AT18"/>
      <c r="AU18" s="3195"/>
      <c r="AV18"/>
      <c r="AW18" s="3188"/>
      <c r="AX18"/>
      <c r="AY18" s="3188"/>
      <c r="AZ18"/>
      <c r="BA18"/>
      <c r="BB18"/>
      <c r="BC18"/>
      <c r="BD18"/>
      <c r="BE18"/>
      <c r="BF18"/>
      <c r="BG18"/>
      <c r="BH18"/>
      <c r="BI18"/>
      <c r="BJ18"/>
    </row>
    <row r="19" spans="1:62" s="10" customFormat="1" ht="118.5" customHeight="1">
      <c r="A19"/>
      <c r="B19"/>
      <c r="C19"/>
      <c r="D19"/>
      <c r="E19"/>
      <c r="F19"/>
      <c r="G19"/>
      <c r="H19"/>
      <c r="I19"/>
      <c r="J19"/>
      <c r="K19"/>
      <c r="L19"/>
      <c r="M19"/>
      <c r="N19" s="3188"/>
      <c r="O19"/>
      <c r="P19"/>
      <c r="Q19"/>
      <c r="R19"/>
      <c r="S19"/>
      <c r="T19"/>
      <c r="U19"/>
      <c r="V19" s="34" t="s">
        <v>59</v>
      </c>
      <c r="W19" s="11">
        <v>0</v>
      </c>
      <c r="X19" s="11">
        <v>0</v>
      </c>
      <c r="Y19" s="11">
        <v>0</v>
      </c>
      <c r="Z19"/>
      <c r="AA19"/>
      <c r="AB19"/>
      <c r="AC19" s="3188"/>
      <c r="AD19"/>
      <c r="AE19" s="3188"/>
      <c r="AF19"/>
      <c r="AG19" s="3188"/>
      <c r="AH19"/>
      <c r="AI19" s="3188"/>
      <c r="AJ19"/>
      <c r="AK19" s="3195"/>
      <c r="AL19"/>
      <c r="AM19" s="3188"/>
      <c r="AN19"/>
      <c r="AO19" s="3188"/>
      <c r="AP19"/>
      <c r="AQ19" s="3188"/>
      <c r="AR19"/>
      <c r="AS19" s="3188"/>
      <c r="AT19"/>
      <c r="AU19" s="3195"/>
      <c r="AV19"/>
      <c r="AW19" s="3188"/>
      <c r="AX19"/>
      <c r="AY19" s="3188"/>
      <c r="AZ19"/>
      <c r="BA19"/>
      <c r="BB19"/>
      <c r="BC19"/>
      <c r="BD19"/>
      <c r="BE19"/>
      <c r="BF19"/>
      <c r="BG19"/>
      <c r="BH19"/>
      <c r="BI19"/>
      <c r="BJ19"/>
    </row>
    <row r="20" spans="1:62" ht="75" customHeight="1" thickBot="1">
      <c r="A20"/>
      <c r="B20"/>
      <c r="C20"/>
      <c r="D20"/>
      <c r="E20"/>
      <c r="F20"/>
      <c r="G20"/>
      <c r="H20"/>
      <c r="I20"/>
      <c r="J20"/>
      <c r="K20"/>
      <c r="L20"/>
      <c r="M20"/>
      <c r="N20"/>
      <c r="O20"/>
      <c r="P20"/>
      <c r="Q20"/>
      <c r="R20"/>
      <c r="S20"/>
      <c r="T20"/>
      <c r="U20"/>
      <c r="V20" s="37" t="s">
        <v>60</v>
      </c>
      <c r="W20" s="12">
        <v>12000000</v>
      </c>
      <c r="X20" s="126">
        <f>5600000</f>
        <v>5600000</v>
      </c>
      <c r="Y20" s="126">
        <f>5600000</f>
        <v>5600000</v>
      </c>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row>
    <row r="21" spans="1:62" ht="16.5" customHeight="1" thickBo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row>
    <row r="22" spans="1:62" ht="16.5" customHeight="1" thickBot="1">
      <c r="A22" t="s">
        <v>96</v>
      </c>
      <c r="B22"/>
      <c r="C22"/>
      <c r="D22"/>
      <c r="E22"/>
      <c r="F22"/>
      <c r="G22"/>
      <c r="H22"/>
      <c r="I22"/>
      <c r="J22"/>
      <c r="K22"/>
      <c r="L22"/>
      <c r="M22"/>
      <c r="N22"/>
      <c r="O22"/>
      <c r="P22"/>
      <c r="Q22"/>
      <c r="R22"/>
      <c r="S22" s="167">
        <f>SUM(S13:S20)</f>
        <v>100000000</v>
      </c>
      <c r="T22"/>
      <c r="U22"/>
      <c r="V22"/>
      <c r="W22" s="113">
        <f>SUM(W13:W20)</f>
        <v>100000000</v>
      </c>
      <c r="X22" s="203">
        <f>SUM(X13:X20)</f>
        <v>82950000</v>
      </c>
      <c r="Y22" s="203">
        <f>SUM(Y13:Y20)</f>
        <v>82950000</v>
      </c>
      <c r="Z22" s="226"/>
      <c r="AA22" s="227"/>
      <c r="AB22" s="227"/>
      <c r="AC22" s="206"/>
      <c r="AD22" s="227"/>
      <c r="AE22" s="206"/>
      <c r="AF22" s="227"/>
      <c r="AG22" s="206"/>
      <c r="AH22" s="227"/>
      <c r="AI22" s="206"/>
      <c r="AJ22" s="227"/>
      <c r="AK22" s="206"/>
      <c r="AL22" s="227"/>
      <c r="AM22" s="206"/>
      <c r="AN22" s="227"/>
      <c r="AO22" s="206"/>
      <c r="AP22" s="227"/>
      <c r="AQ22" s="206"/>
      <c r="AR22" s="227"/>
      <c r="AS22" s="206"/>
      <c r="AT22" s="227"/>
      <c r="AU22" s="206"/>
      <c r="AV22" s="227"/>
      <c r="AW22" s="206"/>
      <c r="AX22" s="227"/>
      <c r="AY22" s="206"/>
      <c r="AZ22" s="227"/>
      <c r="BA22" s="227"/>
      <c r="BB22" s="227"/>
      <c r="BC22" s="227"/>
      <c r="BD22" s="227"/>
      <c r="BE22" s="227"/>
      <c r="BF22" s="227"/>
      <c r="BG22" s="206"/>
      <c r="BH22" s="227"/>
      <c r="BI22" s="206"/>
      <c r="BJ22" s="228"/>
    </row>
    <row r="23" spans="1:62" ht="16.5" customHeight="1">
      <c r="A23" s="229"/>
      <c r="B23" s="229"/>
      <c r="C23" s="229"/>
      <c r="D23" s="229"/>
      <c r="E23" s="229"/>
      <c r="F23" s="229"/>
      <c r="G23" s="229"/>
      <c r="H23" s="229"/>
      <c r="I23" s="229"/>
      <c r="J23" s="229"/>
      <c r="K23" s="229"/>
      <c r="L23" s="229"/>
      <c r="M23" s="229"/>
      <c r="N23" s="201"/>
      <c r="O23" s="229"/>
      <c r="P23" s="229"/>
      <c r="Q23" s="229"/>
      <c r="R23" s="229"/>
      <c r="S23" s="229"/>
      <c r="T23" s="229"/>
      <c r="U23" s="229"/>
      <c r="V23" s="229"/>
      <c r="W23" s="229"/>
      <c r="X23" s="201"/>
      <c r="Y23" s="201"/>
      <c r="Z23" s="229"/>
      <c r="AA23" s="229"/>
      <c r="AB23" s="229"/>
      <c r="AC23" s="201"/>
      <c r="AD23" s="229"/>
      <c r="AE23" s="201"/>
      <c r="AF23" s="229"/>
      <c r="AG23" s="201"/>
      <c r="AH23" s="229"/>
      <c r="AI23" s="201"/>
      <c r="AJ23" s="229"/>
      <c r="AK23" s="201"/>
      <c r="AL23" s="229"/>
      <c r="AM23" s="201"/>
      <c r="AN23" s="229"/>
      <c r="AO23" s="201"/>
      <c r="AP23" s="229"/>
      <c r="AQ23" s="201"/>
      <c r="AR23" s="229"/>
      <c r="AS23" s="201"/>
      <c r="AT23" s="229"/>
      <c r="AU23" s="201"/>
      <c r="AV23" s="229"/>
      <c r="AW23" s="201"/>
      <c r="AX23" s="229"/>
      <c r="AY23" s="201"/>
      <c r="AZ23" s="229"/>
      <c r="BA23" s="229"/>
      <c r="BB23" s="229"/>
      <c r="BC23" s="229"/>
      <c r="BD23" s="229"/>
      <c r="BE23" s="229"/>
      <c r="BF23" s="229"/>
      <c r="BG23" s="201"/>
      <c r="BH23" s="229"/>
      <c r="BI23" s="201"/>
      <c r="BJ23" s="229"/>
    </row>
    <row r="24" spans="1:62" ht="1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row>
    <row r="25" spans="3:26" ht="15">
      <c r="C25" t="s">
        <v>61</v>
      </c>
      <c r="D25"/>
      <c r="E25"/>
      <c r="F25"/>
      <c r="G25"/>
      <c r="H25"/>
      <c r="I25"/>
      <c r="J25"/>
      <c r="V25" s="163"/>
      <c r="W25" s="164"/>
      <c r="X25" s="173"/>
      <c r="Y25" s="173"/>
      <c r="Z25" s="163"/>
    </row>
    <row r="26" spans="3:26" ht="14.25">
      <c r="C26" t="s">
        <v>62</v>
      </c>
      <c r="D26"/>
      <c r="E26"/>
      <c r="F26"/>
      <c r="G26"/>
      <c r="H26"/>
      <c r="I26"/>
      <c r="J26"/>
      <c r="V26" s="163"/>
      <c r="W26" s="163"/>
      <c r="X26" s="204"/>
      <c r="Y26" s="204"/>
      <c r="Z26" s="163"/>
    </row>
    <row r="27" spans="22:26" ht="14.25">
      <c r="V27" s="163"/>
      <c r="W27" s="163"/>
      <c r="X27" s="204"/>
      <c r="Y27" s="204"/>
      <c r="Z27" s="163"/>
    </row>
    <row r="28" spans="22:26" ht="14.25">
      <c r="V28" s="163"/>
      <c r="W28" s="163"/>
      <c r="X28" s="204"/>
      <c r="Y28" s="204"/>
      <c r="Z28" s="163"/>
    </row>
    <row r="29" spans="22:26" ht="14.25">
      <c r="V29" s="163"/>
      <c r="W29" s="163"/>
      <c r="X29" s="204"/>
      <c r="Y29" s="204"/>
      <c r="Z29" s="163"/>
    </row>
    <row r="30" spans="22:26" ht="14.25">
      <c r="V30" s="163"/>
      <c r="W30" s="163"/>
      <c r="X30" s="204"/>
      <c r="Y30" s="204"/>
      <c r="Z30" s="163"/>
    </row>
    <row r="31" spans="22:26" ht="14.25">
      <c r="V31" s="163"/>
      <c r="W31" s="163"/>
      <c r="X31" s="204"/>
      <c r="Y31" s="204"/>
      <c r="Z31" s="163"/>
    </row>
  </sheetData>
  <sheetProtection/>
  <mergeCells count="163">
    <mergeCell ref="Q5:BJ5"/>
    <mergeCell ref="Q6:AA6"/>
    <mergeCell ref="BF6:BJ6"/>
    <mergeCell ref="T7:T9"/>
    <mergeCell ref="U7:U9"/>
    <mergeCell ref="H7:I9"/>
    <mergeCell ref="J7:J9"/>
    <mergeCell ref="K7:K9"/>
    <mergeCell ref="L7:L9"/>
    <mergeCell ref="M7:N8"/>
    <mergeCell ref="O7:O9"/>
    <mergeCell ref="BH7:BI8"/>
    <mergeCell ref="BJ7:BJ9"/>
    <mergeCell ref="AX8:AY8"/>
    <mergeCell ref="AZ8:AZ9"/>
    <mergeCell ref="BA8:BA9"/>
    <mergeCell ref="BB8:BB9"/>
    <mergeCell ref="BC8:BC9"/>
    <mergeCell ref="A1:BF4"/>
    <mergeCell ref="A5:M6"/>
    <mergeCell ref="AB6:AY6"/>
    <mergeCell ref="A7:A9"/>
    <mergeCell ref="B7:C9"/>
    <mergeCell ref="D7:D9"/>
    <mergeCell ref="E7:F9"/>
    <mergeCell ref="G7:G9"/>
    <mergeCell ref="AZ7:BE7"/>
    <mergeCell ref="BF7:BG8"/>
    <mergeCell ref="AB8:AC8"/>
    <mergeCell ref="AD8:AE8"/>
    <mergeCell ref="AF8:AG8"/>
    <mergeCell ref="AH8:AI8"/>
    <mergeCell ref="AJ8:AK8"/>
    <mergeCell ref="AL8:AM8"/>
    <mergeCell ref="AB7:AM7"/>
    <mergeCell ref="AN7:AY7"/>
    <mergeCell ref="AN8:AO8"/>
    <mergeCell ref="AP8:AQ8"/>
    <mergeCell ref="AR8:AS8"/>
    <mergeCell ref="AT8:AU8"/>
    <mergeCell ref="BD8:BD9"/>
    <mergeCell ref="BE8:BE9"/>
    <mergeCell ref="A11:C20"/>
    <mergeCell ref="E11:L11"/>
    <mergeCell ref="D12:F20"/>
    <mergeCell ref="G13:G20"/>
    <mergeCell ref="H13:I20"/>
    <mergeCell ref="J13:J20"/>
    <mergeCell ref="K13:K20"/>
    <mergeCell ref="L13:L20"/>
    <mergeCell ref="AV8:AW8"/>
    <mergeCell ref="V7:V9"/>
    <mergeCell ref="W7:Y8"/>
    <mergeCell ref="Z7:Z9"/>
    <mergeCell ref="AA7:AA9"/>
    <mergeCell ref="P7:P9"/>
    <mergeCell ref="Q7:Q9"/>
    <mergeCell ref="R7:R9"/>
    <mergeCell ref="S7:S9"/>
    <mergeCell ref="S13:S15"/>
    <mergeCell ref="T13:T15"/>
    <mergeCell ref="U13:U14"/>
    <mergeCell ref="W13:W15"/>
    <mergeCell ref="X13:X15"/>
    <mergeCell ref="Y13:Y15"/>
    <mergeCell ref="M13:M20"/>
    <mergeCell ref="N13:N20"/>
    <mergeCell ref="O13:O15"/>
    <mergeCell ref="P13:P15"/>
    <mergeCell ref="Q13:Q15"/>
    <mergeCell ref="R13:R15"/>
    <mergeCell ref="AF13:AF15"/>
    <mergeCell ref="AG13:AG15"/>
    <mergeCell ref="AH13:AH15"/>
    <mergeCell ref="AI13:AI15"/>
    <mergeCell ref="AD16:AD20"/>
    <mergeCell ref="AE16:AE20"/>
    <mergeCell ref="AF16:AF20"/>
    <mergeCell ref="AG16:AG20"/>
    <mergeCell ref="AH16:AH20"/>
    <mergeCell ref="AI16:AI20"/>
    <mergeCell ref="X16:X17"/>
    <mergeCell ref="Y16:Y17"/>
    <mergeCell ref="Z16:Z20"/>
    <mergeCell ref="AA16:AA20"/>
    <mergeCell ref="AB16:AB20"/>
    <mergeCell ref="AC16:AC20"/>
    <mergeCell ref="AJ13:AJ15"/>
    <mergeCell ref="AK13:AK15"/>
    <mergeCell ref="Z13:Z15"/>
    <mergeCell ref="AA13:AA15"/>
    <mergeCell ref="AB13:AB15"/>
    <mergeCell ref="AC13:AC15"/>
    <mergeCell ref="AD13:AD15"/>
    <mergeCell ref="AE13:AE15"/>
    <mergeCell ref="AT13:AT15"/>
    <mergeCell ref="AU13:AU15"/>
    <mergeCell ref="AV13:AV15"/>
    <mergeCell ref="AW13:AW15"/>
    <mergeCell ref="AL13:AL15"/>
    <mergeCell ref="AM13:AM15"/>
    <mergeCell ref="AN13:AN15"/>
    <mergeCell ref="AO13:AO15"/>
    <mergeCell ref="AP13:AP15"/>
    <mergeCell ref="AQ13:AQ15"/>
    <mergeCell ref="BJ13:BJ15"/>
    <mergeCell ref="O16:O20"/>
    <mergeCell ref="P16:P20"/>
    <mergeCell ref="Q16:Q20"/>
    <mergeCell ref="R16:R20"/>
    <mergeCell ref="S16:S20"/>
    <mergeCell ref="T16:T20"/>
    <mergeCell ref="U16:U17"/>
    <mergeCell ref="V16:V17"/>
    <mergeCell ref="W16:W17"/>
    <mergeCell ref="BD13:BD15"/>
    <mergeCell ref="BE13:BE15"/>
    <mergeCell ref="BF13:BF15"/>
    <mergeCell ref="BG13:BG15"/>
    <mergeCell ref="BH13:BH15"/>
    <mergeCell ref="BI13:BI15"/>
    <mergeCell ref="AX13:AX15"/>
    <mergeCell ref="AY13:AY15"/>
    <mergeCell ref="AZ13:AZ15"/>
    <mergeCell ref="BA13:BA15"/>
    <mergeCell ref="BB13:BB15"/>
    <mergeCell ref="BC13:BC15"/>
    <mergeCell ref="AR13:AR15"/>
    <mergeCell ref="AS13:AS15"/>
    <mergeCell ref="AR16:AR20"/>
    <mergeCell ref="AS16:AS20"/>
    <mergeCell ref="AT16:AT20"/>
    <mergeCell ref="AU16:AU20"/>
    <mergeCell ref="AJ16:AJ20"/>
    <mergeCell ref="AK16:AK20"/>
    <mergeCell ref="AL16:AL20"/>
    <mergeCell ref="AM16:AM20"/>
    <mergeCell ref="AN16:AN20"/>
    <mergeCell ref="AO16:AO20"/>
    <mergeCell ref="A24:BJ24"/>
    <mergeCell ref="C25:J25"/>
    <mergeCell ref="C26:J26"/>
    <mergeCell ref="BH16:BH20"/>
    <mergeCell ref="BI16:BI20"/>
    <mergeCell ref="BJ16:BJ20"/>
    <mergeCell ref="U18:U20"/>
    <mergeCell ref="A21:BJ21"/>
    <mergeCell ref="A22:R22"/>
    <mergeCell ref="T22:V22"/>
    <mergeCell ref="BB16:BB20"/>
    <mergeCell ref="BC16:BC20"/>
    <mergeCell ref="BD16:BD20"/>
    <mergeCell ref="BE16:BE20"/>
    <mergeCell ref="BF16:BF20"/>
    <mergeCell ref="BG16:BG20"/>
    <mergeCell ref="AV16:AV20"/>
    <mergeCell ref="AW16:AW20"/>
    <mergeCell ref="AX16:AX20"/>
    <mergeCell ref="AY16:AY20"/>
    <mergeCell ref="AZ16:AZ20"/>
    <mergeCell ref="BA16:BA20"/>
    <mergeCell ref="AP16:AP20"/>
    <mergeCell ref="AQ16:AQ20"/>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CA146"/>
  <sheetViews>
    <sheetView showGridLines="0" zoomScale="55" zoomScaleNormal="55" zoomScaleSheetLayoutView="30" zoomScalePageLayoutView="0" workbookViewId="0" topLeftCell="N1">
      <selection activeCell="W9" sqref="W9:Y9"/>
    </sheetView>
  </sheetViews>
  <sheetFormatPr defaultColWidth="11.421875" defaultRowHeight="15"/>
  <cols>
    <col min="1" max="1" width="14.7109375" style="4" customWidth="1"/>
    <col min="2" max="2" width="10.7109375" style="4" customWidth="1"/>
    <col min="3" max="3" width="8.28125" style="4" customWidth="1"/>
    <col min="4" max="4" width="14.00390625" style="4" customWidth="1"/>
    <col min="5" max="5" width="7.421875" style="4" customWidth="1"/>
    <col min="6" max="6" width="11.140625" style="4" customWidth="1"/>
    <col min="7" max="7" width="7.57421875" style="4" customWidth="1"/>
    <col min="8" max="8" width="8.57421875" style="4" customWidth="1"/>
    <col min="9" max="9" width="11.00390625" style="4" customWidth="1"/>
    <col min="10" max="10" width="9.57421875" style="4" customWidth="1"/>
    <col min="11" max="11" width="31.28125" style="7" customWidth="1"/>
    <col min="12" max="12" width="16.28125" style="478" customWidth="1"/>
    <col min="13" max="13" width="13.28125" style="478" customWidth="1"/>
    <col min="14" max="14" width="13.28125" style="598" customWidth="1"/>
    <col min="15" max="15" width="26.8515625" style="7" customWidth="1"/>
    <col min="16" max="16" width="14.00390625" style="478" customWidth="1"/>
    <col min="17" max="17" width="28.140625" style="7" customWidth="1"/>
    <col min="18" max="18" width="10.00390625" style="478" customWidth="1"/>
    <col min="19" max="19" width="28.7109375" style="7" customWidth="1"/>
    <col min="20" max="20" width="31.421875" style="7" customWidth="1"/>
    <col min="21" max="21" width="35.00390625" style="7" customWidth="1"/>
    <col min="22" max="22" width="31.28125" style="7" customWidth="1"/>
    <col min="23" max="23" width="29.00390625" style="7" customWidth="1"/>
    <col min="24" max="24" width="29.421875" style="600" customWidth="1"/>
    <col min="25" max="25" width="29.28125" style="600" customWidth="1"/>
    <col min="26" max="26" width="15.28125" style="478" customWidth="1"/>
    <col min="27" max="27" width="19.421875" style="7" customWidth="1"/>
    <col min="28" max="28" width="10.140625" style="787" customWidth="1"/>
    <col min="29" max="29" width="10.140625" style="1380" customWidth="1"/>
    <col min="30" max="30" width="10.140625" style="787" customWidth="1"/>
    <col min="31" max="31" width="10.140625" style="1380" customWidth="1"/>
    <col min="32" max="32" width="10.140625" style="787" customWidth="1"/>
    <col min="33" max="33" width="10.140625" style="1380" customWidth="1"/>
    <col min="34" max="34" width="10.140625" style="787" customWidth="1"/>
    <col min="35" max="35" width="10.140625" style="1380" customWidth="1"/>
    <col min="36" max="36" width="10.140625" style="787" customWidth="1"/>
    <col min="37" max="37" width="10.140625" style="1380" customWidth="1"/>
    <col min="38" max="38" width="10.140625" style="787" customWidth="1"/>
    <col min="39" max="39" width="10.140625" style="1380" customWidth="1"/>
    <col min="40" max="40" width="10.140625" style="787" customWidth="1"/>
    <col min="41" max="41" width="10.140625" style="1380" customWidth="1"/>
    <col min="42" max="42" width="10.140625" style="787" customWidth="1"/>
    <col min="43" max="43" width="10.140625" style="1380" customWidth="1"/>
    <col min="44" max="44" width="10.140625" style="787" customWidth="1"/>
    <col min="45" max="45" width="10.140625" style="1380" customWidth="1"/>
    <col min="46" max="46" width="10.140625" style="787" customWidth="1"/>
    <col min="47" max="47" width="10.140625" style="1380" customWidth="1"/>
    <col min="48" max="48" width="10.140625" style="787" customWidth="1"/>
    <col min="49" max="49" width="10.140625" style="1380" customWidth="1"/>
    <col min="50" max="50" width="10.140625" style="787" customWidth="1"/>
    <col min="51" max="51" width="10.140625" style="1380" customWidth="1"/>
    <col min="52" max="52" width="21.140625" style="4" customWidth="1"/>
    <col min="53" max="53" width="35.00390625" style="2064" customWidth="1"/>
    <col min="54" max="54" width="28.8515625" style="2064" customWidth="1"/>
    <col min="55" max="55" width="21.140625" style="1381" customWidth="1"/>
    <col min="56" max="57" width="21.140625" style="787" customWidth="1"/>
    <col min="58" max="58" width="22.7109375" style="21" customWidth="1"/>
    <col min="59" max="59" width="22.7109375" style="482" customWidth="1"/>
    <col min="60" max="60" width="22.7109375" style="22" customWidth="1"/>
    <col min="61" max="61" width="22.7109375" style="483" customWidth="1"/>
    <col min="62" max="62" width="28.7109375" style="223" customWidth="1"/>
    <col min="63" max="63" width="21.421875" style="477" customWidth="1"/>
    <col min="64" max="64" width="15.7109375" style="477" bestFit="1" customWidth="1"/>
    <col min="65" max="16384" width="11.421875" style="477" customWidth="1"/>
  </cols>
  <sheetData>
    <row r="1" spans="1:62" s="4" customFormat="1" ht="15" customHeight="1">
      <c r="A1" s="3047" t="s">
        <v>111</v>
      </c>
      <c r="B1" s="3047"/>
      <c r="C1" s="3047"/>
      <c r="D1" s="3047"/>
      <c r="E1" s="3047"/>
      <c r="F1" s="3047"/>
      <c r="G1" s="3047"/>
      <c r="H1" s="3047"/>
      <c r="I1" s="3047"/>
      <c r="J1" s="3047"/>
      <c r="K1" s="3047"/>
      <c r="L1" s="3047"/>
      <c r="M1" s="3047"/>
      <c r="N1" s="3047"/>
      <c r="O1" s="3047"/>
      <c r="P1" s="3047"/>
      <c r="Q1" s="3047"/>
      <c r="R1" s="3047"/>
      <c r="S1" s="3047"/>
      <c r="T1" s="3047"/>
      <c r="U1" s="3047"/>
      <c r="V1" s="3047"/>
      <c r="W1" s="3047"/>
      <c r="X1" s="3047"/>
      <c r="Y1" s="3047"/>
      <c r="Z1" s="3047"/>
      <c r="AA1" s="3047"/>
      <c r="AB1" s="3047"/>
      <c r="AC1" s="3047"/>
      <c r="AD1" s="3047"/>
      <c r="AE1" s="3047"/>
      <c r="AF1" s="3047"/>
      <c r="AG1" s="3047"/>
      <c r="AH1" s="3047"/>
      <c r="AI1" s="3047"/>
      <c r="AJ1" s="3047"/>
      <c r="AK1" s="3047"/>
      <c r="AL1" s="3047"/>
      <c r="AM1" s="3047"/>
      <c r="AN1" s="3047"/>
      <c r="AO1" s="3047"/>
      <c r="AP1" s="3047"/>
      <c r="AQ1" s="3047"/>
      <c r="AR1" s="3047"/>
      <c r="AS1" s="3047"/>
      <c r="AT1" s="3047"/>
      <c r="AU1" s="3047"/>
      <c r="AV1" s="3047"/>
      <c r="AW1" s="3047"/>
      <c r="AX1" s="3047"/>
      <c r="AY1" s="3047"/>
      <c r="AZ1" s="3047"/>
      <c r="BA1" s="3047"/>
      <c r="BB1" s="3047"/>
      <c r="BC1" s="3047"/>
      <c r="BD1" s="3047"/>
      <c r="BE1" s="3047"/>
      <c r="BF1" s="3047"/>
      <c r="BG1" s="2875"/>
      <c r="BI1" s="2633" t="s">
        <v>97</v>
      </c>
      <c r="BJ1" s="2633" t="s">
        <v>112</v>
      </c>
    </row>
    <row r="2" spans="1:62" s="4" customFormat="1" ht="15">
      <c r="A2" s="3047"/>
      <c r="B2" s="3047"/>
      <c r="C2" s="3047"/>
      <c r="D2" s="3047"/>
      <c r="E2" s="3047"/>
      <c r="F2" s="3047"/>
      <c r="G2" s="3047"/>
      <c r="H2" s="3047"/>
      <c r="I2" s="3047"/>
      <c r="J2" s="3047"/>
      <c r="K2" s="3047"/>
      <c r="L2" s="3047"/>
      <c r="M2" s="3047"/>
      <c r="N2" s="3047"/>
      <c r="O2" s="3047"/>
      <c r="P2" s="3047"/>
      <c r="Q2" s="3047"/>
      <c r="R2" s="3047"/>
      <c r="S2" s="3047"/>
      <c r="T2" s="3047"/>
      <c r="U2" s="3047"/>
      <c r="V2" s="3047"/>
      <c r="W2" s="3047"/>
      <c r="X2" s="3047"/>
      <c r="Y2" s="3047"/>
      <c r="Z2" s="3047"/>
      <c r="AA2" s="3047"/>
      <c r="AB2" s="3047"/>
      <c r="AC2" s="3047"/>
      <c r="AD2" s="3047"/>
      <c r="AE2" s="3047"/>
      <c r="AF2" s="3047"/>
      <c r="AG2" s="3047"/>
      <c r="AH2" s="3047"/>
      <c r="AI2" s="3047"/>
      <c r="AJ2" s="3047"/>
      <c r="AK2" s="3047"/>
      <c r="AL2" s="3047"/>
      <c r="AM2" s="3047"/>
      <c r="AN2" s="3047"/>
      <c r="AO2" s="3047"/>
      <c r="AP2" s="3047"/>
      <c r="AQ2" s="3047"/>
      <c r="AR2" s="3047"/>
      <c r="AS2" s="3047"/>
      <c r="AT2" s="3047"/>
      <c r="AU2" s="3047"/>
      <c r="AV2" s="3047"/>
      <c r="AW2" s="3047"/>
      <c r="AX2" s="3047"/>
      <c r="AY2" s="3047"/>
      <c r="AZ2" s="3047"/>
      <c r="BA2" s="3047"/>
      <c r="BB2" s="3047"/>
      <c r="BC2" s="3047"/>
      <c r="BD2" s="3047"/>
      <c r="BE2" s="3047"/>
      <c r="BF2" s="3047"/>
      <c r="BG2" s="2875"/>
      <c r="BI2" s="2634" t="s">
        <v>98</v>
      </c>
      <c r="BJ2" s="2635">
        <v>5</v>
      </c>
    </row>
    <row r="3" spans="1:62" s="4" customFormat="1" ht="15">
      <c r="A3" s="3047"/>
      <c r="B3" s="3047"/>
      <c r="C3" s="3047"/>
      <c r="D3" s="3047"/>
      <c r="E3" s="3047"/>
      <c r="F3" s="3047"/>
      <c r="G3" s="3047"/>
      <c r="H3" s="3047"/>
      <c r="I3" s="3047"/>
      <c r="J3" s="3047"/>
      <c r="K3" s="3047"/>
      <c r="L3" s="3047"/>
      <c r="M3" s="3047"/>
      <c r="N3" s="3047"/>
      <c r="O3" s="3047"/>
      <c r="P3" s="3047"/>
      <c r="Q3" s="3047"/>
      <c r="R3" s="3047"/>
      <c r="S3" s="3047"/>
      <c r="T3" s="3047"/>
      <c r="U3" s="3047"/>
      <c r="V3" s="3047"/>
      <c r="W3" s="3047"/>
      <c r="X3" s="3047"/>
      <c r="Y3" s="3047"/>
      <c r="Z3" s="3047"/>
      <c r="AA3" s="3047"/>
      <c r="AB3" s="3047"/>
      <c r="AC3" s="3047"/>
      <c r="AD3" s="3047"/>
      <c r="AE3" s="3047"/>
      <c r="AF3" s="3047"/>
      <c r="AG3" s="3047"/>
      <c r="AH3" s="3047"/>
      <c r="AI3" s="3047"/>
      <c r="AJ3" s="3047"/>
      <c r="AK3" s="3047"/>
      <c r="AL3" s="3047"/>
      <c r="AM3" s="3047"/>
      <c r="AN3" s="3047"/>
      <c r="AO3" s="3047"/>
      <c r="AP3" s="3047"/>
      <c r="AQ3" s="3047"/>
      <c r="AR3" s="3047"/>
      <c r="AS3" s="3047"/>
      <c r="AT3" s="3047"/>
      <c r="AU3" s="3047"/>
      <c r="AV3" s="3047"/>
      <c r="AW3" s="3047"/>
      <c r="AX3" s="3047"/>
      <c r="AY3" s="3047"/>
      <c r="AZ3" s="3047"/>
      <c r="BA3" s="3047"/>
      <c r="BB3" s="3047"/>
      <c r="BC3" s="3047"/>
      <c r="BD3" s="3047"/>
      <c r="BE3" s="3047"/>
      <c r="BF3" s="3047"/>
      <c r="BG3" s="2875"/>
      <c r="BI3" s="2633" t="s">
        <v>99</v>
      </c>
      <c r="BJ3" s="2636" t="s">
        <v>2156</v>
      </c>
    </row>
    <row r="4" spans="1:62" s="24" customFormat="1" ht="21" customHeight="1">
      <c r="A4" s="3048"/>
      <c r="B4" s="3048"/>
      <c r="C4" s="3048"/>
      <c r="D4" s="3048"/>
      <c r="E4" s="3048"/>
      <c r="F4" s="3048"/>
      <c r="G4" s="3048"/>
      <c r="H4" s="3048"/>
      <c r="I4" s="3048"/>
      <c r="J4" s="3048"/>
      <c r="K4" s="3048"/>
      <c r="L4" s="3048"/>
      <c r="M4" s="3048"/>
      <c r="N4" s="3048"/>
      <c r="O4" s="3048"/>
      <c r="P4" s="3048"/>
      <c r="Q4" s="3048"/>
      <c r="R4" s="3048"/>
      <c r="S4" s="3048"/>
      <c r="T4" s="3048"/>
      <c r="U4" s="3048"/>
      <c r="V4" s="3048"/>
      <c r="W4" s="3048"/>
      <c r="X4" s="3048"/>
      <c r="Y4" s="3048"/>
      <c r="Z4" s="3048"/>
      <c r="AA4" s="3048"/>
      <c r="AB4" s="3048"/>
      <c r="AC4" s="3048"/>
      <c r="AD4" s="3048"/>
      <c r="AE4" s="3048"/>
      <c r="AF4" s="3048"/>
      <c r="AG4" s="3048"/>
      <c r="AH4" s="3048"/>
      <c r="AI4" s="3048"/>
      <c r="AJ4" s="3048"/>
      <c r="AK4" s="3048"/>
      <c r="AL4" s="3048"/>
      <c r="AM4" s="3048"/>
      <c r="AN4" s="3048"/>
      <c r="AO4" s="3048"/>
      <c r="AP4" s="3048"/>
      <c r="AQ4" s="3048"/>
      <c r="AR4" s="3048"/>
      <c r="AS4" s="3048"/>
      <c r="AT4" s="3048"/>
      <c r="AU4" s="3048"/>
      <c r="AV4" s="3048"/>
      <c r="AW4" s="3048"/>
      <c r="AX4" s="3048"/>
      <c r="AY4" s="3048"/>
      <c r="AZ4" s="3048"/>
      <c r="BA4" s="3048"/>
      <c r="BB4" s="3048"/>
      <c r="BC4" s="3048"/>
      <c r="BD4" s="3048"/>
      <c r="BE4" s="3048"/>
      <c r="BF4" s="3048"/>
      <c r="BG4" s="2876"/>
      <c r="BI4" s="842" t="s">
        <v>100</v>
      </c>
      <c r="BJ4" s="2637" t="s">
        <v>113</v>
      </c>
    </row>
    <row r="5" spans="1:62" s="4" customFormat="1" ht="15">
      <c r="A5" s="3049" t="s">
        <v>0</v>
      </c>
      <c r="B5" s="3049"/>
      <c r="C5" s="3049"/>
      <c r="D5" s="3049"/>
      <c r="E5" s="3049"/>
      <c r="F5" s="3049"/>
      <c r="G5" s="3049"/>
      <c r="H5" s="3049"/>
      <c r="I5" s="3049"/>
      <c r="J5" s="3049"/>
      <c r="K5" s="3049"/>
      <c r="L5" s="3049"/>
      <c r="M5" s="3049"/>
      <c r="N5" s="2877"/>
      <c r="O5" s="2877"/>
      <c r="P5" s="2877"/>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c r="BH5" s="3049"/>
      <c r="BI5" s="3049"/>
      <c r="BJ5" s="3049"/>
    </row>
    <row r="6" spans="1:62" s="4" customFormat="1" ht="14.25" customHeight="1" thickBot="1">
      <c r="A6" s="3049"/>
      <c r="B6" s="3049"/>
      <c r="C6" s="3049"/>
      <c r="D6" s="3049"/>
      <c r="E6" s="3049"/>
      <c r="F6" s="3049"/>
      <c r="G6" s="3049"/>
      <c r="H6" s="3049"/>
      <c r="I6" s="3049"/>
      <c r="J6" s="3049"/>
      <c r="K6" s="3049"/>
      <c r="L6" s="3049"/>
      <c r="M6" s="3049"/>
      <c r="N6" s="2877"/>
      <c r="O6" s="2877"/>
      <c r="P6" s="2878"/>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2879"/>
      <c r="BA6" s="2879"/>
      <c r="BB6" s="2879"/>
      <c r="BC6" s="2879"/>
      <c r="BD6" s="2879"/>
      <c r="BE6" s="2879"/>
      <c r="BF6" s="3050"/>
      <c r="BG6" s="3051"/>
      <c r="BH6" s="3051"/>
      <c r="BI6" s="3051"/>
      <c r="BJ6" s="3052"/>
    </row>
    <row r="7" spans="1:62" s="1187" customFormat="1" ht="14.25" customHeight="1">
      <c r="A7" t="s">
        <v>3</v>
      </c>
      <c r="B7" t="s">
        <v>4</v>
      </c>
      <c r="C7"/>
      <c r="D7" t="s">
        <v>3</v>
      </c>
      <c r="E7" t="s">
        <v>5</v>
      </c>
      <c r="F7"/>
      <c r="G7" t="s">
        <v>3</v>
      </c>
      <c r="H7" t="s">
        <v>6</v>
      </c>
      <c r="I7"/>
      <c r="J7" t="s">
        <v>3</v>
      </c>
      <c r="K7" t="s">
        <v>7</v>
      </c>
      <c r="L7" t="s">
        <v>8</v>
      </c>
      <c r="M7" t="s">
        <v>9</v>
      </c>
      <c r="N7"/>
      <c r="O7" t="s">
        <v>10</v>
      </c>
      <c r="P7" t="s">
        <v>85</v>
      </c>
      <c r="Q7" t="s">
        <v>1</v>
      </c>
      <c r="R7" t="s">
        <v>11</v>
      </c>
      <c r="S7" t="s">
        <v>12</v>
      </c>
      <c r="T7" t="s">
        <v>13</v>
      </c>
      <c r="U7" t="s">
        <v>14</v>
      </c>
      <c r="V7" t="s">
        <v>15</v>
      </c>
      <c r="W7" t="s">
        <v>12</v>
      </c>
      <c r="X7"/>
      <c r="Y7"/>
      <c r="Z7" t="s">
        <v>3</v>
      </c>
      <c r="AA7" t="s">
        <v>16</v>
      </c>
      <c r="AB7" t="s">
        <v>17</v>
      </c>
      <c r="AC7"/>
      <c r="AD7"/>
      <c r="AE7"/>
      <c r="AF7"/>
      <c r="AG7"/>
      <c r="AH7"/>
      <c r="AI7"/>
      <c r="AJ7"/>
      <c r="AK7"/>
      <c r="AL7"/>
      <c r="AM7"/>
      <c r="AN7" t="s">
        <v>18</v>
      </c>
      <c r="AO7"/>
      <c r="AP7"/>
      <c r="AQ7"/>
      <c r="AR7"/>
      <c r="AS7"/>
      <c r="AT7"/>
      <c r="AU7"/>
      <c r="AV7"/>
      <c r="AW7"/>
      <c r="AX7"/>
      <c r="AY7"/>
      <c r="AZ7" t="s">
        <v>119</v>
      </c>
      <c r="BA7"/>
      <c r="BB7"/>
      <c r="BC7"/>
      <c r="BD7"/>
      <c r="BE7"/>
      <c r="BF7" t="s">
        <v>19</v>
      </c>
      <c r="BG7"/>
      <c r="BH7" t="s">
        <v>20</v>
      </c>
      <c r="BI7"/>
      <c r="BJ7" t="s">
        <v>21</v>
      </c>
    </row>
    <row r="8" spans="1:62" s="1187" customFormat="1" ht="53.25" customHeight="1">
      <c r="A8"/>
      <c r="B8"/>
      <c r="C8"/>
      <c r="D8"/>
      <c r="E8"/>
      <c r="F8"/>
      <c r="G8"/>
      <c r="H8"/>
      <c r="I8"/>
      <c r="J8"/>
      <c r="K8"/>
      <c r="L8"/>
      <c r="M8"/>
      <c r="N8"/>
      <c r="O8"/>
      <c r="P8"/>
      <c r="Q8"/>
      <c r="R8"/>
      <c r="S8"/>
      <c r="T8"/>
      <c r="U8"/>
      <c r="V8"/>
      <c r="W8"/>
      <c r="X8"/>
      <c r="Y8"/>
      <c r="Z8"/>
      <c r="AA8"/>
      <c r="AB8" t="s">
        <v>1088</v>
      </c>
      <c r="AC8"/>
      <c r="AD8" t="s">
        <v>23</v>
      </c>
      <c r="AE8"/>
      <c r="AF8" t="s">
        <v>24</v>
      </c>
      <c r="AG8"/>
      <c r="AH8" t="s">
        <v>25</v>
      </c>
      <c r="AI8"/>
      <c r="AJ8" t="s">
        <v>26</v>
      </c>
      <c r="AK8"/>
      <c r="AL8" t="s">
        <v>27</v>
      </c>
      <c r="AM8"/>
      <c r="AN8" t="s">
        <v>28</v>
      </c>
      <c r="AO8"/>
      <c r="AP8" t="s">
        <v>29</v>
      </c>
      <c r="AQ8"/>
      <c r="AR8" t="s">
        <v>30</v>
      </c>
      <c r="AS8"/>
      <c r="AT8" t="s">
        <v>31</v>
      </c>
      <c r="AU8"/>
      <c r="AV8" t="s">
        <v>32</v>
      </c>
      <c r="AW8"/>
      <c r="AX8" t="s">
        <v>33</v>
      </c>
      <c r="AY8"/>
      <c r="AZ8" s="3296" t="s">
        <v>116</v>
      </c>
      <c r="BA8" t="s">
        <v>120</v>
      </c>
      <c r="BB8" t="s">
        <v>121</v>
      </c>
      <c r="BC8" t="s">
        <v>117</v>
      </c>
      <c r="BD8" s="3296" t="s">
        <v>118</v>
      </c>
      <c r="BE8" s="3279" t="s">
        <v>122</v>
      </c>
      <c r="BF8"/>
      <c r="BG8"/>
      <c r="BH8"/>
      <c r="BI8"/>
      <c r="BJ8"/>
    </row>
    <row r="9" spans="1:62" s="1187" customFormat="1" ht="23.25" customHeight="1">
      <c r="A9"/>
      <c r="B9"/>
      <c r="C9"/>
      <c r="D9"/>
      <c r="E9"/>
      <c r="F9"/>
      <c r="G9"/>
      <c r="H9"/>
      <c r="I9"/>
      <c r="J9"/>
      <c r="K9"/>
      <c r="L9"/>
      <c r="M9" s="1188" t="s">
        <v>106</v>
      </c>
      <c r="N9" s="1189" t="s">
        <v>107</v>
      </c>
      <c r="O9"/>
      <c r="P9"/>
      <c r="Q9"/>
      <c r="R9"/>
      <c r="S9"/>
      <c r="T9"/>
      <c r="U9"/>
      <c r="V9"/>
      <c r="W9" s="1188" t="s">
        <v>105</v>
      </c>
      <c r="X9" s="1189" t="s">
        <v>115</v>
      </c>
      <c r="Y9" s="1189" t="s">
        <v>114</v>
      </c>
      <c r="Z9"/>
      <c r="AA9"/>
      <c r="AB9" s="1188" t="s">
        <v>109</v>
      </c>
      <c r="AC9" s="1189" t="s">
        <v>107</v>
      </c>
      <c r="AD9" s="1188" t="s">
        <v>109</v>
      </c>
      <c r="AE9" s="1189" t="s">
        <v>107</v>
      </c>
      <c r="AF9" s="1188" t="s">
        <v>109</v>
      </c>
      <c r="AG9" s="1189" t="s">
        <v>107</v>
      </c>
      <c r="AH9" s="1188" t="s">
        <v>109</v>
      </c>
      <c r="AI9" s="1189" t="s">
        <v>107</v>
      </c>
      <c r="AJ9" s="1188" t="s">
        <v>109</v>
      </c>
      <c r="AK9" s="1189" t="s">
        <v>107</v>
      </c>
      <c r="AL9" s="1188" t="s">
        <v>109</v>
      </c>
      <c r="AM9" s="1189" t="s">
        <v>107</v>
      </c>
      <c r="AN9" s="1188" t="s">
        <v>109</v>
      </c>
      <c r="AO9" s="1189" t="s">
        <v>107</v>
      </c>
      <c r="AP9" s="1188" t="s">
        <v>109</v>
      </c>
      <c r="AQ9" s="1189" t="s">
        <v>107</v>
      </c>
      <c r="AR9" s="1188" t="s">
        <v>109</v>
      </c>
      <c r="AS9" s="1189" t="s">
        <v>107</v>
      </c>
      <c r="AT9" s="1188" t="s">
        <v>109</v>
      </c>
      <c r="AU9" s="1189" t="s">
        <v>107</v>
      </c>
      <c r="AV9" s="1188" t="s">
        <v>109</v>
      </c>
      <c r="AW9" s="1189" t="s">
        <v>107</v>
      </c>
      <c r="AX9" s="1188" t="s">
        <v>109</v>
      </c>
      <c r="AY9" s="1189" t="s">
        <v>107</v>
      </c>
      <c r="AZ9" s="3296"/>
      <c r="BA9"/>
      <c r="BB9"/>
      <c r="BC9"/>
      <c r="BD9" s="3296"/>
      <c r="BE9" s="3280"/>
      <c r="BF9" s="2035" t="s">
        <v>106</v>
      </c>
      <c r="BG9" s="1190" t="s">
        <v>107</v>
      </c>
      <c r="BH9" s="2035" t="s">
        <v>106</v>
      </c>
      <c r="BI9" s="1190" t="s">
        <v>107</v>
      </c>
      <c r="BJ9"/>
    </row>
    <row r="10" spans="1:62" ht="2.25" customHeight="1">
      <c r="A10" s="1191"/>
      <c r="B10" s="94"/>
      <c r="C10" s="1191"/>
      <c r="D10" s="1191"/>
      <c r="E10" s="94"/>
      <c r="F10" s="1191"/>
      <c r="G10" s="1191"/>
      <c r="H10" s="94"/>
      <c r="I10" s="1191"/>
      <c r="J10" s="2865"/>
      <c r="K10" s="94"/>
      <c r="L10" s="876"/>
      <c r="M10" s="94"/>
      <c r="N10" s="176"/>
      <c r="O10" s="876"/>
      <c r="P10" s="1962"/>
      <c r="Q10" s="876"/>
      <c r="R10" s="94"/>
      <c r="S10" s="94"/>
      <c r="T10" s="2116"/>
      <c r="U10" s="2116"/>
      <c r="V10" s="2117"/>
      <c r="W10" s="876"/>
      <c r="X10" s="1192"/>
      <c r="Y10" s="1192"/>
      <c r="Z10" s="1962"/>
      <c r="AA10" s="876"/>
      <c r="AB10" s="94"/>
      <c r="AC10" s="1193"/>
      <c r="AD10" s="1194"/>
      <c r="AE10" s="1195"/>
      <c r="AF10" s="94"/>
      <c r="AG10" s="1193"/>
      <c r="AH10" s="94"/>
      <c r="AI10" s="1193"/>
      <c r="AJ10" s="94"/>
      <c r="AK10" s="1193"/>
      <c r="AL10" s="94"/>
      <c r="AM10" s="1193"/>
      <c r="AN10" s="94"/>
      <c r="AO10" s="1193"/>
      <c r="AP10" s="94"/>
      <c r="AQ10" s="1193"/>
      <c r="AR10" s="94"/>
      <c r="AS10" s="1193"/>
      <c r="AT10" s="94"/>
      <c r="AU10" s="1193"/>
      <c r="AV10" s="94"/>
      <c r="AW10" s="1193"/>
      <c r="AX10" s="94"/>
      <c r="AY10" s="1193"/>
      <c r="AZ10" s="1196"/>
      <c r="BA10" s="2047"/>
      <c r="BB10" s="2047"/>
      <c r="BC10" s="1197"/>
      <c r="BD10" s="1961"/>
      <c r="BE10" s="1961"/>
      <c r="BF10" s="1198"/>
      <c r="BG10" s="1199"/>
      <c r="BH10" s="1198"/>
      <c r="BI10" s="1199"/>
      <c r="BJ10" s="1200"/>
    </row>
    <row r="11" spans="1:62" ht="3" customHeight="1">
      <c r="A11" s="1191"/>
      <c r="B11" s="94"/>
      <c r="C11" s="1191"/>
      <c r="D11" s="1191"/>
      <c r="E11" s="94"/>
      <c r="F11" s="1191"/>
      <c r="G11" s="1191"/>
      <c r="H11" s="94"/>
      <c r="I11" s="1191"/>
      <c r="J11" s="2865"/>
      <c r="K11" s="94"/>
      <c r="L11" s="876"/>
      <c r="M11" s="94"/>
      <c r="N11" s="176"/>
      <c r="O11" s="876"/>
      <c r="P11" s="1962"/>
      <c r="Q11" s="876"/>
      <c r="R11" s="94"/>
      <c r="S11" s="94"/>
      <c r="T11" s="2116"/>
      <c r="U11" s="2116"/>
      <c r="V11" s="2117"/>
      <c r="W11" s="876"/>
      <c r="X11" s="1192"/>
      <c r="Y11" s="1192"/>
      <c r="Z11" s="1962"/>
      <c r="AA11" s="876"/>
      <c r="AB11" s="94"/>
      <c r="AC11" s="1193"/>
      <c r="AD11" s="1194"/>
      <c r="AE11" s="1195"/>
      <c r="AF11" s="94"/>
      <c r="AG11" s="1193"/>
      <c r="AH11" s="94"/>
      <c r="AI11" s="1193"/>
      <c r="AJ11" s="94"/>
      <c r="AK11" s="1193"/>
      <c r="AL11" s="94"/>
      <c r="AM11" s="1193"/>
      <c r="AN11" s="94"/>
      <c r="AO11" s="1193"/>
      <c r="AP11" s="94"/>
      <c r="AQ11" s="1193"/>
      <c r="AR11" s="94"/>
      <c r="AS11" s="1193"/>
      <c r="AT11" s="94"/>
      <c r="AU11" s="1193"/>
      <c r="AV11" s="94"/>
      <c r="AW11" s="1193"/>
      <c r="AX11" s="94"/>
      <c r="AY11" s="1193"/>
      <c r="AZ11" s="1196"/>
      <c r="BA11" s="2047"/>
      <c r="BB11" s="2047"/>
      <c r="BC11" s="1197"/>
      <c r="BD11" s="1961"/>
      <c r="BE11" s="1961"/>
      <c r="BF11" s="1198"/>
      <c r="BG11" s="1199"/>
      <c r="BH11" s="1198"/>
      <c r="BI11" s="1199"/>
      <c r="BJ11" s="1200"/>
    </row>
    <row r="12" spans="1:62" ht="1.5" customHeight="1">
      <c r="A12" s="1191"/>
      <c r="B12" s="94"/>
      <c r="C12" s="1191"/>
      <c r="D12" s="1191"/>
      <c r="E12" s="94"/>
      <c r="F12" s="1191"/>
      <c r="G12" s="1191"/>
      <c r="H12" s="94"/>
      <c r="I12" s="1191"/>
      <c r="J12" s="2865"/>
      <c r="K12" s="94"/>
      <c r="L12" s="876"/>
      <c r="M12" s="94"/>
      <c r="N12" s="176"/>
      <c r="O12" s="876"/>
      <c r="P12" s="1962"/>
      <c r="Q12" s="876"/>
      <c r="R12" s="94"/>
      <c r="S12" s="94"/>
      <c r="T12" s="2116"/>
      <c r="U12" s="2116"/>
      <c r="V12" s="2117"/>
      <c r="W12" s="876"/>
      <c r="X12" s="1192"/>
      <c r="Y12" s="1192"/>
      <c r="Z12" s="1962"/>
      <c r="AA12" s="876"/>
      <c r="AB12" s="94"/>
      <c r="AC12" s="1193"/>
      <c r="AD12" s="1194"/>
      <c r="AE12" s="1195"/>
      <c r="AF12" s="94"/>
      <c r="AG12" s="1193"/>
      <c r="AH12" s="94"/>
      <c r="AI12" s="1193"/>
      <c r="AJ12" s="94"/>
      <c r="AK12" s="1193"/>
      <c r="AL12" s="94"/>
      <c r="AM12" s="1193"/>
      <c r="AN12" s="94"/>
      <c r="AO12" s="1193"/>
      <c r="AP12" s="94"/>
      <c r="AQ12" s="1193"/>
      <c r="AR12" s="94"/>
      <c r="AS12" s="1193"/>
      <c r="AT12" s="94"/>
      <c r="AU12" s="1193"/>
      <c r="AV12" s="94"/>
      <c r="AW12" s="1193"/>
      <c r="AX12" s="94"/>
      <c r="AY12" s="1193"/>
      <c r="AZ12" s="1196"/>
      <c r="BA12" s="2047"/>
      <c r="BB12" s="2047"/>
      <c r="BC12" s="1197"/>
      <c r="BD12" s="1961"/>
      <c r="BE12" s="1961"/>
      <c r="BF12" s="1198"/>
      <c r="BG12" s="1199"/>
      <c r="BH12" s="1198"/>
      <c r="BI12" s="1199"/>
      <c r="BJ12" s="1200"/>
    </row>
    <row r="13" spans="1:62" ht="16.5" customHeight="1" hidden="1">
      <c r="A13" s="1191"/>
      <c r="B13" s="94"/>
      <c r="C13" s="1191"/>
      <c r="D13" s="1191"/>
      <c r="E13" s="94"/>
      <c r="F13" s="1191"/>
      <c r="G13" s="1191"/>
      <c r="H13" s="94"/>
      <c r="I13" s="1191"/>
      <c r="J13" s="2865"/>
      <c r="K13" s="94"/>
      <c r="L13" s="876"/>
      <c r="M13" s="95"/>
      <c r="N13" s="177"/>
      <c r="O13" s="876"/>
      <c r="P13" s="1962"/>
      <c r="Q13" s="876"/>
      <c r="R13" s="94"/>
      <c r="S13" s="94"/>
      <c r="T13" s="2116"/>
      <c r="U13" s="2116"/>
      <c r="V13" s="2117"/>
      <c r="W13" s="876"/>
      <c r="X13" s="1192"/>
      <c r="Y13" s="1192"/>
      <c r="Z13" s="1962"/>
      <c r="AA13" s="876"/>
      <c r="AB13" s="94"/>
      <c r="AC13" s="1193"/>
      <c r="AD13" s="1194"/>
      <c r="AE13" s="1195"/>
      <c r="AF13" s="94"/>
      <c r="AG13" s="1193"/>
      <c r="AH13" s="94"/>
      <c r="AI13" s="1193"/>
      <c r="AJ13" s="94"/>
      <c r="AK13" s="1193"/>
      <c r="AL13" s="94"/>
      <c r="AM13" s="1193"/>
      <c r="AN13" s="94"/>
      <c r="AO13" s="1193"/>
      <c r="AP13" s="94"/>
      <c r="AQ13" s="1193"/>
      <c r="AR13" s="94"/>
      <c r="AS13" s="1193"/>
      <c r="AT13" s="94"/>
      <c r="AU13" s="1193"/>
      <c r="AV13" s="94"/>
      <c r="AW13" s="1193"/>
      <c r="AX13" s="94"/>
      <c r="AY13" s="1193"/>
      <c r="AZ13" s="1196"/>
      <c r="BA13" s="2047"/>
      <c r="BB13" s="2047"/>
      <c r="BC13" s="1197"/>
      <c r="BD13" s="1961"/>
      <c r="BE13" s="1961"/>
      <c r="BF13" s="1198"/>
      <c r="BG13" s="1199"/>
      <c r="BH13" s="1198"/>
      <c r="BI13" s="1199"/>
      <c r="BJ13" s="1200"/>
    </row>
    <row r="14" spans="1:68" ht="26.25" customHeight="1">
      <c r="A14" s="1960">
        <v>3</v>
      </c>
      <c r="B14" s="45" t="s">
        <v>1089</v>
      </c>
      <c r="C14" s="45"/>
      <c r="D14" s="45"/>
      <c r="E14" s="45"/>
      <c r="F14" s="45"/>
      <c r="G14" s="45"/>
      <c r="H14" s="45"/>
      <c r="I14" s="45"/>
      <c r="J14" s="2866"/>
      <c r="K14" s="46"/>
      <c r="L14" s="47"/>
      <c r="M14" s="47"/>
      <c r="N14" s="1201"/>
      <c r="O14" s="46"/>
      <c r="P14" s="47"/>
      <c r="Q14" s="46"/>
      <c r="R14" s="47"/>
      <c r="S14" s="46"/>
      <c r="T14" s="46"/>
      <c r="U14" s="46"/>
      <c r="V14" s="46"/>
      <c r="W14" s="46"/>
      <c r="X14" s="1202"/>
      <c r="Y14" s="1202"/>
      <c r="Z14" s="47"/>
      <c r="AA14" s="46"/>
      <c r="AB14" s="45"/>
      <c r="AC14" s="326"/>
      <c r="AD14" s="45"/>
      <c r="AE14" s="326"/>
      <c r="AF14" s="45"/>
      <c r="AG14" s="326"/>
      <c r="AH14" s="45"/>
      <c r="AI14" s="326"/>
      <c r="AJ14" s="45"/>
      <c r="AK14" s="326"/>
      <c r="AL14" s="45"/>
      <c r="AM14" s="326"/>
      <c r="AN14" s="45"/>
      <c r="AO14" s="326"/>
      <c r="AP14" s="45"/>
      <c r="AQ14" s="326"/>
      <c r="AR14" s="45"/>
      <c r="AS14" s="326"/>
      <c r="AT14" s="45"/>
      <c r="AU14" s="326"/>
      <c r="AV14" s="45"/>
      <c r="AW14" s="326"/>
      <c r="AX14" s="45"/>
      <c r="AY14" s="326"/>
      <c r="AZ14" s="45"/>
      <c r="BA14" s="2048"/>
      <c r="BB14" s="2048"/>
      <c r="BC14" s="1203"/>
      <c r="BD14" s="45"/>
      <c r="BE14" s="45"/>
      <c r="BF14" s="45"/>
      <c r="BG14" s="326"/>
      <c r="BH14" s="45"/>
      <c r="BI14" s="326"/>
      <c r="BJ14" s="45"/>
      <c r="BK14" s="1"/>
      <c r="BL14" s="1"/>
      <c r="BM14" s="1"/>
      <c r="BN14" s="1"/>
      <c r="BO14" s="1"/>
      <c r="BP14" s="1"/>
    </row>
    <row r="15" spans="1:68" ht="32.25" customHeight="1">
      <c r="A15" s="1204"/>
      <c r="B15" s="1205">
        <v>11</v>
      </c>
      <c r="C15" s="547" t="s">
        <v>1090</v>
      </c>
      <c r="D15" s="547"/>
      <c r="E15" s="547"/>
      <c r="F15" s="547"/>
      <c r="G15" s="48"/>
      <c r="H15" s="48"/>
      <c r="I15" s="48"/>
      <c r="J15" s="769"/>
      <c r="K15" s="49"/>
      <c r="L15" s="50"/>
      <c r="M15" s="50"/>
      <c r="N15" s="796"/>
      <c r="O15" s="49"/>
      <c r="P15" s="50"/>
      <c r="Q15" s="49"/>
      <c r="R15" s="50"/>
      <c r="S15" s="49"/>
      <c r="T15" s="49"/>
      <c r="U15" s="49"/>
      <c r="V15" s="49"/>
      <c r="W15" s="49"/>
      <c r="X15" s="1206"/>
      <c r="Y15" s="1206"/>
      <c r="Z15" s="50"/>
      <c r="AA15" s="49"/>
      <c r="AB15" s="48"/>
      <c r="AC15" s="170"/>
      <c r="AD15" s="48"/>
      <c r="AE15" s="170"/>
      <c r="AF15" s="48"/>
      <c r="AG15" s="170"/>
      <c r="AH15" s="48"/>
      <c r="AI15" s="170"/>
      <c r="AJ15" s="48"/>
      <c r="AK15" s="170"/>
      <c r="AL15" s="48"/>
      <c r="AM15" s="170"/>
      <c r="AN15" s="48"/>
      <c r="AO15" s="170"/>
      <c r="AP15" s="48"/>
      <c r="AQ15" s="170"/>
      <c r="AR15" s="48"/>
      <c r="AS15" s="170"/>
      <c r="AT15" s="48"/>
      <c r="AU15" s="170"/>
      <c r="AV15" s="48"/>
      <c r="AW15" s="170"/>
      <c r="AX15" s="48"/>
      <c r="AY15" s="170"/>
      <c r="AZ15" s="48"/>
      <c r="BA15" s="2049"/>
      <c r="BB15" s="2049"/>
      <c r="BC15" s="1207"/>
      <c r="BD15" s="48"/>
      <c r="BE15" s="48"/>
      <c r="BF15" s="48"/>
      <c r="BG15" s="170"/>
      <c r="BH15" s="48"/>
      <c r="BI15" s="170"/>
      <c r="BJ15" s="48"/>
      <c r="BK15" s="1"/>
      <c r="BL15" s="1"/>
      <c r="BM15" s="1"/>
      <c r="BN15" s="1"/>
      <c r="BO15" s="1"/>
      <c r="BP15" s="1"/>
    </row>
    <row r="16" spans="1:68" ht="35.25" customHeight="1">
      <c r="A16" s="1208"/>
      <c r="B16" s="1209"/>
      <c r="C16" s="1210"/>
      <c r="D16" s="1210"/>
      <c r="E16" s="1210"/>
      <c r="F16" s="1211"/>
      <c r="G16" s="1212">
        <v>35</v>
      </c>
      <c r="H16" s="51" t="s">
        <v>1091</v>
      </c>
      <c r="I16" s="51"/>
      <c r="J16" s="1759"/>
      <c r="K16" s="476"/>
      <c r="L16" s="2030"/>
      <c r="M16" s="2030"/>
      <c r="N16" s="799"/>
      <c r="O16" s="476"/>
      <c r="P16" s="2030"/>
      <c r="Q16" s="476"/>
      <c r="R16" s="2030"/>
      <c r="S16" s="476"/>
      <c r="T16" s="476"/>
      <c r="U16" s="476"/>
      <c r="V16" s="476"/>
      <c r="W16" s="476"/>
      <c r="X16" s="1213"/>
      <c r="Y16" s="1214"/>
      <c r="Z16" s="2030"/>
      <c r="AA16" s="476"/>
      <c r="AB16" s="51"/>
      <c r="AC16" s="475"/>
      <c r="AD16" s="51"/>
      <c r="AE16" s="475"/>
      <c r="AF16" s="51"/>
      <c r="AG16" s="475"/>
      <c r="AH16" s="51"/>
      <c r="AI16" s="475"/>
      <c r="AJ16"/>
      <c r="AK16"/>
      <c r="AL16" s="51"/>
      <c r="AM16"/>
      <c r="AN16"/>
      <c r="AO16"/>
      <c r="AP16"/>
      <c r="AQ16" s="475"/>
      <c r="AR16" s="51"/>
      <c r="AS16" s="475"/>
      <c r="AT16" s="51"/>
      <c r="AU16" s="475"/>
      <c r="AV16" s="51"/>
      <c r="AW16" s="475"/>
      <c r="AX16" s="51"/>
      <c r="AY16" s="475"/>
      <c r="AZ16" s="51"/>
      <c r="BA16" s="2050"/>
      <c r="BB16" s="2050"/>
      <c r="BC16" s="1216"/>
      <c r="BD16" s="51"/>
      <c r="BE16" s="51"/>
      <c r="BF16" s="51"/>
      <c r="BG16" s="475"/>
      <c r="BH16" s="51"/>
      <c r="BI16" s="475"/>
      <c r="BJ16" s="51"/>
      <c r="BK16" s="1"/>
      <c r="BL16" s="1"/>
      <c r="BM16" s="1"/>
      <c r="BN16" s="1"/>
      <c r="BO16" s="1"/>
      <c r="BP16" s="1"/>
    </row>
    <row r="17" spans="1:62" ht="125.25" customHeight="1">
      <c r="A17" s="1217"/>
      <c r="B17" s="1224"/>
      <c r="C17" s="852"/>
      <c r="D17" s="852"/>
      <c r="E17" s="852"/>
      <c r="F17" s="1225"/>
      <c r="G17" s="1220"/>
      <c r="H17" s="1221"/>
      <c r="I17" s="1222"/>
      <c r="J17" s="2824">
        <v>127</v>
      </c>
      <c r="K17" s="2013" t="s">
        <v>1092</v>
      </c>
      <c r="L17" s="1963" t="s">
        <v>248</v>
      </c>
      <c r="M17" s="1965">
        <v>1</v>
      </c>
      <c r="N17" s="2831">
        <v>1</v>
      </c>
      <c r="O17" s="2910" t="s">
        <v>1093</v>
      </c>
      <c r="P17" s="2905">
        <v>132</v>
      </c>
      <c r="Q17" s="3359" t="s">
        <v>1094</v>
      </c>
      <c r="R17" s="2004">
        <v>0.18</v>
      </c>
      <c r="S17">
        <v>100000000</v>
      </c>
      <c r="T17" s="2910" t="s">
        <v>1095</v>
      </c>
      <c r="U17" s="2088" t="s">
        <v>1096</v>
      </c>
      <c r="V17" s="2090" t="s">
        <v>1097</v>
      </c>
      <c r="W17" s="2025">
        <v>18000000</v>
      </c>
      <c r="X17" s="1223">
        <v>18000000</v>
      </c>
      <c r="Y17" s="1223">
        <v>18000000</v>
      </c>
      <c r="Z17" s="3395">
        <v>61</v>
      </c>
      <c r="AA17" s="3359" t="s">
        <v>1098</v>
      </c>
      <c r="AB17" s="3395">
        <v>64149</v>
      </c>
      <c r="AC17" s="3131">
        <f>SUM(AB17*0.71)</f>
        <v>45545.79</v>
      </c>
      <c r="AD17" s="3395">
        <v>72224</v>
      </c>
      <c r="AE17" s="3131">
        <v>51279</v>
      </c>
      <c r="AF17" s="3395">
        <v>27477</v>
      </c>
      <c r="AG17" s="3131">
        <v>19509</v>
      </c>
      <c r="AH17" s="3395">
        <v>86843</v>
      </c>
      <c r="AI17" s="3131">
        <v>61659</v>
      </c>
      <c r="AJ17" s="3395">
        <v>236429</v>
      </c>
      <c r="AK17" s="3131">
        <v>167865</v>
      </c>
      <c r="AL17" s="3395">
        <v>75612</v>
      </c>
      <c r="AM17" s="3131">
        <v>57783</v>
      </c>
      <c r="AN17" s="3395">
        <v>13208</v>
      </c>
      <c r="AO17" s="3131">
        <v>9377.68</v>
      </c>
      <c r="AP17" s="3395">
        <v>2145</v>
      </c>
      <c r="AQ17" s="3131">
        <v>1522.9499999999998</v>
      </c>
      <c r="AR17" s="3395">
        <v>413</v>
      </c>
      <c r="AS17" s="3131">
        <v>293.22999999999996</v>
      </c>
      <c r="AT17" s="3395">
        <v>520</v>
      </c>
      <c r="AU17" s="3131">
        <v>369.2</v>
      </c>
      <c r="AV17" s="3395">
        <v>16897</v>
      </c>
      <c r="AW17" s="3131">
        <v>11996.869999999999</v>
      </c>
      <c r="AX17" s="3395">
        <v>75612</v>
      </c>
      <c r="AY17" s="3131">
        <v>53684.52</v>
      </c>
      <c r="AZ17" s="3395">
        <v>14</v>
      </c>
      <c r="BA17">
        <f>+X17+X18+X19</f>
        <v>70813333</v>
      </c>
      <c r="BB17">
        <f>SUM(Y17:Y19)</f>
        <v>70813333</v>
      </c>
      <c r="BC17" s="3403">
        <f>BB17/BB17</f>
        <v>1</v>
      </c>
      <c r="BD17" s="3395">
        <v>61</v>
      </c>
      <c r="BE17" s="3395" t="s">
        <v>1099</v>
      </c>
      <c r="BF17" s="3385">
        <v>42583</v>
      </c>
      <c r="BG17" s="2883">
        <v>42583</v>
      </c>
      <c r="BH17" s="3385">
        <v>42735</v>
      </c>
      <c r="BI17" s="2883">
        <v>42735</v>
      </c>
      <c r="BJ17" t="s">
        <v>1100</v>
      </c>
    </row>
    <row r="18" spans="1:64" ht="99.75">
      <c r="A18" s="1217"/>
      <c r="B18" s="1224"/>
      <c r="C18" s="852"/>
      <c r="D18" s="852"/>
      <c r="E18" s="852"/>
      <c r="F18" s="1225"/>
      <c r="G18" s="1224"/>
      <c r="H18" s="852"/>
      <c r="I18" s="1225"/>
      <c r="J18" s="2824">
        <v>128</v>
      </c>
      <c r="K18" s="2013" t="s">
        <v>1101</v>
      </c>
      <c r="L18" s="1963" t="s">
        <v>248</v>
      </c>
      <c r="M18" s="1965">
        <v>1</v>
      </c>
      <c r="N18" s="2831">
        <v>1</v>
      </c>
      <c r="O18" s="3292"/>
      <c r="P18" s="2906"/>
      <c r="Q18" s="3360"/>
      <c r="R18" s="2004">
        <v>0.25</v>
      </c>
      <c r="S18"/>
      <c r="T18" s="3292"/>
      <c r="U18" s="2088" t="s">
        <v>1102</v>
      </c>
      <c r="V18" s="2090" t="s">
        <v>1103</v>
      </c>
      <c r="W18" s="2025">
        <v>25000000</v>
      </c>
      <c r="X18" s="1223">
        <v>14890000</v>
      </c>
      <c r="Y18" s="1223">
        <v>14890000</v>
      </c>
      <c r="Z18"/>
      <c r="AA18" s="3360"/>
      <c r="AB18"/>
      <c r="AC18" s="3132"/>
      <c r="AD18"/>
      <c r="AE18" s="3132"/>
      <c r="AF18"/>
      <c r="AG18" s="3132"/>
      <c r="AH18"/>
      <c r="AI18" s="3132"/>
      <c r="AJ18"/>
      <c r="AK18" s="3132"/>
      <c r="AL18"/>
      <c r="AM18" s="3132"/>
      <c r="AN18"/>
      <c r="AO18" s="3132"/>
      <c r="AP18"/>
      <c r="AQ18" s="3132"/>
      <c r="AR18"/>
      <c r="AS18" s="3132"/>
      <c r="AT18"/>
      <c r="AU18" s="3132"/>
      <c r="AV18"/>
      <c r="AW18" s="3132"/>
      <c r="AX18"/>
      <c r="AY18" s="3132"/>
      <c r="AZ18"/>
      <c r="BA18"/>
      <c r="BB18"/>
      <c r="BC18" s="3544"/>
      <c r="BD18"/>
      <c r="BE18"/>
      <c r="BF18" s="3386"/>
      <c r="BG18" s="2884"/>
      <c r="BH18" s="3386"/>
      <c r="BI18" s="2884"/>
      <c r="BJ18"/>
      <c r="BL18" s="2008"/>
    </row>
    <row r="19" spans="1:62" ht="105" customHeight="1">
      <c r="A19" s="1217"/>
      <c r="B19" s="1229"/>
      <c r="C19" s="1230"/>
      <c r="D19" s="1230"/>
      <c r="E19" s="1230"/>
      <c r="F19" s="1231"/>
      <c r="G19" s="1229"/>
      <c r="H19" s="1230"/>
      <c r="I19" s="1231"/>
      <c r="J19" s="2822">
        <v>129</v>
      </c>
      <c r="K19" s="2013" t="s">
        <v>1104</v>
      </c>
      <c r="L19" s="1963" t="s">
        <v>248</v>
      </c>
      <c r="M19" s="1965">
        <v>6</v>
      </c>
      <c r="N19" s="2831">
        <v>6</v>
      </c>
      <c r="O19" s="3293"/>
      <c r="P19" s="2941"/>
      <c r="Q19" s="3361"/>
      <c r="R19" s="2004">
        <v>0.57</v>
      </c>
      <c r="S19"/>
      <c r="T19" s="3293"/>
      <c r="U19" s="2088" t="s">
        <v>1105</v>
      </c>
      <c r="V19" s="2090" t="s">
        <v>1106</v>
      </c>
      <c r="W19" s="2025">
        <v>57000000</v>
      </c>
      <c r="X19" s="1223">
        <v>37923333</v>
      </c>
      <c r="Y19" s="1223">
        <v>37923333</v>
      </c>
      <c r="Z19" s="3396"/>
      <c r="AA19" s="3361"/>
      <c r="AB19" s="3396"/>
      <c r="AC19" s="3167"/>
      <c r="AD19" s="3396"/>
      <c r="AE19" s="3167"/>
      <c r="AF19" s="3396"/>
      <c r="AG19" s="3167"/>
      <c r="AH19" s="3396"/>
      <c r="AI19" s="3167"/>
      <c r="AJ19" s="3396"/>
      <c r="AK19" s="3167"/>
      <c r="AL19" s="3396"/>
      <c r="AM19" s="3167"/>
      <c r="AN19" s="3396"/>
      <c r="AO19" s="3167"/>
      <c r="AP19" s="3396"/>
      <c r="AQ19" s="3167"/>
      <c r="AR19" s="3396"/>
      <c r="AS19" s="3167"/>
      <c r="AT19" s="3396"/>
      <c r="AU19" s="3167"/>
      <c r="AV19" s="3396"/>
      <c r="AW19" s="3167"/>
      <c r="AX19" s="3396"/>
      <c r="AY19" s="3167"/>
      <c r="AZ19" s="3396"/>
      <c r="BA19"/>
      <c r="BB19"/>
      <c r="BC19" s="3404"/>
      <c r="BD19" s="3396"/>
      <c r="BE19" s="3396"/>
      <c r="BF19" s="3387"/>
      <c r="BG19" s="2885"/>
      <c r="BH19" s="3387"/>
      <c r="BI19" s="2885"/>
      <c r="BJ19"/>
    </row>
    <row r="20" spans="1:68" ht="36" customHeight="1">
      <c r="A20" s="1208"/>
      <c r="B20" s="1205">
        <v>12</v>
      </c>
      <c r="C20" s="547" t="s">
        <v>1107</v>
      </c>
      <c r="D20" s="547"/>
      <c r="E20" s="547"/>
      <c r="F20" s="547"/>
      <c r="G20" s="48"/>
      <c r="H20" s="48"/>
      <c r="I20" s="48"/>
      <c r="J20" s="769"/>
      <c r="K20" s="49"/>
      <c r="L20" s="50"/>
      <c r="M20" s="50"/>
      <c r="N20" s="796"/>
      <c r="O20" s="49"/>
      <c r="P20" s="50"/>
      <c r="Q20" s="49"/>
      <c r="R20" s="50"/>
      <c r="S20" s="49"/>
      <c r="T20" s="49"/>
      <c r="U20" s="49"/>
      <c r="V20" s="49"/>
      <c r="W20" s="1232"/>
      <c r="X20" s="1233"/>
      <c r="Y20" s="1233"/>
      <c r="Z20" s="1234"/>
      <c r="AA20" s="49"/>
      <c r="AB20" s="49"/>
      <c r="AC20" s="1206"/>
      <c r="AD20" s="49"/>
      <c r="AE20" s="1206"/>
      <c r="AF20" s="49"/>
      <c r="AG20" s="1206"/>
      <c r="AH20" s="49"/>
      <c r="AI20" s="1206"/>
      <c r="AJ20" s="49"/>
      <c r="AK20" s="1206"/>
      <c r="AL20" s="49"/>
      <c r="AM20" s="1206"/>
      <c r="AN20" s="49"/>
      <c r="AO20" s="1206"/>
      <c r="AP20" s="49"/>
      <c r="AQ20" s="1206"/>
      <c r="AR20" s="49"/>
      <c r="AS20" s="1206"/>
      <c r="AT20" s="49"/>
      <c r="AU20" s="1206"/>
      <c r="AV20" s="49"/>
      <c r="AW20" s="1206"/>
      <c r="AX20" s="49"/>
      <c r="AY20" s="1206"/>
      <c r="AZ20" s="49"/>
      <c r="BA20" s="2051"/>
      <c r="BB20" s="2051"/>
      <c r="BC20" s="1235"/>
      <c r="BD20" s="49"/>
      <c r="BE20" s="49"/>
      <c r="BF20" s="48"/>
      <c r="BG20" s="170"/>
      <c r="BH20" s="48"/>
      <c r="BI20" s="170"/>
      <c r="BJ20" s="48"/>
      <c r="BK20" s="1"/>
      <c r="BL20" s="1"/>
      <c r="BM20" s="1"/>
      <c r="BN20" s="1"/>
      <c r="BO20" s="1"/>
      <c r="BP20" s="1"/>
    </row>
    <row r="21" spans="1:68" ht="36" customHeight="1">
      <c r="A21" s="1208"/>
      <c r="B21" s="1209"/>
      <c r="C21" s="1210"/>
      <c r="D21" s="1210"/>
      <c r="E21" s="1210"/>
      <c r="F21" s="1211"/>
      <c r="G21" s="1212">
        <v>36</v>
      </c>
      <c r="H21" s="51" t="s">
        <v>1108</v>
      </c>
      <c r="I21" s="51"/>
      <c r="J21" s="1759"/>
      <c r="K21" s="476"/>
      <c r="L21" s="2030"/>
      <c r="M21" s="2030"/>
      <c r="N21" s="799"/>
      <c r="O21" s="476"/>
      <c r="P21" s="2030"/>
      <c r="Q21" s="476"/>
      <c r="R21" s="2030"/>
      <c r="S21" s="476"/>
      <c r="T21" s="476"/>
      <c r="U21" s="476"/>
      <c r="V21" s="476"/>
      <c r="W21" s="476"/>
      <c r="X21" s="1213"/>
      <c r="Y21" s="1213"/>
      <c r="Z21" s="2029"/>
      <c r="AA21" s="476"/>
      <c r="AB21" s="476"/>
      <c r="AC21" s="1213"/>
      <c r="AD21" s="476"/>
      <c r="AE21" s="1213"/>
      <c r="AF21" s="476"/>
      <c r="AG21" s="1213"/>
      <c r="AH21" s="476"/>
      <c r="AI21" s="1213"/>
      <c r="AJ21" s="476"/>
      <c r="AK21" s="1213"/>
      <c r="AL21" s="476"/>
      <c r="AM21" s="1213"/>
      <c r="AN21" s="476"/>
      <c r="AO21" s="1213"/>
      <c r="AP21" s="476"/>
      <c r="AQ21" s="1213"/>
      <c r="AR21" s="476"/>
      <c r="AS21" s="1213"/>
      <c r="AT21" s="476"/>
      <c r="AU21" s="1213"/>
      <c r="AV21" s="476"/>
      <c r="AW21" s="1213"/>
      <c r="AX21" s="476"/>
      <c r="AY21" s="1213"/>
      <c r="AZ21" s="476"/>
      <c r="BA21" s="2052"/>
      <c r="BB21" s="2052"/>
      <c r="BC21" s="1236"/>
      <c r="BD21" s="476"/>
      <c r="BE21" s="476"/>
      <c r="BF21" s="476"/>
      <c r="BG21" s="1213"/>
      <c r="BH21" s="51"/>
      <c r="BI21" s="475"/>
      <c r="BJ21" s="51"/>
      <c r="BK21" s="1"/>
      <c r="BL21" s="1"/>
      <c r="BM21" s="1"/>
      <c r="BN21" s="1"/>
      <c r="BO21" s="1"/>
      <c r="BP21" s="1"/>
    </row>
    <row r="22" spans="1:62" ht="75" customHeight="1">
      <c r="A22" s="1217"/>
      <c r="B22" s="1224"/>
      <c r="C22" s="852"/>
      <c r="D22" s="852"/>
      <c r="E22" s="852"/>
      <c r="F22" s="1225"/>
      <c r="G22" s="1220"/>
      <c r="H22" s="1221"/>
      <c r="I22" s="1222"/>
      <c r="J22" s="2824">
        <v>130</v>
      </c>
      <c r="K22" s="2002" t="s">
        <v>1109</v>
      </c>
      <c r="L22" s="1970" t="s">
        <v>248</v>
      </c>
      <c r="M22" s="1970">
        <v>1</v>
      </c>
      <c r="N22" s="2831">
        <v>1</v>
      </c>
      <c r="O22" s="2910" t="s">
        <v>1110</v>
      </c>
      <c r="P22" s="2905">
        <v>133</v>
      </c>
      <c r="Q22" s="3359" t="s">
        <v>1111</v>
      </c>
      <c r="R22" s="1237">
        <f>SUM(W22/W23*100)</f>
        <v>25</v>
      </c>
      <c r="S22">
        <v>150000000</v>
      </c>
      <c r="T22" s="2910" t="s">
        <v>1112</v>
      </c>
      <c r="U22" s="2088" t="s">
        <v>1113</v>
      </c>
      <c r="V22" s="2090" t="s">
        <v>1114</v>
      </c>
      <c r="W22" s="2025">
        <v>30000000</v>
      </c>
      <c r="X22" s="1238">
        <v>29734000</v>
      </c>
      <c r="Y22" s="1238">
        <v>29734000</v>
      </c>
      <c r="Z22" s="3395">
        <v>61</v>
      </c>
      <c r="AA22" s="3359" t="s">
        <v>1115</v>
      </c>
      <c r="AB22" s="3395">
        <v>64149</v>
      </c>
      <c r="AC22" s="3131">
        <v>21003</v>
      </c>
      <c r="AD22" s="3395">
        <v>72224</v>
      </c>
      <c r="AE22" s="3131">
        <v>36021</v>
      </c>
      <c r="AF22" s="3395">
        <v>27477</v>
      </c>
      <c r="AG22" s="3131">
        <v>14523</v>
      </c>
      <c r="AH22" s="3395">
        <v>86843</v>
      </c>
      <c r="AI22" s="3131">
        <v>38225</v>
      </c>
      <c r="AJ22" s="3395">
        <v>236429</v>
      </c>
      <c r="AK22" s="3131">
        <v>125896</v>
      </c>
      <c r="AL22" s="3395">
        <v>75612</v>
      </c>
      <c r="AM22" s="3131">
        <v>39654</v>
      </c>
      <c r="AN22" s="3395">
        <v>13208</v>
      </c>
      <c r="AO22" s="3131">
        <v>7258</v>
      </c>
      <c r="AP22" s="3395">
        <v>2145</v>
      </c>
      <c r="AQ22" s="3131">
        <v>1200</v>
      </c>
      <c r="AR22" s="3395">
        <v>413</v>
      </c>
      <c r="AS22" s="3131">
        <v>241</v>
      </c>
      <c r="AT22" s="3395">
        <v>520</v>
      </c>
      <c r="AU22" s="3131">
        <v>304</v>
      </c>
      <c r="AV22" s="3395">
        <v>16897</v>
      </c>
      <c r="AW22" s="3131">
        <v>14523</v>
      </c>
      <c r="AX22" s="3395">
        <v>75612</v>
      </c>
      <c r="AY22" s="3131">
        <v>19515</v>
      </c>
      <c r="AZ22" s="3395">
        <v>16</v>
      </c>
      <c r="BA22">
        <f>SUM(X22:X23)</f>
        <v>102517000</v>
      </c>
      <c r="BB22">
        <f>SUM(Y22:Y23)</f>
        <v>98599565</v>
      </c>
      <c r="BC22" s="3403">
        <f>BB22/BA22</f>
        <v>0.96178745964084</v>
      </c>
      <c r="BD22" s="3395">
        <v>61</v>
      </c>
      <c r="BE22" s="3395" t="s">
        <v>1099</v>
      </c>
      <c r="BF22" s="3385">
        <v>42583</v>
      </c>
      <c r="BG22" s="2883">
        <v>42583</v>
      </c>
      <c r="BH22" s="3385">
        <v>42735</v>
      </c>
      <c r="BI22" s="2883">
        <v>42735</v>
      </c>
      <c r="BJ22" t="s">
        <v>1100</v>
      </c>
    </row>
    <row r="23" spans="1:62" ht="103.5" customHeight="1">
      <c r="A23" s="1217"/>
      <c r="B23" s="1224"/>
      <c r="C23" s="852"/>
      <c r="D23" s="852"/>
      <c r="E23" s="852"/>
      <c r="F23" s="1225"/>
      <c r="G23" s="1229"/>
      <c r="H23" s="1230"/>
      <c r="I23" s="1231"/>
      <c r="J23" s="2824">
        <v>131</v>
      </c>
      <c r="K23" s="2002" t="s">
        <v>1116</v>
      </c>
      <c r="L23" s="1970" t="s">
        <v>248</v>
      </c>
      <c r="M23" s="1970">
        <v>3</v>
      </c>
      <c r="N23" s="2831">
        <v>0</v>
      </c>
      <c r="O23" s="3293"/>
      <c r="P23" s="2941"/>
      <c r="Q23" s="3361"/>
      <c r="R23" s="1237">
        <v>75</v>
      </c>
      <c r="S23"/>
      <c r="T23" s="3293"/>
      <c r="U23" s="2088" t="s">
        <v>1117</v>
      </c>
      <c r="V23" s="2090" t="s">
        <v>1118</v>
      </c>
      <c r="W23" s="2025">
        <v>120000000</v>
      </c>
      <c r="X23" s="1223">
        <v>72783000</v>
      </c>
      <c r="Y23" s="1223">
        <v>68865565</v>
      </c>
      <c r="Z23" s="3396"/>
      <c r="AA23" s="3361"/>
      <c r="AB23" s="3396"/>
      <c r="AC23" s="3167"/>
      <c r="AD23" s="3396"/>
      <c r="AE23" s="3167"/>
      <c r="AF23" s="3396"/>
      <c r="AG23" s="3167"/>
      <c r="AH23" s="3396"/>
      <c r="AI23" s="3167"/>
      <c r="AJ23" s="3396"/>
      <c r="AK23" s="3167"/>
      <c r="AL23" s="3396"/>
      <c r="AM23" s="3167"/>
      <c r="AN23" s="3396"/>
      <c r="AO23" s="3167"/>
      <c r="AP23" s="3396"/>
      <c r="AQ23" s="3167"/>
      <c r="AR23" s="3396"/>
      <c r="AS23" s="3167"/>
      <c r="AT23" s="3396"/>
      <c r="AU23" s="3167"/>
      <c r="AV23" s="3396"/>
      <c r="AW23" s="3167"/>
      <c r="AX23" s="3396"/>
      <c r="AY23" s="3167"/>
      <c r="AZ23"/>
      <c r="BA23"/>
      <c r="BB23"/>
      <c r="BC23" s="3404"/>
      <c r="BD23" s="3396"/>
      <c r="BE23" s="3396"/>
      <c r="BF23" s="3387"/>
      <c r="BG23" s="2885"/>
      <c r="BH23" s="3387"/>
      <c r="BI23" s="2885"/>
      <c r="BJ23"/>
    </row>
    <row r="24" spans="1:68" ht="33.75" customHeight="1">
      <c r="A24" s="1208"/>
      <c r="B24" s="1218"/>
      <c r="C24" s="657"/>
      <c r="D24" s="657"/>
      <c r="E24" s="657"/>
      <c r="F24" s="1219"/>
      <c r="G24" s="1212">
        <v>37</v>
      </c>
      <c r="H24" s="51" t="s">
        <v>1119</v>
      </c>
      <c r="I24" s="51"/>
      <c r="J24" s="1759"/>
      <c r="K24" s="476"/>
      <c r="L24" s="2030"/>
      <c r="M24" s="2030"/>
      <c r="N24" s="799"/>
      <c r="O24" s="476"/>
      <c r="P24" s="2030"/>
      <c r="Q24" s="476"/>
      <c r="R24" s="2030"/>
      <c r="S24" s="476"/>
      <c r="T24" s="476"/>
      <c r="U24" s="476"/>
      <c r="V24" s="476"/>
      <c r="W24" s="1239"/>
      <c r="X24" s="1240"/>
      <c r="Y24" s="1240"/>
      <c r="Z24" s="2029"/>
      <c r="AA24" s="476"/>
      <c r="AB24" s="476"/>
      <c r="AC24" s="1213"/>
      <c r="AD24" s="476"/>
      <c r="AE24" s="1213"/>
      <c r="AF24" s="476"/>
      <c r="AG24" s="1213"/>
      <c r="AH24"/>
      <c r="AI24"/>
      <c r="AJ24" s="476"/>
      <c r="AK24"/>
      <c r="AL24"/>
      <c r="AM24"/>
      <c r="AN24"/>
      <c r="AO24" s="1213"/>
      <c r="AP24" s="476"/>
      <c r="AQ24" s="1213"/>
      <c r="AR24" s="476"/>
      <c r="AS24" s="1213"/>
      <c r="AT24" s="476"/>
      <c r="AU24" s="1213"/>
      <c r="AV24" s="476"/>
      <c r="AW24" s="1213"/>
      <c r="AX24" s="476"/>
      <c r="AY24" s="1213"/>
      <c r="AZ24" s="476"/>
      <c r="BA24" s="2052"/>
      <c r="BB24" s="2052"/>
      <c r="BC24" s="1236"/>
      <c r="BD24" s="476"/>
      <c r="BE24" s="476"/>
      <c r="BF24" s="51"/>
      <c r="BG24" s="475"/>
      <c r="BH24" s="51"/>
      <c r="BI24" s="475"/>
      <c r="BJ24" s="51"/>
      <c r="BK24" s="1"/>
      <c r="BL24" s="1"/>
      <c r="BM24" s="1"/>
      <c r="BN24" s="1"/>
      <c r="BO24" s="1"/>
      <c r="BP24" s="1"/>
    </row>
    <row r="25" spans="1:62" ht="71.25">
      <c r="A25" s="546"/>
      <c r="B25" s="1241"/>
      <c r="C25" s="545"/>
      <c r="D25" s="545"/>
      <c r="E25" s="545"/>
      <c r="F25" s="1242"/>
      <c r="G25" s="1371"/>
      <c r="H25" s="1243"/>
      <c r="I25" s="1244"/>
      <c r="J25" s="2824">
        <v>132</v>
      </c>
      <c r="K25" s="2002" t="s">
        <v>1120</v>
      </c>
      <c r="L25" s="1970" t="s">
        <v>248</v>
      </c>
      <c r="M25" s="1970">
        <v>8</v>
      </c>
      <c r="N25" s="1245">
        <v>12</v>
      </c>
      <c r="O25" s="2910" t="s">
        <v>1121</v>
      </c>
      <c r="P25" s="2905">
        <v>134</v>
      </c>
      <c r="Q25" s="3359" t="s">
        <v>1122</v>
      </c>
      <c r="R25" s="1992">
        <f>W25/$S$25</f>
        <v>0.20833333333333334</v>
      </c>
      <c r="S25">
        <v>120000000</v>
      </c>
      <c r="T25" s="2910" t="s">
        <v>1123</v>
      </c>
      <c r="U25" s="2088" t="s">
        <v>1124</v>
      </c>
      <c r="V25" s="2090" t="s">
        <v>1125</v>
      </c>
      <c r="W25" s="1246">
        <v>25000000</v>
      </c>
      <c r="X25" s="1223">
        <v>0</v>
      </c>
      <c r="Y25" s="1223">
        <v>0</v>
      </c>
      <c r="Z25" s="3395">
        <v>61</v>
      </c>
      <c r="AA25" s="3359" t="s">
        <v>1098</v>
      </c>
      <c r="AB25" s="3395">
        <v>64149</v>
      </c>
      <c r="AC25" s="3131">
        <f>SUM(AB25*0.3)</f>
        <v>19244.7</v>
      </c>
      <c r="AD25" s="3395">
        <v>72224</v>
      </c>
      <c r="AE25" s="3131">
        <f>SUM(AD25*0.3)</f>
        <v>21667.2</v>
      </c>
      <c r="AF25" s="3395">
        <v>27477</v>
      </c>
      <c r="AG25" s="3131">
        <f>SUM(AF25*0.3)</f>
        <v>8243.1</v>
      </c>
      <c r="AH25" s="3395">
        <v>86843</v>
      </c>
      <c r="AI25" s="3131">
        <f>SUM(AH25*0.3)</f>
        <v>26052.899999999998</v>
      </c>
      <c r="AJ25" s="3395">
        <v>236429</v>
      </c>
      <c r="AK25" s="3131">
        <f>SUM(AJ25*0.3)</f>
        <v>70928.7</v>
      </c>
      <c r="AL25" s="3395">
        <v>75612</v>
      </c>
      <c r="AM25" s="3131">
        <f>SUM(AL25*0.3)</f>
        <v>22683.6</v>
      </c>
      <c r="AN25" s="3395">
        <v>13208</v>
      </c>
      <c r="AO25" s="3131">
        <f>SUM(AN25*0.3)</f>
        <v>3962.3999999999996</v>
      </c>
      <c r="AP25" s="3395">
        <v>2145</v>
      </c>
      <c r="AQ25" s="3131">
        <f>SUM(AP25*0.3)</f>
        <v>643.5</v>
      </c>
      <c r="AR25" s="3395">
        <v>413</v>
      </c>
      <c r="AS25" s="3131">
        <f>SUM(AR25*0.3)</f>
        <v>123.89999999999999</v>
      </c>
      <c r="AT25" s="3395">
        <v>520</v>
      </c>
      <c r="AU25" s="3131">
        <f>SUM(AT25*0.3)</f>
        <v>156</v>
      </c>
      <c r="AV25" s="3395">
        <v>16897</v>
      </c>
      <c r="AW25" s="3131">
        <f>SUM(AV25*0.3)</f>
        <v>5069.099999999999</v>
      </c>
      <c r="AX25" s="3395">
        <v>75612</v>
      </c>
      <c r="AY25" s="3131">
        <f>SUM(AX25*0.3)</f>
        <v>22683.6</v>
      </c>
      <c r="AZ25" s="3395">
        <v>6</v>
      </c>
      <c r="BA25">
        <f>SUM(X25:X28)</f>
        <v>35817000</v>
      </c>
      <c r="BB25">
        <f>SUM(Y25:Y28)</f>
        <v>35817000</v>
      </c>
      <c r="BC25" s="3403">
        <f>BB25/BA25</f>
        <v>1</v>
      </c>
      <c r="BD25" s="3395">
        <v>61</v>
      </c>
      <c r="BE25" s="3395" t="s">
        <v>1099</v>
      </c>
      <c r="BF25" s="3385">
        <v>42583</v>
      </c>
      <c r="BG25" s="2883">
        <v>42583</v>
      </c>
      <c r="BH25" s="3385">
        <v>42735</v>
      </c>
      <c r="BI25" s="2883">
        <v>42735</v>
      </c>
      <c r="BJ25" t="s">
        <v>1100</v>
      </c>
    </row>
    <row r="26" spans="1:62" ht="118.5" customHeight="1">
      <c r="A26" s="546"/>
      <c r="B26" s="1241"/>
      <c r="C26" s="545"/>
      <c r="D26" s="545"/>
      <c r="E26" s="545"/>
      <c r="F26" s="1242"/>
      <c r="G26" s="1241"/>
      <c r="H26" s="545"/>
      <c r="I26" s="1242"/>
      <c r="J26" s="2824">
        <v>133</v>
      </c>
      <c r="K26" s="2002" t="s">
        <v>1126</v>
      </c>
      <c r="L26" s="1970" t="s">
        <v>248</v>
      </c>
      <c r="M26" s="1970">
        <v>12</v>
      </c>
      <c r="N26" s="1245">
        <v>12</v>
      </c>
      <c r="O26" s="3292"/>
      <c r="P26" s="2906"/>
      <c r="Q26" s="3360"/>
      <c r="R26" s="1992">
        <f>W26/$S$25</f>
        <v>0.20833333333333334</v>
      </c>
      <c r="S26"/>
      <c r="T26" s="3292"/>
      <c r="U26" s="2088" t="s">
        <v>1124</v>
      </c>
      <c r="V26" s="2090" t="s">
        <v>1127</v>
      </c>
      <c r="W26" s="1246">
        <v>25000000</v>
      </c>
      <c r="X26" s="1223">
        <v>8500000</v>
      </c>
      <c r="Y26" s="1223">
        <v>8500000</v>
      </c>
      <c r="Z26"/>
      <c r="AA26" s="3360"/>
      <c r="AB26"/>
      <c r="AC26" s="3132"/>
      <c r="AD26"/>
      <c r="AE26" s="3132"/>
      <c r="AF26"/>
      <c r="AG26" s="3132"/>
      <c r="AH26"/>
      <c r="AI26" s="3132"/>
      <c r="AJ26"/>
      <c r="AK26" s="3132"/>
      <c r="AL26"/>
      <c r="AM26" s="3132"/>
      <c r="AN26"/>
      <c r="AO26" s="3132"/>
      <c r="AP26"/>
      <c r="AQ26" s="3132"/>
      <c r="AR26"/>
      <c r="AS26" s="3132"/>
      <c r="AT26"/>
      <c r="AU26" s="3132"/>
      <c r="AV26"/>
      <c r="AW26" s="3132"/>
      <c r="AX26"/>
      <c r="AY26" s="3132"/>
      <c r="AZ26"/>
      <c r="BA26"/>
      <c r="BB26"/>
      <c r="BC26" s="3544"/>
      <c r="BD26"/>
      <c r="BE26"/>
      <c r="BF26" s="3386"/>
      <c r="BG26" s="2884"/>
      <c r="BH26" s="3386"/>
      <c r="BI26" s="2884"/>
      <c r="BJ26"/>
    </row>
    <row r="27" spans="1:62" ht="97.5" customHeight="1">
      <c r="A27" s="546"/>
      <c r="B27" s="1241"/>
      <c r="C27" s="545"/>
      <c r="D27" s="545"/>
      <c r="E27" s="545"/>
      <c r="F27" s="1242"/>
      <c r="G27" s="1241"/>
      <c r="H27" s="545"/>
      <c r="I27" s="1242"/>
      <c r="J27" s="2824">
        <v>134</v>
      </c>
      <c r="K27" s="2002" t="s">
        <v>1128</v>
      </c>
      <c r="L27" s="1970" t="s">
        <v>248</v>
      </c>
      <c r="M27" s="1970">
        <v>4800</v>
      </c>
      <c r="N27" s="1245">
        <v>3924</v>
      </c>
      <c r="O27" s="3292"/>
      <c r="P27" s="2906"/>
      <c r="Q27" s="3360"/>
      <c r="R27" s="1992">
        <f>W27/$S$25</f>
        <v>0.375</v>
      </c>
      <c r="S27"/>
      <c r="T27" s="3292"/>
      <c r="U27" s="2088" t="s">
        <v>1129</v>
      </c>
      <c r="V27" s="2090" t="s">
        <v>1130</v>
      </c>
      <c r="W27" s="1246">
        <v>45000000</v>
      </c>
      <c r="X27" s="1223">
        <v>12650000</v>
      </c>
      <c r="Y27" s="1223">
        <v>12650000</v>
      </c>
      <c r="Z27"/>
      <c r="AA27" s="3360"/>
      <c r="AB27"/>
      <c r="AC27" s="3132"/>
      <c r="AD27"/>
      <c r="AE27" s="3132"/>
      <c r="AF27"/>
      <c r="AG27" s="3132"/>
      <c r="AH27"/>
      <c r="AI27" s="3132"/>
      <c r="AJ27"/>
      <c r="AK27" s="3132"/>
      <c r="AL27"/>
      <c r="AM27" s="3132"/>
      <c r="AN27"/>
      <c r="AO27" s="3132"/>
      <c r="AP27"/>
      <c r="AQ27" s="3132"/>
      <c r="AR27"/>
      <c r="AS27" s="3132"/>
      <c r="AT27"/>
      <c r="AU27" s="3132"/>
      <c r="AV27"/>
      <c r="AW27" s="3132"/>
      <c r="AX27"/>
      <c r="AY27" s="3132"/>
      <c r="AZ27"/>
      <c r="BA27"/>
      <c r="BB27"/>
      <c r="BC27" s="3544"/>
      <c r="BD27"/>
      <c r="BE27"/>
      <c r="BF27" s="3386"/>
      <c r="BG27" s="2884"/>
      <c r="BH27" s="3386"/>
      <c r="BI27" s="2884"/>
      <c r="BJ27"/>
    </row>
    <row r="28" spans="1:62" ht="82.5" customHeight="1">
      <c r="A28" s="546"/>
      <c r="B28" s="1241"/>
      <c r="C28" s="545"/>
      <c r="D28" s="545"/>
      <c r="E28" s="545"/>
      <c r="F28" s="1242"/>
      <c r="G28" s="1372"/>
      <c r="H28" s="565"/>
      <c r="I28" s="1247"/>
      <c r="J28" s="2824">
        <v>135</v>
      </c>
      <c r="K28" s="2002" t="s">
        <v>1131</v>
      </c>
      <c r="L28" s="1970" t="s">
        <v>248</v>
      </c>
      <c r="M28" s="1970">
        <v>12</v>
      </c>
      <c r="N28" s="1245">
        <v>12</v>
      </c>
      <c r="O28" s="3293"/>
      <c r="P28" s="2941"/>
      <c r="Q28" s="3361"/>
      <c r="R28" s="1992">
        <f>W28/$S$25</f>
        <v>0.20833333333333334</v>
      </c>
      <c r="S28"/>
      <c r="T28" s="3293"/>
      <c r="U28" s="2088" t="s">
        <v>1124</v>
      </c>
      <c r="V28" s="2090" t="s">
        <v>1132</v>
      </c>
      <c r="W28" s="1246">
        <v>25000000</v>
      </c>
      <c r="X28" s="1223">
        <v>14667000</v>
      </c>
      <c r="Y28" s="1223">
        <v>14667000</v>
      </c>
      <c r="Z28" s="3396"/>
      <c r="AA28" s="3361"/>
      <c r="AB28" s="3396"/>
      <c r="AC28" s="3167"/>
      <c r="AD28" s="3396"/>
      <c r="AE28" s="3167"/>
      <c r="AF28" s="3396"/>
      <c r="AG28" s="3167"/>
      <c r="AH28" s="3396"/>
      <c r="AI28" s="3167"/>
      <c r="AJ28" s="3396"/>
      <c r="AK28" s="3167"/>
      <c r="AL28" s="3396"/>
      <c r="AM28" s="3167"/>
      <c r="AN28" s="3396"/>
      <c r="AO28" s="3167"/>
      <c r="AP28" s="3396"/>
      <c r="AQ28" s="3167"/>
      <c r="AR28" s="3396"/>
      <c r="AS28" s="3167"/>
      <c r="AT28" s="3396"/>
      <c r="AU28" s="3167"/>
      <c r="AV28" s="3396"/>
      <c r="AW28" s="3167"/>
      <c r="AX28" s="3396"/>
      <c r="AY28" s="3167"/>
      <c r="AZ28" s="3396"/>
      <c r="BA28"/>
      <c r="BB28"/>
      <c r="BC28" s="3404"/>
      <c r="BD28" s="3396"/>
      <c r="BE28" s="3396"/>
      <c r="BF28" s="3387"/>
      <c r="BG28" s="2885"/>
      <c r="BH28" s="3387"/>
      <c r="BI28" s="2885"/>
      <c r="BJ28"/>
    </row>
    <row r="29" spans="1:68" ht="37.5" customHeight="1">
      <c r="A29" s="1208"/>
      <c r="B29" s="1218"/>
      <c r="C29" s="657"/>
      <c r="D29" s="657"/>
      <c r="E29" s="657"/>
      <c r="F29" s="1219"/>
      <c r="G29" s="1212">
        <v>38</v>
      </c>
      <c r="H29" s="51" t="s">
        <v>1133</v>
      </c>
      <c r="I29" s="51"/>
      <c r="J29" s="1759"/>
      <c r="K29" s="476"/>
      <c r="L29" s="2030"/>
      <c r="M29" s="2030"/>
      <c r="N29" s="799"/>
      <c r="O29" s="476"/>
      <c r="P29" s="2030"/>
      <c r="Q29" s="476"/>
      <c r="R29" s="2030"/>
      <c r="S29" s="476"/>
      <c r="T29" s="476"/>
      <c r="U29" s="476"/>
      <c r="V29" s="476"/>
      <c r="W29" s="1239"/>
      <c r="X29" s="1240"/>
      <c r="Y29" s="1240"/>
      <c r="Z29" s="2029"/>
      <c r="AA29" s="476"/>
      <c r="AB29" s="476"/>
      <c r="AC29" s="1213"/>
      <c r="AD29" s="476"/>
      <c r="AE29" s="1213"/>
      <c r="AF29" s="476"/>
      <c r="AG29" s="1213"/>
      <c r="AH29" s="476"/>
      <c r="AI29"/>
      <c r="AJ29"/>
      <c r="AK29" s="1213"/>
      <c r="AL29"/>
      <c r="AM29"/>
      <c r="AN29"/>
      <c r="AO29"/>
      <c r="AP29" s="476"/>
      <c r="AQ29"/>
      <c r="AR29"/>
      <c r="AS29" s="1213"/>
      <c r="AT29" s="476"/>
      <c r="AU29" s="1213"/>
      <c r="AV29" s="476"/>
      <c r="AW29" s="1213"/>
      <c r="AX29" s="476"/>
      <c r="AY29" s="1213"/>
      <c r="AZ29" s="476"/>
      <c r="BA29" s="2052"/>
      <c r="BB29" s="2052"/>
      <c r="BC29" s="1236"/>
      <c r="BD29" s="476"/>
      <c r="BE29" s="476"/>
      <c r="BF29" s="51"/>
      <c r="BG29" s="475"/>
      <c r="BH29" s="51"/>
      <c r="BI29" s="475"/>
      <c r="BJ29" s="51"/>
      <c r="BK29" s="1"/>
      <c r="BL29" s="1"/>
      <c r="BM29" s="1"/>
      <c r="BN29" s="1"/>
      <c r="BO29" s="1"/>
      <c r="BP29" s="1"/>
    </row>
    <row r="30" spans="1:62" ht="114">
      <c r="A30" s="1217"/>
      <c r="B30" s="1224"/>
      <c r="C30" s="852"/>
      <c r="D30" s="852"/>
      <c r="E30" s="852"/>
      <c r="F30" s="1225"/>
      <c r="G30" s="1220"/>
      <c r="H30" s="1221"/>
      <c r="I30" s="1222"/>
      <c r="J30" s="2824">
        <v>136</v>
      </c>
      <c r="K30" s="2013" t="s">
        <v>1134</v>
      </c>
      <c r="L30" s="1970" t="s">
        <v>248</v>
      </c>
      <c r="M30" s="1965">
        <v>12</v>
      </c>
      <c r="N30" s="1248">
        <v>12</v>
      </c>
      <c r="O30" s="2910" t="s">
        <v>1135</v>
      </c>
      <c r="P30" s="2905">
        <v>135</v>
      </c>
      <c r="Q30" s="3359" t="s">
        <v>1136</v>
      </c>
      <c r="R30" s="1992">
        <f>W30/$S$30</f>
        <v>0.31887755102040816</v>
      </c>
      <c r="S30">
        <v>78400000</v>
      </c>
      <c r="T30" s="2910" t="s">
        <v>1137</v>
      </c>
      <c r="U30" s="2094" t="s">
        <v>1138</v>
      </c>
      <c r="V30" s="2094" t="s">
        <v>1139</v>
      </c>
      <c r="W30" s="1249">
        <v>25000000</v>
      </c>
      <c r="X30" s="1250">
        <v>17600000</v>
      </c>
      <c r="Y30" s="1250">
        <v>17600000</v>
      </c>
      <c r="Z30" s="3395">
        <v>61</v>
      </c>
      <c r="AA30" s="3359" t="s">
        <v>1098</v>
      </c>
      <c r="AB30" s="3395">
        <v>64149</v>
      </c>
      <c r="AC30" s="3131">
        <f>SUM(AB30*0.63)</f>
        <v>40413.87</v>
      </c>
      <c r="AD30" s="3395">
        <v>72224</v>
      </c>
      <c r="AE30" s="3131">
        <f>SUM(AD30*0.63)</f>
        <v>45501.12</v>
      </c>
      <c r="AF30" s="3395">
        <v>27477</v>
      </c>
      <c r="AG30" s="3131">
        <f>SUM(AF30*0.63)</f>
        <v>17310.51</v>
      </c>
      <c r="AH30" s="3395">
        <v>86843</v>
      </c>
      <c r="AI30" s="3131">
        <f>SUM(AH30*0.63)</f>
        <v>54711.090000000004</v>
      </c>
      <c r="AJ30" s="3395">
        <v>236429</v>
      </c>
      <c r="AK30" s="3131">
        <f>SUM(AJ30*0.63)</f>
        <v>148950.27</v>
      </c>
      <c r="AL30" s="3395">
        <v>75612</v>
      </c>
      <c r="AM30" s="3131">
        <f>SUM(AL30*0.63)</f>
        <v>47635.56</v>
      </c>
      <c r="AN30" s="3395">
        <v>13208</v>
      </c>
      <c r="AO30" s="3131">
        <f>SUM(AN30*0.63)</f>
        <v>8321.04</v>
      </c>
      <c r="AP30" s="3395">
        <v>2145</v>
      </c>
      <c r="AQ30" s="3131">
        <f>SUM(AP30*0.63)</f>
        <v>1351.35</v>
      </c>
      <c r="AR30" s="3395">
        <v>413</v>
      </c>
      <c r="AS30" s="3131">
        <f>SUM(AR30*0.63)</f>
        <v>260.19</v>
      </c>
      <c r="AT30" s="3395">
        <v>520</v>
      </c>
      <c r="AU30" s="3131">
        <f>SUM(AT30*0.63)</f>
        <v>327.6</v>
      </c>
      <c r="AV30" s="3395">
        <v>16897</v>
      </c>
      <c r="AW30" s="3131">
        <f>SUM(AV30*0.63)</f>
        <v>10645.11</v>
      </c>
      <c r="AX30" s="3395">
        <v>75612</v>
      </c>
      <c r="AY30" s="3131">
        <f>SUM(AX30*0.63)</f>
        <v>47635.56</v>
      </c>
      <c r="AZ30" s="3395">
        <v>11</v>
      </c>
      <c r="BA30">
        <f>SUM(X30:X32)</f>
        <v>49733333</v>
      </c>
      <c r="BB30">
        <f>SUM(Y30:Y32)</f>
        <v>49733333</v>
      </c>
      <c r="BC30" s="3403">
        <f>BB30/BA30</f>
        <v>1</v>
      </c>
      <c r="BD30" s="3395">
        <v>61</v>
      </c>
      <c r="BE30" s="3395" t="s">
        <v>1099</v>
      </c>
      <c r="BF30" s="3385">
        <v>42583</v>
      </c>
      <c r="BG30" s="2883">
        <v>42583</v>
      </c>
      <c r="BH30" s="3385">
        <v>42735</v>
      </c>
      <c r="BI30" s="2883">
        <v>42735</v>
      </c>
      <c r="BJ30" t="s">
        <v>1100</v>
      </c>
    </row>
    <row r="31" spans="1:62" ht="77.25" customHeight="1">
      <c r="A31" s="1217"/>
      <c r="B31" s="1224"/>
      <c r="C31" s="852"/>
      <c r="D31" s="852"/>
      <c r="E31" s="852"/>
      <c r="F31" s="1225"/>
      <c r="G31" s="1224"/>
      <c r="H31" s="852"/>
      <c r="I31" s="1225"/>
      <c r="J31" s="2824">
        <v>137</v>
      </c>
      <c r="K31" s="2013" t="s">
        <v>1140</v>
      </c>
      <c r="L31" s="1970" t="s">
        <v>248</v>
      </c>
      <c r="M31" s="1965">
        <v>12</v>
      </c>
      <c r="N31" s="1251">
        <v>12</v>
      </c>
      <c r="O31" s="3292"/>
      <c r="P31" s="2906"/>
      <c r="Q31" s="3360"/>
      <c r="R31" s="1992">
        <f>W31/$S$30</f>
        <v>0.5102040816326531</v>
      </c>
      <c r="S31"/>
      <c r="T31" s="3292"/>
      <c r="U31" s="2094" t="s">
        <v>1141</v>
      </c>
      <c r="V31" s="2094" t="s">
        <v>1142</v>
      </c>
      <c r="W31" s="1249">
        <v>40000000</v>
      </c>
      <c r="X31" s="1250">
        <v>27150000</v>
      </c>
      <c r="Y31" s="1250">
        <v>27150000</v>
      </c>
      <c r="Z31"/>
      <c r="AA31" s="3360"/>
      <c r="AB31"/>
      <c r="AC31" s="3132"/>
      <c r="AD31"/>
      <c r="AE31" s="3132"/>
      <c r="AF31"/>
      <c r="AG31" s="3132"/>
      <c r="AH31"/>
      <c r="AI31" s="3132"/>
      <c r="AJ31"/>
      <c r="AK31" s="3132"/>
      <c r="AL31"/>
      <c r="AM31" s="3132"/>
      <c r="AN31"/>
      <c r="AO31" s="3132"/>
      <c r="AP31"/>
      <c r="AQ31" s="3132"/>
      <c r="AR31"/>
      <c r="AS31" s="3132"/>
      <c r="AT31"/>
      <c r="AU31" s="3132"/>
      <c r="AV31"/>
      <c r="AW31" s="3132"/>
      <c r="AX31"/>
      <c r="AY31" s="3132"/>
      <c r="AZ31"/>
      <c r="BA31"/>
      <c r="BB31"/>
      <c r="BC31" s="3544"/>
      <c r="BD31"/>
      <c r="BE31"/>
      <c r="BF31" s="3386"/>
      <c r="BG31" s="2884"/>
      <c r="BH31" s="3386"/>
      <c r="BI31" s="2884"/>
      <c r="BJ31"/>
    </row>
    <row r="32" spans="1:62" s="414" customFormat="1" ht="122.25" customHeight="1">
      <c r="A32" s="1217"/>
      <c r="B32" s="1224"/>
      <c r="C32" s="852"/>
      <c r="D32" s="852"/>
      <c r="E32" s="852"/>
      <c r="F32" s="1225"/>
      <c r="G32" s="1224"/>
      <c r="H32" s="852"/>
      <c r="I32" s="1225"/>
      <c r="J32" s="2821">
        <v>138</v>
      </c>
      <c r="K32" s="1975" t="s">
        <v>1143</v>
      </c>
      <c r="L32" s="1973" t="s">
        <v>248</v>
      </c>
      <c r="M32" s="1969">
        <v>12</v>
      </c>
      <c r="N32" s="2829">
        <v>12</v>
      </c>
      <c r="O32" s="3293"/>
      <c r="P32" s="2941"/>
      <c r="Q32" s="3361"/>
      <c r="R32" s="1974">
        <f>W32/$S$30</f>
        <v>0.17091836734693877</v>
      </c>
      <c r="S32"/>
      <c r="T32" s="3293"/>
      <c r="U32" s="2078" t="s">
        <v>1138</v>
      </c>
      <c r="V32" s="2078" t="s">
        <v>1144</v>
      </c>
      <c r="W32" s="1252">
        <v>13400000</v>
      </c>
      <c r="X32" s="1253">
        <v>4983333</v>
      </c>
      <c r="Y32" s="1253">
        <v>4983333</v>
      </c>
      <c r="Z32" s="3396"/>
      <c r="AA32" s="3361"/>
      <c r="AB32" s="3396"/>
      <c r="AC32" s="3167"/>
      <c r="AD32" s="3396"/>
      <c r="AE32" s="3167"/>
      <c r="AF32" s="3396"/>
      <c r="AG32" s="3167"/>
      <c r="AH32" s="3396"/>
      <c r="AI32" s="3167"/>
      <c r="AJ32" s="3396"/>
      <c r="AK32" s="3167"/>
      <c r="AL32" s="3396"/>
      <c r="AM32" s="3167"/>
      <c r="AN32" s="3396"/>
      <c r="AO32" s="3167"/>
      <c r="AP32" s="3396"/>
      <c r="AQ32" s="3167"/>
      <c r="AR32" s="3396"/>
      <c r="AS32" s="3167"/>
      <c r="AT32" s="3396"/>
      <c r="AU32" s="3167"/>
      <c r="AV32" s="3396"/>
      <c r="AW32" s="3167"/>
      <c r="AX32" s="3396"/>
      <c r="AY32" s="3167"/>
      <c r="AZ32"/>
      <c r="BA32"/>
      <c r="BB32"/>
      <c r="BC32" s="3404"/>
      <c r="BD32" s="3396"/>
      <c r="BE32" s="3396"/>
      <c r="BF32" s="3387"/>
      <c r="BG32" s="2885"/>
      <c r="BH32" s="3387"/>
      <c r="BI32" s="2885"/>
      <c r="BJ32"/>
    </row>
    <row r="33" spans="1:62" s="414" customFormat="1" ht="118.5" customHeight="1">
      <c r="A33" s="1972"/>
      <c r="B33" s="364"/>
      <c r="C33" s="1984"/>
      <c r="D33" s="1984"/>
      <c r="E33" s="1984"/>
      <c r="F33" s="1987"/>
      <c r="G33" s="1670"/>
      <c r="H33" s="1985"/>
      <c r="I33" s="1986"/>
      <c r="J33" s="2821">
        <v>138</v>
      </c>
      <c r="K33" s="1975" t="s">
        <v>1143</v>
      </c>
      <c r="L33" s="1973" t="s">
        <v>248</v>
      </c>
      <c r="M33" s="1969">
        <v>12</v>
      </c>
      <c r="N33" s="2828">
        <v>12</v>
      </c>
      <c r="O33" s="1989" t="s">
        <v>1145</v>
      </c>
      <c r="P33" s="1955">
        <v>136</v>
      </c>
      <c r="Q33" s="1975" t="s">
        <v>1146</v>
      </c>
      <c r="R33" s="1256">
        <v>1</v>
      </c>
      <c r="S33" s="1252">
        <v>11600000</v>
      </c>
      <c r="T33" s="1257" t="s">
        <v>1137</v>
      </c>
      <c r="U33" s="2078" t="s">
        <v>1138</v>
      </c>
      <c r="V33" s="2078" t="s">
        <v>1138</v>
      </c>
      <c r="W33" s="1252">
        <v>11600000</v>
      </c>
      <c r="X33" s="1250">
        <v>11600000</v>
      </c>
      <c r="Y33" s="1250">
        <v>11600000</v>
      </c>
      <c r="Z33" s="1981">
        <v>61</v>
      </c>
      <c r="AA33" s="1975" t="s">
        <v>1098</v>
      </c>
      <c r="AB33" s="1258">
        <v>64149</v>
      </c>
      <c r="AC33" s="1259">
        <v>64149</v>
      </c>
      <c r="AD33" s="1258">
        <v>72224</v>
      </c>
      <c r="AE33" s="1259">
        <v>72224</v>
      </c>
      <c r="AF33" s="1258">
        <v>27477</v>
      </c>
      <c r="AG33" s="1259">
        <v>27477</v>
      </c>
      <c r="AH33" s="1258">
        <v>86843</v>
      </c>
      <c r="AI33" s="1259">
        <v>86843</v>
      </c>
      <c r="AJ33" s="1258">
        <v>236429</v>
      </c>
      <c r="AK33" s="1259">
        <v>236429</v>
      </c>
      <c r="AL33" s="1258">
        <v>75612</v>
      </c>
      <c r="AM33" s="1259">
        <v>75612</v>
      </c>
      <c r="AN33" s="1258">
        <v>13208</v>
      </c>
      <c r="AO33" s="1259">
        <v>13208</v>
      </c>
      <c r="AP33" s="1258">
        <v>2145</v>
      </c>
      <c r="AQ33" s="1259">
        <v>2145</v>
      </c>
      <c r="AR33" s="1258">
        <v>413</v>
      </c>
      <c r="AS33" s="1259">
        <v>413</v>
      </c>
      <c r="AT33" s="1258">
        <v>520</v>
      </c>
      <c r="AU33" s="1259">
        <v>520</v>
      </c>
      <c r="AV33" s="1258">
        <v>16897</v>
      </c>
      <c r="AW33" s="1259">
        <v>16897</v>
      </c>
      <c r="AX33" s="1258">
        <v>75612</v>
      </c>
      <c r="AY33" s="1259">
        <v>75612</v>
      </c>
      <c r="AZ33" s="1991">
        <v>2</v>
      </c>
      <c r="BA33" s="2053">
        <v>11600000</v>
      </c>
      <c r="BB33" s="2053">
        <f>SUM(Y33)</f>
        <v>11600000</v>
      </c>
      <c r="BC33" s="1992">
        <f>BB33/BA33</f>
        <v>1</v>
      </c>
      <c r="BD33" s="1991">
        <v>61</v>
      </c>
      <c r="BE33" s="1991" t="s">
        <v>1099</v>
      </c>
      <c r="BF33" s="2006">
        <v>42583</v>
      </c>
      <c r="BG33" s="2005">
        <v>42583</v>
      </c>
      <c r="BH33" s="1260">
        <v>42735</v>
      </c>
      <c r="BI33" s="1261">
        <v>42735</v>
      </c>
      <c r="BJ33" s="2031" t="s">
        <v>1100</v>
      </c>
    </row>
    <row r="34" spans="1:68" ht="34.5" customHeight="1">
      <c r="A34" s="1208"/>
      <c r="B34" s="1218"/>
      <c r="C34" s="657"/>
      <c r="D34" s="657"/>
      <c r="E34" s="657"/>
      <c r="F34" s="1219"/>
      <c r="G34" s="2054">
        <v>39</v>
      </c>
      <c r="H34" s="51" t="s">
        <v>1147</v>
      </c>
      <c r="I34" s="51"/>
      <c r="J34" s="1759"/>
      <c r="K34" s="476"/>
      <c r="L34" s="2030"/>
      <c r="M34" s="2030"/>
      <c r="N34" s="799"/>
      <c r="O34" s="476"/>
      <c r="P34" s="2030"/>
      <c r="Q34" s="476"/>
      <c r="R34" s="2030"/>
      <c r="S34" s="476"/>
      <c r="T34" s="476"/>
      <c r="U34" s="476"/>
      <c r="V34" s="476"/>
      <c r="W34" s="1239"/>
      <c r="X34" s="1214"/>
      <c r="Y34" s="1214"/>
      <c r="Z34" s="2029"/>
      <c r="AA34" s="476"/>
      <c r="AB34" s="476"/>
      <c r="AC34" s="1213"/>
      <c r="AD34" s="476"/>
      <c r="AE34" s="1213"/>
      <c r="AF34" s="476"/>
      <c r="AG34" s="1213"/>
      <c r="AH34" s="476"/>
      <c r="AI34" s="1213"/>
      <c r="AJ34" s="476"/>
      <c r="AK34" s="1213"/>
      <c r="AL34" s="476"/>
      <c r="AM34" s="1213"/>
      <c r="AN34" s="476"/>
      <c r="AO34" s="1213"/>
      <c r="AP34" s="476"/>
      <c r="AQ34" s="1213"/>
      <c r="AR34" s="476"/>
      <c r="AS34" s="1213"/>
      <c r="AT34" s="476"/>
      <c r="AU34" s="1213"/>
      <c r="AV34" s="476"/>
      <c r="AW34" s="1213"/>
      <c r="AX34" s="476"/>
      <c r="AY34" s="1213"/>
      <c r="AZ34" s="476"/>
      <c r="BA34" s="2052"/>
      <c r="BB34" s="2052"/>
      <c r="BC34" s="1236"/>
      <c r="BD34" s="476"/>
      <c r="BE34" s="476"/>
      <c r="BF34" s="51"/>
      <c r="BG34" s="475"/>
      <c r="BH34" s="51"/>
      <c r="BI34" s="475"/>
      <c r="BJ34" s="51"/>
      <c r="BK34" s="1"/>
      <c r="BL34" s="1"/>
      <c r="BM34" s="1"/>
      <c r="BN34" s="1"/>
      <c r="BO34" s="1"/>
      <c r="BP34" s="1"/>
    </row>
    <row r="35" spans="1:68" ht="95.25" customHeight="1">
      <c r="A35" s="1262"/>
      <c r="B35" s="2036"/>
      <c r="C35" s="2037"/>
      <c r="D35" s="2037"/>
      <c r="E35" s="2037"/>
      <c r="F35" s="2038"/>
      <c r="G35" s="2055"/>
      <c r="H35" s="1263"/>
      <c r="I35" s="1264"/>
      <c r="J35" s="2824">
        <v>139</v>
      </c>
      <c r="K35" s="2013" t="s">
        <v>1148</v>
      </c>
      <c r="L35" s="1970" t="s">
        <v>248</v>
      </c>
      <c r="M35" s="1965">
        <v>1</v>
      </c>
      <c r="N35" s="2827">
        <v>1</v>
      </c>
      <c r="O35" s="2013" t="s">
        <v>1149</v>
      </c>
      <c r="P35" s="1965">
        <v>137</v>
      </c>
      <c r="Q35" s="2013" t="s">
        <v>1150</v>
      </c>
      <c r="R35" s="1265">
        <v>1</v>
      </c>
      <c r="S35" s="1266">
        <v>60000000</v>
      </c>
      <c r="T35" s="2072" t="s">
        <v>1151</v>
      </c>
      <c r="U35" s="2094" t="s">
        <v>1152</v>
      </c>
      <c r="V35" s="2094" t="s">
        <v>1153</v>
      </c>
      <c r="W35" s="1267">
        <v>60000000</v>
      </c>
      <c r="X35" s="1268">
        <v>60000000</v>
      </c>
      <c r="Y35" s="1268">
        <v>60000000</v>
      </c>
      <c r="Z35" s="2012">
        <v>61</v>
      </c>
      <c r="AA35" s="1270" t="s">
        <v>1098</v>
      </c>
      <c r="AB35" s="1980">
        <v>64149</v>
      </c>
      <c r="AC35" s="1982">
        <v>64149</v>
      </c>
      <c r="AD35" s="1980">
        <v>72224</v>
      </c>
      <c r="AE35" s="1982">
        <v>72224</v>
      </c>
      <c r="AF35" s="1980">
        <v>27477</v>
      </c>
      <c r="AG35" s="1982">
        <v>27477</v>
      </c>
      <c r="AH35" s="1980">
        <v>86843</v>
      </c>
      <c r="AI35" s="1982">
        <v>86843</v>
      </c>
      <c r="AJ35" s="1980">
        <v>236429</v>
      </c>
      <c r="AK35" s="1982">
        <v>236429</v>
      </c>
      <c r="AL35" s="1980">
        <v>75612</v>
      </c>
      <c r="AM35" s="1982">
        <v>75612</v>
      </c>
      <c r="AN35" s="1980">
        <v>13208</v>
      </c>
      <c r="AO35" s="1982">
        <v>13208</v>
      </c>
      <c r="AP35" s="1980">
        <v>2145</v>
      </c>
      <c r="AQ35" s="1982">
        <v>2145</v>
      </c>
      <c r="AR35" s="1980">
        <v>413</v>
      </c>
      <c r="AS35" s="1982">
        <v>413</v>
      </c>
      <c r="AT35" s="1980">
        <v>520</v>
      </c>
      <c r="AU35" s="1982">
        <v>520</v>
      </c>
      <c r="AV35" s="1980">
        <v>16897</v>
      </c>
      <c r="AW35" s="1982">
        <v>16897</v>
      </c>
      <c r="AX35" s="1980">
        <v>75612</v>
      </c>
      <c r="AY35" s="1982">
        <v>75612</v>
      </c>
      <c r="AZ35" s="1991">
        <v>6</v>
      </c>
      <c r="BA35" s="2056">
        <f>SUM(X35)</f>
        <v>60000000</v>
      </c>
      <c r="BB35" s="2056">
        <f>SUM(Y35)</f>
        <v>60000000</v>
      </c>
      <c r="BC35" s="1992">
        <f>+BB35/BA35</f>
        <v>1</v>
      </c>
      <c r="BD35" s="1980">
        <v>61</v>
      </c>
      <c r="BE35" s="1980" t="s">
        <v>1099</v>
      </c>
      <c r="BF35" s="2006">
        <v>42583</v>
      </c>
      <c r="BG35" s="2005">
        <v>42583</v>
      </c>
      <c r="BH35" s="1260">
        <v>42735</v>
      </c>
      <c r="BI35" s="1261">
        <v>42735</v>
      </c>
      <c r="BJ35" s="2031" t="s">
        <v>1100</v>
      </c>
      <c r="BK35" s="1"/>
      <c r="BL35" s="1"/>
      <c r="BM35" s="1"/>
      <c r="BN35" s="1"/>
      <c r="BO35" s="1"/>
      <c r="BP35" s="1"/>
    </row>
    <row r="36" spans="1:62" s="414" customFormat="1" ht="64.5" customHeight="1">
      <c r="A36" s="1271"/>
      <c r="B36" s="1272"/>
      <c r="C36" s="1273"/>
      <c r="D36" s="1273"/>
      <c r="E36" s="1273"/>
      <c r="F36" s="1274"/>
      <c r="G36" s="1272"/>
      <c r="H36" s="1273"/>
      <c r="I36" s="1274"/>
      <c r="J36" s="2821">
        <v>139</v>
      </c>
      <c r="K36" s="1975" t="s">
        <v>1148</v>
      </c>
      <c r="L36" s="1973" t="s">
        <v>248</v>
      </c>
      <c r="M36" s="1969">
        <v>1</v>
      </c>
      <c r="N36" s="2831">
        <v>1</v>
      </c>
      <c r="O36" s="3091" t="s">
        <v>1154</v>
      </c>
      <c r="P36" s="2949">
        <v>138</v>
      </c>
      <c r="Q36" s="3091" t="s">
        <v>1155</v>
      </c>
      <c r="R36" s="1971">
        <f>W36/$S$36</f>
        <v>0.375</v>
      </c>
      <c r="S36">
        <v>80000000</v>
      </c>
      <c r="T36" s="2971" t="s">
        <v>1151</v>
      </c>
      <c r="U36" s="2078" t="s">
        <v>1152</v>
      </c>
      <c r="V36" s="2078" t="s">
        <v>1156</v>
      </c>
      <c r="W36" s="1252">
        <v>30000000</v>
      </c>
      <c r="X36" s="1250">
        <v>26250000</v>
      </c>
      <c r="Y36" s="1250">
        <v>26250000</v>
      </c>
      <c r="Z36" s="3100">
        <v>61</v>
      </c>
      <c r="AA36" s="3091" t="s">
        <v>1098</v>
      </c>
      <c r="AB36" s="3100">
        <v>64149</v>
      </c>
      <c r="AC36" s="3131">
        <f>SUM(AB36*0.59)</f>
        <v>37847.909999999996</v>
      </c>
      <c r="AD36" s="3100">
        <v>72224</v>
      </c>
      <c r="AE36" s="3131">
        <f>SUM(AD36*0.59)</f>
        <v>42612.159999999996</v>
      </c>
      <c r="AF36" s="3100">
        <v>27477</v>
      </c>
      <c r="AG36" s="3131">
        <f>SUM(AF36*0.59)</f>
        <v>16211.429999999998</v>
      </c>
      <c r="AH36" s="3100">
        <v>86843</v>
      </c>
      <c r="AI36" s="3131">
        <f>SUM(AH36*0.59)</f>
        <v>51237.369999999995</v>
      </c>
      <c r="AJ36" s="3100">
        <v>236429</v>
      </c>
      <c r="AK36" s="3131">
        <f>SUM(AJ36*0.59)</f>
        <v>139493.11</v>
      </c>
      <c r="AL36" s="3100">
        <v>75612</v>
      </c>
      <c r="AM36" s="3131">
        <f>SUM(AL36*0.59)</f>
        <v>44611.079999999994</v>
      </c>
      <c r="AN36" s="3100">
        <v>13208</v>
      </c>
      <c r="AO36" s="3131">
        <f>SUM(AN36*0.59)</f>
        <v>7792.719999999999</v>
      </c>
      <c r="AP36" s="3100">
        <v>2145</v>
      </c>
      <c r="AQ36" s="3131">
        <f>SUM(AP36*0.59)</f>
        <v>1265.55</v>
      </c>
      <c r="AR36" s="3100">
        <v>413</v>
      </c>
      <c r="AS36" s="3131">
        <f>SUM(AR36*0.59)</f>
        <v>243.67</v>
      </c>
      <c r="AT36" s="3100">
        <v>520</v>
      </c>
      <c r="AU36" s="3131">
        <f>SUM(AT36*0.59)</f>
        <v>306.8</v>
      </c>
      <c r="AV36" s="3100">
        <v>16897</v>
      </c>
      <c r="AW36" s="3131">
        <f>SUM(AV36*0.59)</f>
        <v>9969.23</v>
      </c>
      <c r="AX36" s="3100">
        <v>75612</v>
      </c>
      <c r="AY36" s="3131">
        <f>SUM(AX36*0.59)</f>
        <v>44611.079999999994</v>
      </c>
      <c r="AZ36" s="3395">
        <v>9</v>
      </c>
      <c r="BA36">
        <f>SUM(X36:X38)</f>
        <v>47500000</v>
      </c>
      <c r="BB36">
        <f>SUM(Y36:Y38)</f>
        <v>47500000</v>
      </c>
      <c r="BC36" s="2892">
        <f>BA36/BB36</f>
        <v>1</v>
      </c>
      <c r="BD36" s="3100">
        <v>61</v>
      </c>
      <c r="BE36" s="3100" t="s">
        <v>1099</v>
      </c>
      <c r="BF36" s="2992">
        <v>42583</v>
      </c>
      <c r="BG36" s="2883">
        <v>42583</v>
      </c>
      <c r="BH36" s="2992">
        <v>42735</v>
      </c>
      <c r="BI36" s="2883">
        <v>42735</v>
      </c>
      <c r="BJ36" t="s">
        <v>1100</v>
      </c>
    </row>
    <row r="37" spans="1:62" s="414" customFormat="1" ht="48" customHeight="1">
      <c r="A37" s="1271"/>
      <c r="B37" s="1272"/>
      <c r="C37" s="1273"/>
      <c r="D37" s="1273"/>
      <c r="E37" s="1273"/>
      <c r="F37" s="1274"/>
      <c r="G37" s="1272"/>
      <c r="H37" s="1273"/>
      <c r="I37" s="1274"/>
      <c r="J37" s="2821">
        <v>140</v>
      </c>
      <c r="K37" s="365" t="s">
        <v>1157</v>
      </c>
      <c r="L37" s="1973" t="s">
        <v>248</v>
      </c>
      <c r="M37" s="1973">
        <v>1</v>
      </c>
      <c r="N37" s="2831">
        <v>1</v>
      </c>
      <c r="O37" s="3092"/>
      <c r="P37" s="2950"/>
      <c r="Q37" s="3092"/>
      <c r="R37" s="1971">
        <f>W37/$S$36</f>
        <v>0.3125</v>
      </c>
      <c r="S37"/>
      <c r="T37" s="2972"/>
      <c r="U37" s="365" t="s">
        <v>1158</v>
      </c>
      <c r="V37" s="2087" t="s">
        <v>1159</v>
      </c>
      <c r="W37" s="2033">
        <v>25000000</v>
      </c>
      <c r="X37" s="1250">
        <v>17500000</v>
      </c>
      <c r="Y37" s="1250">
        <v>17500000</v>
      </c>
      <c r="Z37" s="3101"/>
      <c r="AA37" s="3092"/>
      <c r="AB37" s="3101"/>
      <c r="AC37" s="3132"/>
      <c r="AD37" s="3101"/>
      <c r="AE37" s="3132"/>
      <c r="AF37" s="3101"/>
      <c r="AG37" s="3132"/>
      <c r="AH37" s="3101"/>
      <c r="AI37" s="3132"/>
      <c r="AJ37" s="3101"/>
      <c r="AK37" s="3132"/>
      <c r="AL37" s="3101"/>
      <c r="AM37" s="3132"/>
      <c r="AN37" s="3101"/>
      <c r="AO37" s="3132"/>
      <c r="AP37" s="3101"/>
      <c r="AQ37" s="3132"/>
      <c r="AR37" s="3101"/>
      <c r="AS37" s="3132"/>
      <c r="AT37" s="3101"/>
      <c r="AU37" s="3132"/>
      <c r="AV37" s="3101"/>
      <c r="AW37" s="3132"/>
      <c r="AX37" s="3101"/>
      <c r="AY37" s="3132"/>
      <c r="AZ37"/>
      <c r="BA37"/>
      <c r="BB37"/>
      <c r="BC37" t="e">
        <f aca="true" t="shared" si="0" ref="BC37:BC49">+BB37/BA37</f>
        <v>#DIV/0!</v>
      </c>
      <c r="BD37" s="3101"/>
      <c r="BE37" s="3101"/>
      <c r="BF37" s="2993"/>
      <c r="BG37" s="2884"/>
      <c r="BH37" s="2993"/>
      <c r="BI37" s="2884"/>
      <c r="BJ37"/>
    </row>
    <row r="38" spans="1:62" s="414" customFormat="1" ht="87.75" customHeight="1">
      <c r="A38" s="1271"/>
      <c r="B38" s="1272"/>
      <c r="C38" s="1273"/>
      <c r="D38" s="1273"/>
      <c r="E38" s="1273"/>
      <c r="F38" s="1274"/>
      <c r="G38" s="2057"/>
      <c r="H38" s="1275"/>
      <c r="I38" s="1276"/>
      <c r="J38" s="2821">
        <v>141</v>
      </c>
      <c r="K38" s="365" t="s">
        <v>1160</v>
      </c>
      <c r="L38" s="1973" t="s">
        <v>248</v>
      </c>
      <c r="M38" s="1973">
        <v>1</v>
      </c>
      <c r="N38" s="2831">
        <v>1</v>
      </c>
      <c r="O38" s="3093"/>
      <c r="P38" s="2951"/>
      <c r="Q38" s="3093"/>
      <c r="R38" s="1971">
        <f>W38/$S$36</f>
        <v>0.3125</v>
      </c>
      <c r="S38"/>
      <c r="T38" s="2973"/>
      <c r="U38" s="365" t="s">
        <v>1161</v>
      </c>
      <c r="V38" s="2087" t="s">
        <v>1162</v>
      </c>
      <c r="W38" s="2033">
        <v>25000000</v>
      </c>
      <c r="X38" s="1253">
        <v>3750000</v>
      </c>
      <c r="Y38" s="1253">
        <v>3750000</v>
      </c>
      <c r="Z38" s="3102"/>
      <c r="AA38" s="3093"/>
      <c r="AB38" s="3102"/>
      <c r="AC38" s="3167"/>
      <c r="AD38" s="3102"/>
      <c r="AE38" s="3167"/>
      <c r="AF38" s="3102"/>
      <c r="AG38" s="3167"/>
      <c r="AH38" s="3102"/>
      <c r="AI38" s="3167"/>
      <c r="AJ38" s="3102"/>
      <c r="AK38" s="3167"/>
      <c r="AL38" s="3102"/>
      <c r="AM38" s="3167"/>
      <c r="AN38" s="3102"/>
      <c r="AO38" s="3167"/>
      <c r="AP38" s="3102"/>
      <c r="AQ38" s="3167"/>
      <c r="AR38" s="3102"/>
      <c r="AS38" s="3167"/>
      <c r="AT38" s="3102"/>
      <c r="AU38" s="3167"/>
      <c r="AV38" s="3102"/>
      <c r="AW38" s="3167"/>
      <c r="AX38" s="3102"/>
      <c r="AY38" s="3167"/>
      <c r="AZ38" s="3396"/>
      <c r="BA38"/>
      <c r="BB38"/>
      <c r="BC38" t="e">
        <f t="shared" si="0"/>
        <v>#DIV/0!</v>
      </c>
      <c r="BD38" s="3102"/>
      <c r="BE38" s="3102"/>
      <c r="BF38" s="2994"/>
      <c r="BG38" s="2885"/>
      <c r="BH38" s="2994"/>
      <c r="BI38" s="2885"/>
      <c r="BJ38"/>
    </row>
    <row r="39" spans="1:68" ht="36" customHeight="1">
      <c r="A39" s="1208"/>
      <c r="B39" s="1218"/>
      <c r="C39" s="657"/>
      <c r="D39" s="657"/>
      <c r="E39" s="657"/>
      <c r="F39" s="1219"/>
      <c r="G39" s="1212">
        <v>40</v>
      </c>
      <c r="H39" s="51" t="s">
        <v>1163</v>
      </c>
      <c r="I39" s="51"/>
      <c r="J39" s="1759"/>
      <c r="K39" s="476"/>
      <c r="L39" s="2030"/>
      <c r="M39" s="2030"/>
      <c r="N39" s="799"/>
      <c r="O39" s="476"/>
      <c r="P39" s="2030"/>
      <c r="Q39" s="476"/>
      <c r="R39" s="2030"/>
      <c r="S39" s="476"/>
      <c r="T39" s="476"/>
      <c r="U39" s="476"/>
      <c r="V39" s="476"/>
      <c r="W39" s="1277"/>
      <c r="X39" s="1278"/>
      <c r="Y39" s="1278"/>
      <c r="Z39" s="2029"/>
      <c r="AA39" s="476"/>
      <c r="AB39" s="476"/>
      <c r="AC39" s="1213"/>
      <c r="AD39" s="476"/>
      <c r="AE39" s="1213"/>
      <c r="AF39" s="2029"/>
      <c r="AG39"/>
      <c r="AH39"/>
      <c r="AI39" s="1213"/>
      <c r="AJ39"/>
      <c r="AK39"/>
      <c r="AL39" s="476"/>
      <c r="AM39"/>
      <c r="AN39"/>
      <c r="AO39" s="1279"/>
      <c r="AP39" s="476"/>
      <c r="AQ39" s="1213"/>
      <c r="AR39" s="476"/>
      <c r="AS39" s="1213"/>
      <c r="AT39" s="476"/>
      <c r="AU39" s="1213"/>
      <c r="AV39" s="2029"/>
      <c r="AW39" s="1279"/>
      <c r="AX39" s="476"/>
      <c r="AY39" s="1213"/>
      <c r="AZ39" s="476"/>
      <c r="BA39" s="2052"/>
      <c r="BB39" s="2052"/>
      <c r="BC39" s="1236"/>
      <c r="BD39" s="476"/>
      <c r="BE39" s="476"/>
      <c r="BF39" s="51"/>
      <c r="BG39" s="475"/>
      <c r="BH39" s="51"/>
      <c r="BI39" s="475"/>
      <c r="BJ39" s="51"/>
      <c r="BK39" s="1"/>
      <c r="BL39" s="1"/>
      <c r="BM39" s="1"/>
      <c r="BN39" s="1"/>
      <c r="BO39" s="1"/>
      <c r="BP39" s="1"/>
    </row>
    <row r="40" spans="1:62" ht="149.25" customHeight="1">
      <c r="A40" s="546"/>
      <c r="B40" s="1241"/>
      <c r="C40" s="545"/>
      <c r="D40" s="545"/>
      <c r="E40" s="545"/>
      <c r="F40" s="1242"/>
      <c r="G40" s="1371"/>
      <c r="H40" s="1243"/>
      <c r="I40" s="1244"/>
      <c r="J40" s="2824">
        <v>142</v>
      </c>
      <c r="K40" s="2002" t="s">
        <v>1164</v>
      </c>
      <c r="L40" s="1970" t="s">
        <v>248</v>
      </c>
      <c r="M40" s="1970">
        <v>12</v>
      </c>
      <c r="N40" s="2831">
        <v>12</v>
      </c>
      <c r="O40" s="2910" t="s">
        <v>1165</v>
      </c>
      <c r="P40" s="2905">
        <v>139</v>
      </c>
      <c r="Q40" s="3359" t="s">
        <v>1166</v>
      </c>
      <c r="R40" s="1971">
        <v>0.9</v>
      </c>
      <c r="S40">
        <v>10000000</v>
      </c>
      <c r="T40" s="2910" t="s">
        <v>1167</v>
      </c>
      <c r="U40" s="2088" t="s">
        <v>1168</v>
      </c>
      <c r="V40" s="2090" t="s">
        <v>1169</v>
      </c>
      <c r="W40" s="2025">
        <v>10000000</v>
      </c>
      <c r="X40" s="1250">
        <v>9650000</v>
      </c>
      <c r="Y40" s="1250">
        <v>9650000</v>
      </c>
      <c r="Z40" s="3395">
        <v>61</v>
      </c>
      <c r="AA40" s="3359" t="s">
        <v>1098</v>
      </c>
      <c r="AB40" s="3395">
        <v>64149</v>
      </c>
      <c r="AC40" s="3131">
        <f>SUM(AB40*0.97)</f>
        <v>62224.53</v>
      </c>
      <c r="AD40" s="3395">
        <v>72224</v>
      </c>
      <c r="AE40" s="3131">
        <f>SUM(AD40*0.97)</f>
        <v>70057.28</v>
      </c>
      <c r="AF40" s="3395">
        <v>27477</v>
      </c>
      <c r="AG40" s="3131">
        <f>SUM(AF40*0.97)</f>
        <v>26652.69</v>
      </c>
      <c r="AH40" s="3395">
        <v>86843</v>
      </c>
      <c r="AI40" s="3131">
        <f>SUM(AH40*0.97)</f>
        <v>84237.70999999999</v>
      </c>
      <c r="AJ40" s="3395">
        <v>236429</v>
      </c>
      <c r="AK40" s="3131">
        <f>SUM(AJ40*0.97)</f>
        <v>229336.13</v>
      </c>
      <c r="AL40" s="3395">
        <v>75612</v>
      </c>
      <c r="AM40" s="3131">
        <f>SUM(AL40*0.97)</f>
        <v>73343.64</v>
      </c>
      <c r="AN40" s="3395">
        <v>13208</v>
      </c>
      <c r="AO40" s="3131">
        <f>SUM(AN40*0.97)</f>
        <v>12811.76</v>
      </c>
      <c r="AP40" s="3395">
        <v>2145</v>
      </c>
      <c r="AQ40" s="3131">
        <f>SUM(AP40*0.97)</f>
        <v>2080.65</v>
      </c>
      <c r="AR40" s="3395">
        <v>413</v>
      </c>
      <c r="AS40" s="3131">
        <f>SUM(AR40*0.97)</f>
        <v>400.61</v>
      </c>
      <c r="AT40" s="3395">
        <v>520</v>
      </c>
      <c r="AU40" s="3131">
        <f>SUM(AT40*0.97)</f>
        <v>504.4</v>
      </c>
      <c r="AV40" s="3395">
        <v>16897</v>
      </c>
      <c r="AW40" s="3131">
        <f>SUM(AV40*0.97)</f>
        <v>16390.09</v>
      </c>
      <c r="AX40" s="3395">
        <v>75612</v>
      </c>
      <c r="AY40" s="3131">
        <f>SUM(AX40*0.97)</f>
        <v>73343.64</v>
      </c>
      <c r="AZ40">
        <v>3</v>
      </c>
      <c r="BA40">
        <f>SUM(X40)</f>
        <v>9650000</v>
      </c>
      <c r="BB40">
        <f>SUM(Y40)</f>
        <v>9650000</v>
      </c>
      <c r="BC40" s="3403">
        <f>BA40/BB40</f>
        <v>1</v>
      </c>
      <c r="BD40" s="3395">
        <v>61</v>
      </c>
      <c r="BE40" s="3395" t="s">
        <v>1099</v>
      </c>
      <c r="BF40" s="3385">
        <v>42583</v>
      </c>
      <c r="BG40" s="2883">
        <v>42583</v>
      </c>
      <c r="BH40" s="3385">
        <v>42735</v>
      </c>
      <c r="BI40" s="2883">
        <v>42735</v>
      </c>
      <c r="BJ40" t="s">
        <v>1100</v>
      </c>
    </row>
    <row r="41" spans="1:62" ht="117.75" customHeight="1">
      <c r="A41" s="546"/>
      <c r="B41" s="1241"/>
      <c r="C41" s="545"/>
      <c r="D41" s="545"/>
      <c r="E41" s="545"/>
      <c r="F41" s="1242"/>
      <c r="G41" s="1241"/>
      <c r="H41" s="545"/>
      <c r="I41" s="1242"/>
      <c r="J41" s="2824">
        <v>143</v>
      </c>
      <c r="K41" s="2002" t="s">
        <v>1170</v>
      </c>
      <c r="L41" s="1970" t="s">
        <v>248</v>
      </c>
      <c r="M41" s="1970">
        <v>1</v>
      </c>
      <c r="N41" s="2831">
        <v>1</v>
      </c>
      <c r="O41" s="3293"/>
      <c r="P41" s="2941"/>
      <c r="Q41" s="3361"/>
      <c r="R41" s="1974">
        <v>0.1</v>
      </c>
      <c r="S41"/>
      <c r="T41" s="3293"/>
      <c r="U41" s="2088" t="s">
        <v>1171</v>
      </c>
      <c r="V41" s="2090" t="s">
        <v>1172</v>
      </c>
      <c r="W41" s="2025">
        <v>0</v>
      </c>
      <c r="X41" s="1253">
        <v>0</v>
      </c>
      <c r="Y41" s="1253">
        <v>0</v>
      </c>
      <c r="Z41" s="3396"/>
      <c r="AA41" s="3361"/>
      <c r="AB41" s="3396"/>
      <c r="AC41" s="3167"/>
      <c r="AD41" s="3396"/>
      <c r="AE41" s="3167"/>
      <c r="AF41" s="3396"/>
      <c r="AG41" s="3167"/>
      <c r="AH41" s="3396"/>
      <c r="AI41" s="3167"/>
      <c r="AJ41" s="3396"/>
      <c r="AK41" s="3167"/>
      <c r="AL41" s="3396"/>
      <c r="AM41" s="3167"/>
      <c r="AN41" s="3396"/>
      <c r="AO41" s="3167"/>
      <c r="AP41" s="3396"/>
      <c r="AQ41" s="3167"/>
      <c r="AR41" s="3396"/>
      <c r="AS41" s="3167"/>
      <c r="AT41" s="3396"/>
      <c r="AU41" s="3167"/>
      <c r="AV41" s="3396"/>
      <c r="AW41" s="3167"/>
      <c r="AX41" s="3396"/>
      <c r="AY41" s="3167"/>
      <c r="AZ41"/>
      <c r="BA41"/>
      <c r="BB41"/>
      <c r="BC41" t="e">
        <f t="shared" si="0"/>
        <v>#DIV/0!</v>
      </c>
      <c r="BD41" s="3396"/>
      <c r="BE41" s="3396"/>
      <c r="BF41" s="3387"/>
      <c r="BG41" s="2885"/>
      <c r="BH41" s="3387"/>
      <c r="BI41" s="2885"/>
      <c r="BJ41"/>
    </row>
    <row r="42" spans="1:62" s="414" customFormat="1" ht="156.75">
      <c r="A42" s="1281"/>
      <c r="B42" s="1282"/>
      <c r="C42" s="1283"/>
      <c r="D42" s="1283"/>
      <c r="E42" s="1283"/>
      <c r="F42" s="1284"/>
      <c r="G42" s="1282"/>
      <c r="H42" s="1283"/>
      <c r="I42" s="1284"/>
      <c r="J42" s="2820">
        <v>144</v>
      </c>
      <c r="K42" s="416" t="s">
        <v>1173</v>
      </c>
      <c r="L42" s="1972" t="s">
        <v>248</v>
      </c>
      <c r="M42" s="2553">
        <v>5</v>
      </c>
      <c r="N42" s="2831">
        <v>4</v>
      </c>
      <c r="O42" s="604" t="s">
        <v>1174</v>
      </c>
      <c r="P42" s="2007">
        <v>140</v>
      </c>
      <c r="Q42" s="1979" t="s">
        <v>1175</v>
      </c>
      <c r="R42" s="1971">
        <v>1</v>
      </c>
      <c r="S42" s="2032">
        <v>77600000</v>
      </c>
      <c r="T42" s="2075" t="s">
        <v>1176</v>
      </c>
      <c r="U42" s="416" t="s">
        <v>1177</v>
      </c>
      <c r="V42" s="2087" t="s">
        <v>1178</v>
      </c>
      <c r="W42" s="1285">
        <v>77600000</v>
      </c>
      <c r="X42" s="1286">
        <v>77600000</v>
      </c>
      <c r="Y42" s="1286">
        <v>77600000</v>
      </c>
      <c r="Z42" s="1983">
        <v>61</v>
      </c>
      <c r="AA42" s="1976" t="s">
        <v>1098</v>
      </c>
      <c r="AB42" s="1991">
        <v>27768</v>
      </c>
      <c r="AC42" s="1982">
        <f>SUM(AB42*1)</f>
        <v>27768</v>
      </c>
      <c r="AD42" s="1991">
        <v>40321</v>
      </c>
      <c r="AE42" s="1982">
        <f>SUM(AD42*1)</f>
        <v>40321</v>
      </c>
      <c r="AF42" s="1991">
        <v>13182</v>
      </c>
      <c r="AG42" s="1982">
        <f>SUM(AF42*1)</f>
        <v>13182</v>
      </c>
      <c r="AH42" s="1991">
        <v>42187</v>
      </c>
      <c r="AI42" s="1982">
        <f>SUM(AH42*1)</f>
        <v>42187</v>
      </c>
      <c r="AJ42" s="1991">
        <v>109758</v>
      </c>
      <c r="AK42" s="1982">
        <f>SUM(AJ42*1)</f>
        <v>109758</v>
      </c>
      <c r="AL42" s="1991">
        <v>37091</v>
      </c>
      <c r="AM42" s="1982">
        <f>SUM(AL42*1)</f>
        <v>37091</v>
      </c>
      <c r="AN42" s="1991" t="s">
        <v>868</v>
      </c>
      <c r="AO42" s="1982" t="s">
        <v>868</v>
      </c>
      <c r="AP42" s="1991" t="s">
        <v>868</v>
      </c>
      <c r="AQ42" s="1982" t="s">
        <v>868</v>
      </c>
      <c r="AR42" s="1991" t="s">
        <v>868</v>
      </c>
      <c r="AS42" s="1982" t="s">
        <v>868</v>
      </c>
      <c r="AT42" s="1991" t="s">
        <v>868</v>
      </c>
      <c r="AU42" s="1982" t="s">
        <v>868</v>
      </c>
      <c r="AV42" s="1991" t="s">
        <v>868</v>
      </c>
      <c r="AW42" s="1982" t="s">
        <v>868</v>
      </c>
      <c r="AX42" s="1991" t="s">
        <v>868</v>
      </c>
      <c r="AY42" s="1982" t="s">
        <v>868</v>
      </c>
      <c r="AZ42" s="2010">
        <v>11</v>
      </c>
      <c r="BA42" s="2058">
        <v>77600000</v>
      </c>
      <c r="BB42" s="2058">
        <v>77600000</v>
      </c>
      <c r="BC42" s="2003">
        <f>BB42/BA42</f>
        <v>1</v>
      </c>
      <c r="BD42" s="2010">
        <v>61</v>
      </c>
      <c r="BE42" s="2010" t="s">
        <v>1099</v>
      </c>
      <c r="BF42" s="1968">
        <v>42583</v>
      </c>
      <c r="BG42" s="1967">
        <v>42583</v>
      </c>
      <c r="BH42" s="1968">
        <v>42735</v>
      </c>
      <c r="BI42" s="1967">
        <v>42735</v>
      </c>
      <c r="BJ42" s="2031" t="s">
        <v>1100</v>
      </c>
    </row>
    <row r="43" spans="1:62" ht="58.5" customHeight="1">
      <c r="A43" s="1217"/>
      <c r="B43" s="1224"/>
      <c r="C43" s="852"/>
      <c r="D43" s="852"/>
      <c r="E43" s="852"/>
      <c r="F43" s="1225"/>
      <c r="G43" s="1224"/>
      <c r="H43" s="852"/>
      <c r="I43" s="1225"/>
      <c r="J43" s="3012">
        <v>144</v>
      </c>
      <c r="K43" s="3359" t="s">
        <v>1173</v>
      </c>
      <c r="L43" s="3012" t="s">
        <v>248</v>
      </c>
      <c r="M43" s="2905">
        <v>5</v>
      </c>
      <c r="N43" s="2977">
        <v>4</v>
      </c>
      <c r="O43" s="2910" t="s">
        <v>1179</v>
      </c>
      <c r="P43" s="2905">
        <v>141</v>
      </c>
      <c r="Q43" s="3359" t="s">
        <v>1180</v>
      </c>
      <c r="R43" s="3403">
        <f>(W43+W44)/S43</f>
        <v>0.7699903320330661</v>
      </c>
      <c r="S43">
        <v>342259135</v>
      </c>
      <c r="T43" s="2910" t="s">
        <v>1181</v>
      </c>
      <c r="U43" s="2910" t="s">
        <v>1182</v>
      </c>
      <c r="V43" s="2090" t="s">
        <v>1183</v>
      </c>
      <c r="W43" s="1288">
        <v>78600534</v>
      </c>
      <c r="X43" s="1289">
        <v>22034550</v>
      </c>
      <c r="Y43" s="1289">
        <v>22034550</v>
      </c>
      <c r="Z43">
        <v>108</v>
      </c>
      <c r="AA43" s="3359" t="s">
        <v>1098</v>
      </c>
      <c r="AB43" s="3395">
        <v>27768</v>
      </c>
      <c r="AC43" s="3131">
        <f>SUM(AB43*0.22)</f>
        <v>6108.96</v>
      </c>
      <c r="AD43" s="3395">
        <v>40321</v>
      </c>
      <c r="AE43" s="3131">
        <f>SUM(AD43*0.22)</f>
        <v>8870.62</v>
      </c>
      <c r="AF43" s="3395">
        <v>13182</v>
      </c>
      <c r="AG43" s="3131">
        <f>SUM(AF43*0.22)</f>
        <v>2900.04</v>
      </c>
      <c r="AH43" s="3395">
        <v>42187</v>
      </c>
      <c r="AI43" s="3131">
        <f>SUM(AH43*0.22)</f>
        <v>9281.14</v>
      </c>
      <c r="AJ43" s="3395">
        <v>109758</v>
      </c>
      <c r="AK43" s="3131">
        <f>SUM(AJ43*0.22)</f>
        <v>24146.76</v>
      </c>
      <c r="AL43" s="3395">
        <v>37091</v>
      </c>
      <c r="AM43" s="3131">
        <f>SUM(AL43*0.22)</f>
        <v>8160.02</v>
      </c>
      <c r="AN43" s="3395" t="s">
        <v>868</v>
      </c>
      <c r="AO43" s="3131" t="s">
        <v>868</v>
      </c>
      <c r="AP43" s="3395" t="s">
        <v>868</v>
      </c>
      <c r="AQ43" s="3131" t="s">
        <v>868</v>
      </c>
      <c r="AR43" s="3395" t="s">
        <v>868</v>
      </c>
      <c r="AS43" s="3131" t="s">
        <v>868</v>
      </c>
      <c r="AT43" s="3395" t="s">
        <v>868</v>
      </c>
      <c r="AU43" s="3131" t="s">
        <v>868</v>
      </c>
      <c r="AV43" s="3395" t="s">
        <v>868</v>
      </c>
      <c r="AW43" s="3131" t="s">
        <v>868</v>
      </c>
      <c r="AX43" s="3395" t="s">
        <v>868</v>
      </c>
      <c r="AY43" s="3131" t="s">
        <v>868</v>
      </c>
      <c r="AZ43" s="3395">
        <v>18</v>
      </c>
      <c r="BA43">
        <f>SUM(X43:X46)</f>
        <v>74327883</v>
      </c>
      <c r="BB43">
        <f>SUM(Y43:Y46)</f>
        <v>74327883</v>
      </c>
      <c r="BC43" s="3403">
        <f>BB43/BA43</f>
        <v>1</v>
      </c>
      <c r="BD43" s="3395">
        <v>61</v>
      </c>
      <c r="BE43" s="3395" t="s">
        <v>1099</v>
      </c>
      <c r="BF43" s="3385">
        <v>42583</v>
      </c>
      <c r="BG43" s="2883">
        <v>42583</v>
      </c>
      <c r="BH43" s="3385">
        <v>42735</v>
      </c>
      <c r="BI43" s="2883">
        <v>42735</v>
      </c>
      <c r="BJ43" t="s">
        <v>1100</v>
      </c>
    </row>
    <row r="44" spans="1:62" ht="58.5" customHeight="1">
      <c r="A44" s="1217"/>
      <c r="B44" s="1224"/>
      <c r="C44" s="852"/>
      <c r="D44" s="852"/>
      <c r="E44" s="852"/>
      <c r="F44" s="1225"/>
      <c r="G44" s="1224"/>
      <c r="H44" s="852"/>
      <c r="I44" s="1225"/>
      <c r="J44" s="3014"/>
      <c r="K44" s="3361"/>
      <c r="L44" s="3014"/>
      <c r="M44" s="2941"/>
      <c r="N44" s="2979"/>
      <c r="O44" s="3292"/>
      <c r="P44" s="2906"/>
      <c r="Q44" s="3360"/>
      <c r="R44" s="3404"/>
      <c r="S44"/>
      <c r="T44" s="3292"/>
      <c r="U44" s="3293"/>
      <c r="V44" s="2090" t="s">
        <v>1184</v>
      </c>
      <c r="W44" s="1290">
        <v>184935691</v>
      </c>
      <c r="X44" s="1289">
        <v>23400000</v>
      </c>
      <c r="Y44" s="1289">
        <v>23400000</v>
      </c>
      <c r="Z44"/>
      <c r="AA44" s="3360"/>
      <c r="AB44"/>
      <c r="AC44" s="3132"/>
      <c r="AD44"/>
      <c r="AE44" s="3132"/>
      <c r="AF44"/>
      <c r="AG44" s="3132"/>
      <c r="AH44"/>
      <c r="AI44" s="3132"/>
      <c r="AJ44"/>
      <c r="AK44" s="3132"/>
      <c r="AL44"/>
      <c r="AM44" s="3132"/>
      <c r="AN44"/>
      <c r="AO44" s="3132"/>
      <c r="AP44"/>
      <c r="AQ44" s="3132"/>
      <c r="AR44"/>
      <c r="AS44" s="3132"/>
      <c r="AT44"/>
      <c r="AU44" s="3132"/>
      <c r="AV44"/>
      <c r="AW44" s="3132"/>
      <c r="AX44"/>
      <c r="AY44" s="3132"/>
      <c r="AZ44"/>
      <c r="BA44"/>
      <c r="BB44"/>
      <c r="BC44" t="e">
        <f t="shared" si="0"/>
        <v>#DIV/0!</v>
      </c>
      <c r="BD44"/>
      <c r="BE44"/>
      <c r="BF44" s="3386"/>
      <c r="BG44" s="2884"/>
      <c r="BH44" s="3386"/>
      <c r="BI44" s="2884"/>
      <c r="BJ44"/>
    </row>
    <row r="45" spans="1:62" ht="57.75" customHeight="1">
      <c r="A45" s="1217"/>
      <c r="B45" s="1224"/>
      <c r="C45" s="852"/>
      <c r="D45" s="852"/>
      <c r="E45" s="852"/>
      <c r="F45" s="1225"/>
      <c r="G45" s="1224"/>
      <c r="H45" s="852"/>
      <c r="I45" s="1225"/>
      <c r="J45" s="3012">
        <v>145</v>
      </c>
      <c r="K45" s="3359" t="s">
        <v>1185</v>
      </c>
      <c r="L45" s="3012" t="s">
        <v>248</v>
      </c>
      <c r="M45" s="3012">
        <v>1</v>
      </c>
      <c r="N45" s="3126">
        <v>1</v>
      </c>
      <c r="O45" s="3292"/>
      <c r="P45" s="2906"/>
      <c r="Q45" s="3360"/>
      <c r="R45" s="3403">
        <f>(W45+W46)/S43</f>
        <v>0.2300096679669339</v>
      </c>
      <c r="S45"/>
      <c r="T45" s="3292"/>
      <c r="U45" s="2910" t="s">
        <v>1186</v>
      </c>
      <c r="V45" s="2090" t="s">
        <v>1187</v>
      </c>
      <c r="W45" s="1288">
        <v>38500000</v>
      </c>
      <c r="X45" s="1289">
        <v>15000000</v>
      </c>
      <c r="Y45" s="1289">
        <v>15000000</v>
      </c>
      <c r="Z45">
        <v>98</v>
      </c>
      <c r="AA45" s="3360"/>
      <c r="AB45"/>
      <c r="AC45" s="3132"/>
      <c r="AD45"/>
      <c r="AE45" s="3132"/>
      <c r="AF45"/>
      <c r="AG45" s="3132"/>
      <c r="AH45"/>
      <c r="AI45" s="3132"/>
      <c r="AJ45"/>
      <c r="AK45" s="3132"/>
      <c r="AL45"/>
      <c r="AM45" s="3132"/>
      <c r="AN45"/>
      <c r="AO45" s="3132"/>
      <c r="AP45"/>
      <c r="AQ45" s="3132"/>
      <c r="AR45"/>
      <c r="AS45" s="3132"/>
      <c r="AT45"/>
      <c r="AU45" s="3132"/>
      <c r="AV45"/>
      <c r="AW45" s="3132"/>
      <c r="AX45"/>
      <c r="AY45" s="3132"/>
      <c r="AZ45"/>
      <c r="BA45"/>
      <c r="BB45"/>
      <c r="BC45" t="e">
        <f t="shared" si="0"/>
        <v>#DIV/0!</v>
      </c>
      <c r="BD45"/>
      <c r="BE45"/>
      <c r="BF45" s="3386"/>
      <c r="BG45" s="2884"/>
      <c r="BH45" s="3386"/>
      <c r="BI45" s="2884"/>
      <c r="BJ45"/>
    </row>
    <row r="46" spans="1:62" ht="57.75" customHeight="1">
      <c r="A46" s="1217"/>
      <c r="B46" s="1224"/>
      <c r="C46" s="852"/>
      <c r="D46" s="852"/>
      <c r="E46" s="852"/>
      <c r="F46" s="1225"/>
      <c r="G46" s="1224"/>
      <c r="H46" s="852"/>
      <c r="I46" s="1225"/>
      <c r="J46" s="3014"/>
      <c r="K46" s="3361"/>
      <c r="L46" s="3014"/>
      <c r="M46" s="3014"/>
      <c r="N46" s="3128"/>
      <c r="O46" s="3293"/>
      <c r="P46" s="2941"/>
      <c r="Q46" s="3361"/>
      <c r="R46" s="3404"/>
      <c r="S46"/>
      <c r="T46" s="3293"/>
      <c r="U46" s="3293"/>
      <c r="V46" s="2090" t="s">
        <v>1188</v>
      </c>
      <c r="W46" s="1290">
        <v>40222910</v>
      </c>
      <c r="X46" s="1289">
        <v>13893333</v>
      </c>
      <c r="Y46" s="1289">
        <v>13893333</v>
      </c>
      <c r="Z46"/>
      <c r="AA46" s="3361"/>
      <c r="AB46" s="3396"/>
      <c r="AC46" s="3167"/>
      <c r="AD46" s="3396"/>
      <c r="AE46" s="3167"/>
      <c r="AF46" s="3396"/>
      <c r="AG46" s="3167"/>
      <c r="AH46" s="3396"/>
      <c r="AI46" s="3167"/>
      <c r="AJ46" s="3396"/>
      <c r="AK46" s="3167"/>
      <c r="AL46" s="3396"/>
      <c r="AM46" s="3167"/>
      <c r="AN46" s="3396"/>
      <c r="AO46" s="3167"/>
      <c r="AP46" s="3396"/>
      <c r="AQ46" s="3167"/>
      <c r="AR46" s="3396"/>
      <c r="AS46" s="3167"/>
      <c r="AT46" s="3396"/>
      <c r="AU46" s="3167"/>
      <c r="AV46" s="3396"/>
      <c r="AW46" s="3167"/>
      <c r="AX46" s="3396"/>
      <c r="AY46" s="3167"/>
      <c r="AZ46" s="3396"/>
      <c r="BA46"/>
      <c r="BB46"/>
      <c r="BC46" t="e">
        <f t="shared" si="0"/>
        <v>#DIV/0!</v>
      </c>
      <c r="BD46" s="3396"/>
      <c r="BE46" s="3396"/>
      <c r="BF46" s="3387"/>
      <c r="BG46" s="2885"/>
      <c r="BH46" s="3387"/>
      <c r="BI46" s="2885"/>
      <c r="BJ46"/>
    </row>
    <row r="47" spans="1:62" ht="51.75" customHeight="1">
      <c r="A47" s="1217"/>
      <c r="B47" s="1224"/>
      <c r="C47" s="852"/>
      <c r="D47" s="852"/>
      <c r="E47" s="852"/>
      <c r="F47" s="1225"/>
      <c r="G47" s="1224"/>
      <c r="H47" s="852"/>
      <c r="I47" s="1225"/>
      <c r="J47" s="3012">
        <v>146</v>
      </c>
      <c r="K47" s="3359" t="s">
        <v>1189</v>
      </c>
      <c r="L47" s="3012" t="s">
        <v>248</v>
      </c>
      <c r="M47" s="3012">
        <v>1</v>
      </c>
      <c r="N47" s="3126">
        <v>1</v>
      </c>
      <c r="O47" s="2910" t="s">
        <v>1190</v>
      </c>
      <c r="P47" s="2905">
        <v>142</v>
      </c>
      <c r="Q47" s="3359" t="s">
        <v>1191</v>
      </c>
      <c r="R47" s="3403">
        <v>1</v>
      </c>
      <c r="S47">
        <v>203297270</v>
      </c>
      <c r="T47" s="2910" t="s">
        <v>1192</v>
      </c>
      <c r="U47" s="2910" t="s">
        <v>1193</v>
      </c>
      <c r="V47" s="2090" t="s">
        <v>1194</v>
      </c>
      <c r="W47" s="2023">
        <v>188983936</v>
      </c>
      <c r="X47" s="1223">
        <v>119494245</v>
      </c>
      <c r="Y47" s="1223">
        <v>119494245</v>
      </c>
      <c r="Z47" s="3395">
        <v>61</v>
      </c>
      <c r="AA47" s="3359" t="s">
        <v>1098</v>
      </c>
      <c r="AB47" s="3395">
        <v>64149</v>
      </c>
      <c r="AC47" s="3131">
        <f>SUM(AB47*0.64)</f>
        <v>41055.36</v>
      </c>
      <c r="AD47" s="3395">
        <v>72224</v>
      </c>
      <c r="AE47" s="3131">
        <f>SUM(AD47*0.64)</f>
        <v>46223.36</v>
      </c>
      <c r="AF47" s="3395">
        <v>27477</v>
      </c>
      <c r="AG47" s="3131">
        <f>SUM(AF47*0.64)</f>
        <v>17585.28</v>
      </c>
      <c r="AH47" s="3395">
        <v>86843</v>
      </c>
      <c r="AI47" s="3131">
        <f>SUM(AH47*0.64)</f>
        <v>55579.520000000004</v>
      </c>
      <c r="AJ47" s="3395">
        <v>236429</v>
      </c>
      <c r="AK47" s="3131">
        <f>SUM(AJ47*0.64)</f>
        <v>151314.56</v>
      </c>
      <c r="AL47" s="3395">
        <v>75612</v>
      </c>
      <c r="AM47" s="3131">
        <f>SUM(AL47*0.64)</f>
        <v>48391.68</v>
      </c>
      <c r="AN47" s="3395">
        <v>13208</v>
      </c>
      <c r="AO47" s="3131">
        <f>SUM(AN47*0.64)</f>
        <v>8453.12</v>
      </c>
      <c r="AP47" s="3395">
        <v>2145</v>
      </c>
      <c r="AQ47" s="3131">
        <f>SUM(AP47*0.64)</f>
        <v>1372.8</v>
      </c>
      <c r="AR47" s="3395">
        <v>413</v>
      </c>
      <c r="AS47" s="3131">
        <f>SUM(AR47*0.64)</f>
        <v>264.32</v>
      </c>
      <c r="AT47" s="3395">
        <v>520</v>
      </c>
      <c r="AU47" s="3131">
        <f>SUM(AT47*0.64)</f>
        <v>332.8</v>
      </c>
      <c r="AV47" s="3395">
        <v>16897</v>
      </c>
      <c r="AW47" s="3131">
        <f>SUM(AV47*0.64)</f>
        <v>10814.08</v>
      </c>
      <c r="AX47" s="3395">
        <v>75612</v>
      </c>
      <c r="AY47" s="3131">
        <f>SUM(AX47*0.64)</f>
        <v>48391.68</v>
      </c>
      <c r="AZ47">
        <v>19</v>
      </c>
      <c r="BA47">
        <f>SUM(X47:X49)</f>
        <v>129494245</v>
      </c>
      <c r="BB47">
        <f>SUM(Y47:Y49)</f>
        <v>129494245</v>
      </c>
      <c r="BC47" s="3403">
        <f>BB47/BA47</f>
        <v>1</v>
      </c>
      <c r="BD47" s="3395">
        <v>61</v>
      </c>
      <c r="BE47" s="3395" t="s">
        <v>1099</v>
      </c>
      <c r="BF47" s="3385">
        <v>42583</v>
      </c>
      <c r="BG47" s="2883">
        <v>42583</v>
      </c>
      <c r="BH47" s="3385">
        <v>42735</v>
      </c>
      <c r="BI47" s="2883">
        <v>42735</v>
      </c>
      <c r="BJ47" t="s">
        <v>1100</v>
      </c>
    </row>
    <row r="48" spans="1:62" ht="37.5" customHeight="1">
      <c r="A48" s="1217"/>
      <c r="B48" s="1224"/>
      <c r="C48" s="852"/>
      <c r="D48" s="852"/>
      <c r="E48" s="852"/>
      <c r="F48" s="1225"/>
      <c r="G48" s="1224"/>
      <c r="H48" s="852"/>
      <c r="I48" s="1225"/>
      <c r="J48" s="3013"/>
      <c r="K48" s="3360"/>
      <c r="L48" s="3013"/>
      <c r="M48" s="3013"/>
      <c r="N48" s="3127"/>
      <c r="O48" s="3292"/>
      <c r="P48" s="2906"/>
      <c r="Q48" s="3360"/>
      <c r="R48" s="3544"/>
      <c r="S48"/>
      <c r="T48" s="3292"/>
      <c r="U48" s="3292"/>
      <c r="V48" s="2090" t="s">
        <v>1159</v>
      </c>
      <c r="W48" s="2023">
        <v>4313334</v>
      </c>
      <c r="X48" s="1223">
        <v>0</v>
      </c>
      <c r="Y48" s="1223">
        <v>0</v>
      </c>
      <c r="Z48"/>
      <c r="AA48" s="3360"/>
      <c r="AB48"/>
      <c r="AC48" s="3132"/>
      <c r="AD48"/>
      <c r="AE48" s="3132"/>
      <c r="AF48"/>
      <c r="AG48" s="3132"/>
      <c r="AH48"/>
      <c r="AI48" s="3132"/>
      <c r="AJ48"/>
      <c r="AK48" s="3132"/>
      <c r="AL48"/>
      <c r="AM48" s="3132"/>
      <c r="AN48"/>
      <c r="AO48" s="3132"/>
      <c r="AP48"/>
      <c r="AQ48" s="3132"/>
      <c r="AR48"/>
      <c r="AS48" s="3132"/>
      <c r="AT48"/>
      <c r="AU48" s="3132"/>
      <c r="AV48"/>
      <c r="AW48" s="3132"/>
      <c r="AX48"/>
      <c r="AY48" s="3132"/>
      <c r="AZ48"/>
      <c r="BA48"/>
      <c r="BB48"/>
      <c r="BC48" t="e">
        <f t="shared" si="0"/>
        <v>#DIV/0!</v>
      </c>
      <c r="BD48"/>
      <c r="BE48"/>
      <c r="BF48" s="3386"/>
      <c r="BG48" s="2884"/>
      <c r="BH48" s="3386"/>
      <c r="BI48" s="2884"/>
      <c r="BJ48"/>
    </row>
    <row r="49" spans="1:62" ht="51" customHeight="1">
      <c r="A49" s="1217"/>
      <c r="B49" s="1224"/>
      <c r="C49" s="852"/>
      <c r="D49" s="852"/>
      <c r="E49" s="852"/>
      <c r="F49" s="1225"/>
      <c r="G49" s="1229"/>
      <c r="H49" s="1230"/>
      <c r="I49" s="1231"/>
      <c r="J49" s="3014"/>
      <c r="K49" s="3361"/>
      <c r="L49" s="3014"/>
      <c r="M49" s="3014"/>
      <c r="N49" s="3128"/>
      <c r="O49" s="3293"/>
      <c r="P49" s="2941"/>
      <c r="Q49" s="3361"/>
      <c r="R49" s="3404"/>
      <c r="S49"/>
      <c r="T49" s="3293"/>
      <c r="U49" s="3293"/>
      <c r="V49" s="2090" t="s">
        <v>1195</v>
      </c>
      <c r="W49" s="2023">
        <v>10000000</v>
      </c>
      <c r="X49" s="1286">
        <v>10000000</v>
      </c>
      <c r="Y49" s="1286">
        <v>10000000</v>
      </c>
      <c r="Z49" s="3396"/>
      <c r="AA49" s="3361"/>
      <c r="AB49" s="3396"/>
      <c r="AC49" s="3167"/>
      <c r="AD49" s="3396"/>
      <c r="AE49" s="3167"/>
      <c r="AF49" s="3396"/>
      <c r="AG49" s="3167"/>
      <c r="AH49" s="3396"/>
      <c r="AI49" s="3167"/>
      <c r="AJ49" s="3396"/>
      <c r="AK49" s="3167"/>
      <c r="AL49" s="3396"/>
      <c r="AM49" s="3167"/>
      <c r="AN49" s="3396"/>
      <c r="AO49" s="3167"/>
      <c r="AP49" s="3396"/>
      <c r="AQ49" s="3167"/>
      <c r="AR49" s="3396"/>
      <c r="AS49" s="3167"/>
      <c r="AT49" s="3396"/>
      <c r="AU49" s="3167"/>
      <c r="AV49" s="3396"/>
      <c r="AW49" s="3167"/>
      <c r="AX49" s="3396"/>
      <c r="AY49" s="3167"/>
      <c r="AZ49"/>
      <c r="BA49"/>
      <c r="BB49"/>
      <c r="BC49" t="e">
        <f t="shared" si="0"/>
        <v>#DIV/0!</v>
      </c>
      <c r="BD49" s="3396"/>
      <c r="BE49" s="3396"/>
      <c r="BF49" s="3387"/>
      <c r="BG49" s="2885"/>
      <c r="BH49" s="3387"/>
      <c r="BI49" s="2885"/>
      <c r="BJ49"/>
    </row>
    <row r="50" spans="1:68" ht="32.25" customHeight="1">
      <c r="A50" s="1208"/>
      <c r="B50" s="1218"/>
      <c r="C50" s="657"/>
      <c r="D50" s="657"/>
      <c r="E50" s="657"/>
      <c r="F50" s="1219"/>
      <c r="G50" s="1212">
        <v>41</v>
      </c>
      <c r="H50" s="51" t="s">
        <v>1196</v>
      </c>
      <c r="I50" s="51"/>
      <c r="J50" s="1759"/>
      <c r="K50" s="476"/>
      <c r="L50" s="2030"/>
      <c r="M50" s="2030"/>
      <c r="N50" s="799"/>
      <c r="O50" s="476"/>
      <c r="P50" s="2030"/>
      <c r="Q50" s="476"/>
      <c r="R50" s="2030"/>
      <c r="S50" s="1291"/>
      <c r="T50" s="476"/>
      <c r="U50" s="476"/>
      <c r="V50" s="1239"/>
      <c r="W50" s="1239"/>
      <c r="X50" s="1240"/>
      <c r="Y50" s="1240"/>
      <c r="Z50" s="2029"/>
      <c r="AA50" s="476"/>
      <c r="AB50" s="476"/>
      <c r="AC50" s="1213"/>
      <c r="AD50" s="476"/>
      <c r="AE50" s="1213"/>
      <c r="AF50" s="476"/>
      <c r="AG50" s="1213"/>
      <c r="AH50" s="476"/>
      <c r="AI50"/>
      <c r="AJ50"/>
      <c r="AK50" s="1292"/>
      <c r="AL50"/>
      <c r="AM50"/>
      <c r="AN50"/>
      <c r="AO50"/>
      <c r="AP50" s="476"/>
      <c r="AQ50" s="1213"/>
      <c r="AR50" s="476"/>
      <c r="AS50" s="1213"/>
      <c r="AT50" s="476"/>
      <c r="AU50" s="1213"/>
      <c r="AV50" s="476"/>
      <c r="AW50" s="1213"/>
      <c r="AX50" s="476"/>
      <c r="AY50" s="1213"/>
      <c r="AZ50" s="476"/>
      <c r="BA50" s="2052"/>
      <c r="BB50" s="2052"/>
      <c r="BC50" s="1236"/>
      <c r="BD50" s="476"/>
      <c r="BE50" s="476"/>
      <c r="BF50" s="51"/>
      <c r="BG50" s="475"/>
      <c r="BH50" s="51"/>
      <c r="BI50" s="475"/>
      <c r="BJ50" s="51"/>
      <c r="BK50" s="1"/>
      <c r="BL50" s="1"/>
      <c r="BM50" s="1"/>
      <c r="BN50" s="1"/>
      <c r="BO50" s="1"/>
      <c r="BP50" s="1"/>
    </row>
    <row r="51" spans="1:62" ht="91.5" customHeight="1">
      <c r="A51" s="1217"/>
      <c r="B51" s="1224"/>
      <c r="C51" s="852"/>
      <c r="D51" s="852"/>
      <c r="E51" s="852"/>
      <c r="F51" s="1225"/>
      <c r="G51" s="1220"/>
      <c r="H51" s="1221"/>
      <c r="I51" s="1222"/>
      <c r="J51" s="2824">
        <v>147</v>
      </c>
      <c r="K51" s="2002" t="s">
        <v>1197</v>
      </c>
      <c r="L51" s="1970" t="s">
        <v>248</v>
      </c>
      <c r="M51" s="1970">
        <v>14</v>
      </c>
      <c r="N51" s="2827">
        <v>0</v>
      </c>
      <c r="O51" s="2910" t="s">
        <v>1198</v>
      </c>
      <c r="P51" s="2905">
        <v>143</v>
      </c>
      <c r="Q51" s="3359" t="s">
        <v>1199</v>
      </c>
      <c r="R51" s="2004">
        <v>0.5</v>
      </c>
      <c r="S51">
        <v>10000000</v>
      </c>
      <c r="T51" s="2910" t="s">
        <v>1200</v>
      </c>
      <c r="U51" s="2088" t="s">
        <v>1201</v>
      </c>
      <c r="V51" s="2090" t="s">
        <v>1202</v>
      </c>
      <c r="W51" s="2025">
        <v>5000000</v>
      </c>
      <c r="X51" s="1250">
        <v>0</v>
      </c>
      <c r="Y51" s="1250">
        <v>0</v>
      </c>
      <c r="Z51" s="3395">
        <v>61</v>
      </c>
      <c r="AA51" s="3359" t="s">
        <v>1098</v>
      </c>
      <c r="AB51" s="3395">
        <v>64149</v>
      </c>
      <c r="AC51" s="3131">
        <v>0</v>
      </c>
      <c r="AD51" s="3395">
        <v>72224</v>
      </c>
      <c r="AE51" s="3131">
        <v>0</v>
      </c>
      <c r="AF51" s="3395">
        <v>27477</v>
      </c>
      <c r="AG51" s="3131">
        <v>0</v>
      </c>
      <c r="AH51" s="3395">
        <v>86843</v>
      </c>
      <c r="AI51" s="3131">
        <v>0</v>
      </c>
      <c r="AJ51" s="3395">
        <v>236429</v>
      </c>
      <c r="AK51" s="3131">
        <v>0</v>
      </c>
      <c r="AL51" s="3395">
        <v>75612</v>
      </c>
      <c r="AM51" s="3131">
        <v>0</v>
      </c>
      <c r="AN51" s="3395">
        <v>13208</v>
      </c>
      <c r="AO51" s="3131">
        <v>0</v>
      </c>
      <c r="AP51" s="3395">
        <v>2145</v>
      </c>
      <c r="AQ51" s="3131">
        <v>0</v>
      </c>
      <c r="AR51" s="3395">
        <v>413</v>
      </c>
      <c r="AS51" s="3131">
        <v>0</v>
      </c>
      <c r="AT51" s="3395">
        <v>520</v>
      </c>
      <c r="AU51" s="3131">
        <v>0</v>
      </c>
      <c r="AV51" s="3395">
        <v>16897</v>
      </c>
      <c r="AW51" s="3131">
        <v>0</v>
      </c>
      <c r="AX51" s="3395">
        <v>75612</v>
      </c>
      <c r="AY51" s="3131">
        <v>0</v>
      </c>
      <c r="AZ51">
        <v>0</v>
      </c>
      <c r="BA51">
        <v>0</v>
      </c>
      <c r="BB51">
        <v>0</v>
      </c>
      <c r="BC51" s="3403">
        <v>0</v>
      </c>
      <c r="BD51" s="3395">
        <v>61</v>
      </c>
      <c r="BE51" s="3395" t="s">
        <v>1099</v>
      </c>
      <c r="BF51" s="3385">
        <v>42583</v>
      </c>
      <c r="BG51" s="2883">
        <v>42583</v>
      </c>
      <c r="BH51" s="3385">
        <v>42735</v>
      </c>
      <c r="BI51" s="2883">
        <v>42735</v>
      </c>
      <c r="BJ51" t="s">
        <v>1100</v>
      </c>
    </row>
    <row r="52" spans="1:62" ht="126.75" customHeight="1">
      <c r="A52" s="1217"/>
      <c r="B52" s="1224"/>
      <c r="C52" s="852"/>
      <c r="D52" s="852"/>
      <c r="E52" s="852"/>
      <c r="F52" s="1225"/>
      <c r="G52" s="1229"/>
      <c r="H52" s="1230"/>
      <c r="I52" s="1231"/>
      <c r="J52" s="2824">
        <v>148</v>
      </c>
      <c r="K52" s="2002" t="s">
        <v>1203</v>
      </c>
      <c r="L52" s="1970" t="s">
        <v>248</v>
      </c>
      <c r="M52" s="1970">
        <v>11</v>
      </c>
      <c r="N52" s="2827">
        <v>0</v>
      </c>
      <c r="O52" s="3293"/>
      <c r="P52" s="2941"/>
      <c r="Q52" s="3361"/>
      <c r="R52" s="2004">
        <v>0.5</v>
      </c>
      <c r="S52"/>
      <c r="T52" s="3293"/>
      <c r="U52" s="2088" t="s">
        <v>1204</v>
      </c>
      <c r="V52" s="2090" t="s">
        <v>1205</v>
      </c>
      <c r="W52" s="2025">
        <v>5000000</v>
      </c>
      <c r="X52" s="1253">
        <v>0</v>
      </c>
      <c r="Y52" s="1253">
        <v>0</v>
      </c>
      <c r="Z52" s="3396"/>
      <c r="AA52" s="3361"/>
      <c r="AB52" s="3396"/>
      <c r="AC52" s="3167"/>
      <c r="AD52" s="3396"/>
      <c r="AE52" s="3167"/>
      <c r="AF52" s="3396"/>
      <c r="AG52" s="3167"/>
      <c r="AH52" s="3396"/>
      <c r="AI52" s="3167"/>
      <c r="AJ52" s="3396"/>
      <c r="AK52" s="3167"/>
      <c r="AL52" s="3396"/>
      <c r="AM52" s="3167"/>
      <c r="AN52" s="3396"/>
      <c r="AO52" s="3167"/>
      <c r="AP52" s="3396"/>
      <c r="AQ52" s="3167"/>
      <c r="AR52" s="3396"/>
      <c r="AS52" s="3167"/>
      <c r="AT52" s="3396"/>
      <c r="AU52" s="3167"/>
      <c r="AV52" s="3396"/>
      <c r="AW52" s="3167"/>
      <c r="AX52" s="3396"/>
      <c r="AY52" s="3167"/>
      <c r="AZ52"/>
      <c r="BA52"/>
      <c r="BB52"/>
      <c r="BC52" s="3404"/>
      <c r="BD52" s="3396"/>
      <c r="BE52" s="3396"/>
      <c r="BF52" s="3387"/>
      <c r="BG52" s="2885"/>
      <c r="BH52" s="3387"/>
      <c r="BI52" s="2885"/>
      <c r="BJ52"/>
    </row>
    <row r="53" spans="1:68" ht="31.5" customHeight="1">
      <c r="A53" s="1208"/>
      <c r="B53" s="1218"/>
      <c r="C53" s="657"/>
      <c r="D53" s="657"/>
      <c r="E53" s="657"/>
      <c r="F53" s="1219"/>
      <c r="G53" s="1212">
        <v>42</v>
      </c>
      <c r="H53" s="51" t="s">
        <v>1206</v>
      </c>
      <c r="I53" s="51"/>
      <c r="J53" s="1759"/>
      <c r="K53" s="476"/>
      <c r="L53" s="2030"/>
      <c r="M53" s="2030"/>
      <c r="N53" s="799"/>
      <c r="O53" s="476"/>
      <c r="P53" s="2030"/>
      <c r="Q53" s="476"/>
      <c r="R53" s="2030"/>
      <c r="S53" s="1239"/>
      <c r="T53" s="476"/>
      <c r="U53" s="476"/>
      <c r="V53" s="476"/>
      <c r="W53" s="1239"/>
      <c r="X53" s="1213"/>
      <c r="Y53" s="1213"/>
      <c r="Z53" s="2029"/>
      <c r="AA53" s="476"/>
      <c r="AB53" s="476"/>
      <c r="AC53" s="1213"/>
      <c r="AD53" s="476"/>
      <c r="AE53" s="1213"/>
      <c r="AF53" s="476"/>
      <c r="AG53" s="1213"/>
      <c r="AH53" s="476"/>
      <c r="AI53" s="1213"/>
      <c r="AJ53" s="476"/>
      <c r="AK53" s="1213"/>
      <c r="AL53" s="476"/>
      <c r="AM53" s="1213"/>
      <c r="AN53" s="476"/>
      <c r="AO53" s="1213"/>
      <c r="AP53" s="476"/>
      <c r="AQ53" s="1213"/>
      <c r="AR53" s="476"/>
      <c r="AS53" s="1213"/>
      <c r="AT53" s="476"/>
      <c r="AU53" s="1213"/>
      <c r="AV53" s="476"/>
      <c r="AW53" s="1213"/>
      <c r="AX53" s="476"/>
      <c r="AY53" s="1213"/>
      <c r="AZ53" s="476"/>
      <c r="BA53" s="2052"/>
      <c r="BB53" s="2052"/>
      <c r="BC53" s="1236"/>
      <c r="BD53" s="476"/>
      <c r="BE53" s="476"/>
      <c r="BF53" s="51"/>
      <c r="BG53" s="475"/>
      <c r="BH53" s="51"/>
      <c r="BI53" s="475"/>
      <c r="BJ53" s="51"/>
      <c r="BK53" s="1"/>
      <c r="BL53" s="1"/>
      <c r="BM53" s="1"/>
      <c r="BN53" s="1"/>
      <c r="BO53" s="1"/>
      <c r="BP53" s="1"/>
    </row>
    <row r="54" spans="1:68" ht="148.5" customHeight="1">
      <c r="A54" s="1262"/>
      <c r="B54" s="2036"/>
      <c r="C54" s="2037"/>
      <c r="D54" s="2037"/>
      <c r="E54" s="2037"/>
      <c r="F54" s="2038"/>
      <c r="G54" s="2055"/>
      <c r="H54" s="1263"/>
      <c r="I54" s="1264"/>
      <c r="J54" s="2824">
        <v>149</v>
      </c>
      <c r="K54" s="2013" t="s">
        <v>1207</v>
      </c>
      <c r="L54" s="1965" t="s">
        <v>248</v>
      </c>
      <c r="M54" s="1965">
        <v>8</v>
      </c>
      <c r="N54" s="2827">
        <v>8</v>
      </c>
      <c r="O54" s="1956" t="s">
        <v>1208</v>
      </c>
      <c r="P54" s="1957">
        <v>144</v>
      </c>
      <c r="Q54" s="2013" t="s">
        <v>1209</v>
      </c>
      <c r="R54" s="1265">
        <v>1</v>
      </c>
      <c r="S54" s="1267">
        <v>10000000</v>
      </c>
      <c r="T54" s="2072" t="s">
        <v>1210</v>
      </c>
      <c r="U54" s="2088" t="s">
        <v>1211</v>
      </c>
      <c r="V54" s="2090" t="s">
        <v>1212</v>
      </c>
      <c r="W54" s="1266">
        <v>10000000</v>
      </c>
      <c r="X54" s="1293">
        <v>10000000</v>
      </c>
      <c r="Y54" s="1293">
        <v>10000000</v>
      </c>
      <c r="Z54" s="2012">
        <v>61</v>
      </c>
      <c r="AA54" s="2013" t="s">
        <v>1098</v>
      </c>
      <c r="AB54" s="1991">
        <v>64149</v>
      </c>
      <c r="AC54" s="1982">
        <v>64149</v>
      </c>
      <c r="AD54" s="1991">
        <v>72224</v>
      </c>
      <c r="AE54" s="1982">
        <v>72224</v>
      </c>
      <c r="AF54" s="1991">
        <v>27477</v>
      </c>
      <c r="AG54" s="1982">
        <v>27477</v>
      </c>
      <c r="AH54" s="1991">
        <v>86843</v>
      </c>
      <c r="AI54" s="1982">
        <v>86843</v>
      </c>
      <c r="AJ54" s="1991">
        <v>236429</v>
      </c>
      <c r="AK54" s="1982">
        <v>236429</v>
      </c>
      <c r="AL54" s="1991">
        <v>75612</v>
      </c>
      <c r="AM54" s="1982">
        <v>75612</v>
      </c>
      <c r="AN54" s="1991">
        <v>13208</v>
      </c>
      <c r="AO54" s="1982">
        <v>13208</v>
      </c>
      <c r="AP54" s="1991">
        <v>2145</v>
      </c>
      <c r="AQ54" s="1982">
        <v>2145</v>
      </c>
      <c r="AR54" s="1991">
        <v>413</v>
      </c>
      <c r="AS54" s="1982">
        <v>413</v>
      </c>
      <c r="AT54" s="1991">
        <v>520</v>
      </c>
      <c r="AU54" s="1982">
        <v>520</v>
      </c>
      <c r="AV54" s="1991">
        <v>16897</v>
      </c>
      <c r="AW54" s="1982">
        <v>16897</v>
      </c>
      <c r="AX54" s="1991">
        <v>75612</v>
      </c>
      <c r="AY54" s="1982">
        <v>75612</v>
      </c>
      <c r="AZ54" s="1991">
        <v>1</v>
      </c>
      <c r="BA54" s="2053">
        <v>10000000</v>
      </c>
      <c r="BB54" s="2059">
        <f>+Y54</f>
        <v>10000000</v>
      </c>
      <c r="BC54" s="1992">
        <f>+BB54/BA54</f>
        <v>1</v>
      </c>
      <c r="BD54" s="1991">
        <v>61</v>
      </c>
      <c r="BE54" s="1991" t="s">
        <v>1099</v>
      </c>
      <c r="BF54" s="1260">
        <v>42583</v>
      </c>
      <c r="BG54" s="1261">
        <v>42583</v>
      </c>
      <c r="BH54" s="1260">
        <v>42583</v>
      </c>
      <c r="BI54" s="1261">
        <v>42583</v>
      </c>
      <c r="BJ54" s="837" t="s">
        <v>1100</v>
      </c>
      <c r="BK54" s="1"/>
      <c r="BL54" s="1"/>
      <c r="BM54" s="1"/>
      <c r="BN54" s="1"/>
      <c r="BO54" s="1"/>
      <c r="BP54" s="1"/>
    </row>
    <row r="55" spans="1:62" ht="99" customHeight="1">
      <c r="A55" s="1217"/>
      <c r="B55" s="1224"/>
      <c r="C55" s="852"/>
      <c r="D55" s="852"/>
      <c r="E55" s="852"/>
      <c r="F55" s="1225"/>
      <c r="G55" s="1224"/>
      <c r="H55" s="852"/>
      <c r="I55" s="1225"/>
      <c r="J55" s="2824">
        <v>149</v>
      </c>
      <c r="K55" s="2002" t="s">
        <v>1207</v>
      </c>
      <c r="L55" s="1970" t="s">
        <v>248</v>
      </c>
      <c r="M55" s="1970">
        <v>8</v>
      </c>
      <c r="N55" s="2831">
        <v>8</v>
      </c>
      <c r="O55" s="2910" t="s">
        <v>1213</v>
      </c>
      <c r="P55" s="2905">
        <v>145</v>
      </c>
      <c r="Q55" s="3359" t="s">
        <v>1214</v>
      </c>
      <c r="R55" s="2004">
        <f>W55/S55</f>
        <v>0.6875</v>
      </c>
      <c r="S55">
        <v>40000000</v>
      </c>
      <c r="T55" s="2910" t="s">
        <v>1215</v>
      </c>
      <c r="U55" s="2088" t="s">
        <v>1216</v>
      </c>
      <c r="V55" s="2090" t="s">
        <v>1217</v>
      </c>
      <c r="W55" s="2033">
        <v>27500000</v>
      </c>
      <c r="X55" s="1250">
        <v>21350000</v>
      </c>
      <c r="Y55" s="1250">
        <v>21350000</v>
      </c>
      <c r="Z55" s="3395">
        <v>61</v>
      </c>
      <c r="AA55" s="3359" t="s">
        <v>1098</v>
      </c>
      <c r="AB55" s="3395">
        <v>64149</v>
      </c>
      <c r="AC55" s="3131">
        <f>SUM(AB55*0.82)</f>
        <v>52602.18</v>
      </c>
      <c r="AD55" s="3395">
        <v>72224</v>
      </c>
      <c r="AE55" s="3131">
        <f>SUM(AD55*0.82)</f>
        <v>59223.67999999999</v>
      </c>
      <c r="AF55" s="3395">
        <v>27477</v>
      </c>
      <c r="AG55" s="3131">
        <f>SUM(AF55*0.82)</f>
        <v>22531.14</v>
      </c>
      <c r="AH55" s="3395">
        <v>86843</v>
      </c>
      <c r="AI55" s="3131">
        <f>SUM(AH55*0.82)</f>
        <v>71211.26</v>
      </c>
      <c r="AJ55" s="3395">
        <v>236429</v>
      </c>
      <c r="AK55" s="3131">
        <f>SUM(AJ55*0.82)</f>
        <v>193871.78</v>
      </c>
      <c r="AL55" s="3395">
        <v>75612</v>
      </c>
      <c r="AM55" s="3131">
        <f>SUM(AL55*0.82)</f>
        <v>62001.84</v>
      </c>
      <c r="AN55" s="3395">
        <v>13208</v>
      </c>
      <c r="AO55" s="3131">
        <f>SUM(AN55*0.82)</f>
        <v>10830.56</v>
      </c>
      <c r="AP55" s="3395">
        <v>2145</v>
      </c>
      <c r="AQ55" s="3131">
        <f>SUM(AP55*0.82)</f>
        <v>1758.8999999999999</v>
      </c>
      <c r="AR55" s="3395">
        <v>413</v>
      </c>
      <c r="AS55" s="3131">
        <f>SUM(AR55*0.82)</f>
        <v>338.65999999999997</v>
      </c>
      <c r="AT55" s="3395">
        <v>520</v>
      </c>
      <c r="AU55" s="3131">
        <f>SUM(AT55*0.82)</f>
        <v>426.4</v>
      </c>
      <c r="AV55" s="3395">
        <v>16897</v>
      </c>
      <c r="AW55" s="3131">
        <f>SUM(AV55*0.82)</f>
        <v>13855.539999999999</v>
      </c>
      <c r="AX55" s="3395">
        <v>75612</v>
      </c>
      <c r="AY55" s="3131">
        <f>SUM(AX55*0.82)</f>
        <v>62001.84</v>
      </c>
      <c r="AZ55" s="3395">
        <v>6</v>
      </c>
      <c r="BA55">
        <f>SUM(X55:X56)</f>
        <v>32600000</v>
      </c>
      <c r="BB55">
        <f>SUM(Y55:Y56)</f>
        <v>32600000</v>
      </c>
      <c r="BC55" s="3403">
        <f>BB55/BA55</f>
        <v>1</v>
      </c>
      <c r="BD55" s="3395">
        <v>61</v>
      </c>
      <c r="BE55" s="3395" t="s">
        <v>1099</v>
      </c>
      <c r="BF55" s="3385">
        <v>42583</v>
      </c>
      <c r="BG55" s="2883">
        <v>42583</v>
      </c>
      <c r="BH55" s="3385">
        <v>42735</v>
      </c>
      <c r="BI55" s="2883">
        <v>42735</v>
      </c>
      <c r="BJ55" t="s">
        <v>1100</v>
      </c>
    </row>
    <row r="56" spans="1:62" ht="99.75" customHeight="1">
      <c r="A56" s="1217"/>
      <c r="B56" s="1224"/>
      <c r="C56" s="852"/>
      <c r="D56" s="852"/>
      <c r="E56" s="852"/>
      <c r="F56" s="1225"/>
      <c r="G56" s="1229"/>
      <c r="H56" s="1230"/>
      <c r="I56" s="1231"/>
      <c r="J56" s="2824">
        <v>150</v>
      </c>
      <c r="K56" s="2002" t="s">
        <v>1218</v>
      </c>
      <c r="L56" s="1970" t="s">
        <v>248</v>
      </c>
      <c r="M56" s="2555">
        <v>14</v>
      </c>
      <c r="N56" s="2831">
        <v>13</v>
      </c>
      <c r="O56" s="3293"/>
      <c r="P56" s="2941"/>
      <c r="Q56" s="3361"/>
      <c r="R56" s="2004">
        <f>W56/S55</f>
        <v>0.3125</v>
      </c>
      <c r="S56"/>
      <c r="T56" s="3293"/>
      <c r="U56" s="2088" t="s">
        <v>1219</v>
      </c>
      <c r="V56" s="2090" t="s">
        <v>1220</v>
      </c>
      <c r="W56" s="2033">
        <v>12500000</v>
      </c>
      <c r="X56" s="1253">
        <v>11250000</v>
      </c>
      <c r="Y56" s="1253">
        <v>11250000</v>
      </c>
      <c r="Z56" s="3396"/>
      <c r="AA56" s="3361"/>
      <c r="AB56" s="3396"/>
      <c r="AC56" s="3167"/>
      <c r="AD56" s="3396"/>
      <c r="AE56" s="3167"/>
      <c r="AF56" s="3396"/>
      <c r="AG56" s="3167"/>
      <c r="AH56" s="3396"/>
      <c r="AI56" s="3167"/>
      <c r="AJ56" s="3396"/>
      <c r="AK56" s="3167"/>
      <c r="AL56" s="3396"/>
      <c r="AM56" s="3167"/>
      <c r="AN56" s="3396"/>
      <c r="AO56" s="3167"/>
      <c r="AP56" s="3396"/>
      <c r="AQ56" s="3167"/>
      <c r="AR56" s="3396"/>
      <c r="AS56" s="3167"/>
      <c r="AT56" s="3396"/>
      <c r="AU56" s="3167"/>
      <c r="AV56" s="3396"/>
      <c r="AW56" s="3167"/>
      <c r="AX56" s="3396"/>
      <c r="AY56" s="3167"/>
      <c r="AZ56" s="3396"/>
      <c r="BA56"/>
      <c r="BB56"/>
      <c r="BC56" s="3404"/>
      <c r="BD56" s="3396"/>
      <c r="BE56" s="3396"/>
      <c r="BF56" s="3387"/>
      <c r="BG56" s="2885"/>
      <c r="BH56" s="3387"/>
      <c r="BI56" s="2885"/>
      <c r="BJ56"/>
    </row>
    <row r="57" spans="1:68" ht="33.75" customHeight="1">
      <c r="A57" s="1208"/>
      <c r="B57" s="1218"/>
      <c r="C57" s="657"/>
      <c r="D57" s="657"/>
      <c r="E57" s="657"/>
      <c r="F57" s="1219"/>
      <c r="G57" s="1212">
        <v>43</v>
      </c>
      <c r="H57" s="51" t="s">
        <v>1221</v>
      </c>
      <c r="I57" s="51"/>
      <c r="J57" s="1759"/>
      <c r="K57" s="476"/>
      <c r="L57" s="2030"/>
      <c r="M57" s="2557"/>
      <c r="N57" s="799"/>
      <c r="O57" s="476"/>
      <c r="P57" s="2030"/>
      <c r="Q57" s="476"/>
      <c r="R57" s="2030"/>
      <c r="S57" s="476"/>
      <c r="T57" s="476"/>
      <c r="U57" s="476"/>
      <c r="V57" s="476"/>
      <c r="W57" s="1239"/>
      <c r="X57" s="1240"/>
      <c r="Y57" s="1240"/>
      <c r="Z57" s="2029"/>
      <c r="AA57" s="476"/>
      <c r="AB57" s="476"/>
      <c r="AC57" s="1213"/>
      <c r="AD57" s="476"/>
      <c r="AE57" s="1213"/>
      <c r="AF57" s="476"/>
      <c r="AG57" s="1213"/>
      <c r="AH57" s="476"/>
      <c r="AI57"/>
      <c r="AJ57"/>
      <c r="AK57" s="1213"/>
      <c r="AL57" s="1294"/>
      <c r="AM57" s="1292"/>
      <c r="AN57"/>
      <c r="AO57"/>
      <c r="AP57" s="476"/>
      <c r="AQ57" s="1213"/>
      <c r="AR57" s="476"/>
      <c r="AS57" s="1213"/>
      <c r="AT57" s="476"/>
      <c r="AU57" s="1213"/>
      <c r="AV57" s="476"/>
      <c r="AW57" s="1213"/>
      <c r="AX57" s="476"/>
      <c r="AY57" s="1213"/>
      <c r="AZ57" s="476"/>
      <c r="BA57" s="2052"/>
      <c r="BB57" s="2052"/>
      <c r="BC57" s="1236"/>
      <c r="BD57" s="476"/>
      <c r="BE57" s="476"/>
      <c r="BF57" s="51"/>
      <c r="BG57" s="475"/>
      <c r="BH57" s="51"/>
      <c r="BI57" s="475"/>
      <c r="BJ57" s="51"/>
      <c r="BK57" s="1"/>
      <c r="BL57" s="1"/>
      <c r="BM57" s="1"/>
      <c r="BN57" s="1"/>
      <c r="BO57" s="1"/>
      <c r="BP57" s="1"/>
    </row>
    <row r="58" spans="1:62" ht="123" customHeight="1">
      <c r="A58" s="546"/>
      <c r="B58" s="1241"/>
      <c r="C58" s="545"/>
      <c r="D58" s="545"/>
      <c r="E58" s="545"/>
      <c r="F58" s="1242"/>
      <c r="G58" s="1371"/>
      <c r="H58" s="1243"/>
      <c r="I58" s="1244"/>
      <c r="J58" s="2824">
        <v>151</v>
      </c>
      <c r="K58" s="2013" t="s">
        <v>1222</v>
      </c>
      <c r="L58" s="1965" t="s">
        <v>248</v>
      </c>
      <c r="M58" s="2554">
        <v>12</v>
      </c>
      <c r="N58" s="2831">
        <v>12</v>
      </c>
      <c r="O58" s="2910" t="s">
        <v>1223</v>
      </c>
      <c r="P58" s="2905">
        <v>146</v>
      </c>
      <c r="Q58" s="3359" t="s">
        <v>1224</v>
      </c>
      <c r="R58" s="1992">
        <f>W58/S58</f>
        <v>0.6614602162900823</v>
      </c>
      <c r="S58">
        <v>226771008</v>
      </c>
      <c r="T58" s="2909" t="s">
        <v>1225</v>
      </c>
      <c r="U58" s="2088" t="s">
        <v>1226</v>
      </c>
      <c r="V58" s="2090" t="s">
        <v>1227</v>
      </c>
      <c r="W58" s="2025">
        <v>150000000</v>
      </c>
      <c r="X58" s="1253">
        <v>0</v>
      </c>
      <c r="Y58" s="1253">
        <v>0</v>
      </c>
      <c r="Z58" t="s">
        <v>1228</v>
      </c>
      <c r="AA58" s="1959" t="s">
        <v>64</v>
      </c>
      <c r="AB58" s="3395">
        <v>64149</v>
      </c>
      <c r="AC58" s="3131">
        <f>SUM(AB58*0.21)</f>
        <v>13471.289999999999</v>
      </c>
      <c r="AD58" s="3395">
        <v>72224</v>
      </c>
      <c r="AE58" s="3131">
        <f>SUM(AD58*0.21)</f>
        <v>15167.039999999999</v>
      </c>
      <c r="AF58" s="3395">
        <v>27477</v>
      </c>
      <c r="AG58" s="3131">
        <f>SUM(AF58*0.21)</f>
        <v>5770.17</v>
      </c>
      <c r="AH58" s="3395">
        <v>86843</v>
      </c>
      <c r="AI58" s="3131">
        <f>SUM(AH58*0.21)</f>
        <v>18237.03</v>
      </c>
      <c r="AJ58" s="3395">
        <v>236429</v>
      </c>
      <c r="AK58" s="3131">
        <f>SUM(AJ58*0.21)</f>
        <v>49650.09</v>
      </c>
      <c r="AL58" s="3395">
        <v>75612</v>
      </c>
      <c r="AM58" s="3131">
        <f>SUM(AL58*0.21)</f>
        <v>15878.519999999999</v>
      </c>
      <c r="AN58" s="3395">
        <v>13208</v>
      </c>
      <c r="AO58" s="3131">
        <f>SUM(AN58*0.21)</f>
        <v>2773.68</v>
      </c>
      <c r="AP58" s="3395">
        <v>2145</v>
      </c>
      <c r="AQ58" s="3131">
        <f>SUM(AP58*0.21)</f>
        <v>450.45</v>
      </c>
      <c r="AR58" s="3395">
        <v>413</v>
      </c>
      <c r="AS58" s="3131">
        <f>SUM(AR58*0.21)</f>
        <v>86.72999999999999</v>
      </c>
      <c r="AT58" s="3395">
        <v>520</v>
      </c>
      <c r="AU58" s="3131">
        <f>SUM(AT58*0.21)</f>
        <v>109.2</v>
      </c>
      <c r="AV58" s="3395">
        <v>16897</v>
      </c>
      <c r="AW58" s="3131">
        <f>SUM(AV58*0.21)</f>
        <v>3548.37</v>
      </c>
      <c r="AX58" s="3395">
        <v>75612</v>
      </c>
      <c r="AY58" s="3131">
        <f>SUM(AX58*0.21)</f>
        <v>15878.519999999999</v>
      </c>
      <c r="AZ58" s="3395">
        <v>8</v>
      </c>
      <c r="BA58">
        <f>SUM(X58:X60)</f>
        <v>48073666</v>
      </c>
      <c r="BB58">
        <f>SUM(Y58:Y60)</f>
        <v>48073666</v>
      </c>
      <c r="BC58" s="3403">
        <f>BB58/BA58</f>
        <v>1</v>
      </c>
      <c r="BD58" s="3395" t="s">
        <v>1228</v>
      </c>
      <c r="BE58" s="3395" t="s">
        <v>1099</v>
      </c>
      <c r="BF58" s="3385">
        <v>42583</v>
      </c>
      <c r="BG58" s="2883">
        <v>42583</v>
      </c>
      <c r="BH58" s="3385">
        <v>42735</v>
      </c>
      <c r="BI58" s="2883">
        <v>42735</v>
      </c>
      <c r="BJ58" t="s">
        <v>1100</v>
      </c>
    </row>
    <row r="59" spans="1:62" ht="81" customHeight="1">
      <c r="A59" s="546"/>
      <c r="B59" s="1241"/>
      <c r="C59" s="545"/>
      <c r="D59" s="545"/>
      <c r="E59" s="545"/>
      <c r="F59" s="1242"/>
      <c r="G59" s="1241"/>
      <c r="H59" s="545"/>
      <c r="I59" s="1242"/>
      <c r="J59" s="3012">
        <v>152</v>
      </c>
      <c r="K59" t="s">
        <v>1229</v>
      </c>
      <c r="L59" s="3013" t="s">
        <v>248</v>
      </c>
      <c r="M59" s="3013">
        <v>1</v>
      </c>
      <c r="N59" s="3126">
        <v>1</v>
      </c>
      <c r="O59" s="3292"/>
      <c r="P59" s="2906"/>
      <c r="Q59" s="3360"/>
      <c r="R59" s="3495">
        <v>0.34</v>
      </c>
      <c r="S59"/>
      <c r="T59" s="2909"/>
      <c r="U59" s="2094" t="s">
        <v>1230</v>
      </c>
      <c r="V59" s="2090" t="s">
        <v>1231</v>
      </c>
      <c r="W59" s="2025">
        <v>67271008</v>
      </c>
      <c r="X59" s="1250">
        <f>26357000+15466666</f>
        <v>41823666</v>
      </c>
      <c r="Y59" s="1250">
        <f>26357000+15466666</f>
        <v>41823666</v>
      </c>
      <c r="Z59"/>
      <c r="AA59" s="2910" t="s">
        <v>1115</v>
      </c>
      <c r="AB59"/>
      <c r="AC59" s="3132"/>
      <c r="AD59"/>
      <c r="AE59" s="3132"/>
      <c r="AF59"/>
      <c r="AG59" s="3132"/>
      <c r="AH59"/>
      <c r="AI59" s="3132"/>
      <c r="AJ59"/>
      <c r="AK59" s="3132"/>
      <c r="AL59"/>
      <c r="AM59" s="3132"/>
      <c r="AN59"/>
      <c r="AO59" s="3132"/>
      <c r="AP59"/>
      <c r="AQ59" s="3132"/>
      <c r="AR59"/>
      <c r="AS59" s="3132"/>
      <c r="AT59"/>
      <c r="AU59" s="3132"/>
      <c r="AV59"/>
      <c r="AW59" s="3132"/>
      <c r="AX59"/>
      <c r="AY59" s="3132"/>
      <c r="AZ59"/>
      <c r="BA59"/>
      <c r="BB59"/>
      <c r="BC59" s="3544"/>
      <c r="BD59"/>
      <c r="BE59"/>
      <c r="BF59" s="3386"/>
      <c r="BG59" s="2884"/>
      <c r="BH59" s="3386"/>
      <c r="BI59" s="2884"/>
      <c r="BJ59"/>
    </row>
    <row r="60" spans="1:62" ht="81" customHeight="1">
      <c r="A60" s="546"/>
      <c r="B60" s="1241"/>
      <c r="C60" s="545"/>
      <c r="D60" s="545"/>
      <c r="E60" s="545"/>
      <c r="F60" s="1242"/>
      <c r="G60" s="1241"/>
      <c r="H60" s="545"/>
      <c r="I60" s="1242"/>
      <c r="J60" s="3014"/>
      <c r="K60"/>
      <c r="L60" s="3014"/>
      <c r="M60" s="3014"/>
      <c r="N60" s="3128"/>
      <c r="O60" s="3293"/>
      <c r="P60" s="2941"/>
      <c r="Q60" s="3361"/>
      <c r="R60" s="3495"/>
      <c r="S60"/>
      <c r="T60" s="2909"/>
      <c r="U60" s="2094" t="s">
        <v>1232</v>
      </c>
      <c r="V60" s="2090" t="s">
        <v>1233</v>
      </c>
      <c r="W60" s="2025">
        <v>9500000</v>
      </c>
      <c r="X60" s="1253">
        <v>6250000</v>
      </c>
      <c r="Y60" s="1253">
        <v>6250000</v>
      </c>
      <c r="Z60"/>
      <c r="AA60" s="3293"/>
      <c r="AB60" s="3396"/>
      <c r="AC60" s="3167"/>
      <c r="AD60" s="3396"/>
      <c r="AE60" s="3167"/>
      <c r="AF60" s="3396"/>
      <c r="AG60" s="3167"/>
      <c r="AH60" s="3396"/>
      <c r="AI60" s="3167"/>
      <c r="AJ60" s="3396"/>
      <c r="AK60" s="3167"/>
      <c r="AL60" s="3396"/>
      <c r="AM60" s="3167"/>
      <c r="AN60" s="3396"/>
      <c r="AO60" s="3167"/>
      <c r="AP60" s="3396"/>
      <c r="AQ60" s="3167"/>
      <c r="AR60" s="3396"/>
      <c r="AS60" s="3167"/>
      <c r="AT60" s="3396"/>
      <c r="AU60" s="3167"/>
      <c r="AV60" s="3396"/>
      <c r="AW60" s="3167"/>
      <c r="AX60" s="3396"/>
      <c r="AY60" s="3167"/>
      <c r="AZ60" s="3396"/>
      <c r="BA60"/>
      <c r="BB60"/>
      <c r="BC60" s="3404"/>
      <c r="BD60" s="3396"/>
      <c r="BE60" s="3396"/>
      <c r="BF60" s="3387"/>
      <c r="BG60" s="2885"/>
      <c r="BH60" s="3387"/>
      <c r="BI60" s="2885"/>
      <c r="BJ60"/>
    </row>
    <row r="61" spans="1:62" ht="57" customHeight="1">
      <c r="A61" s="1217"/>
      <c r="B61" s="1224"/>
      <c r="C61" s="852"/>
      <c r="D61" s="852"/>
      <c r="E61" s="852"/>
      <c r="F61" s="1225"/>
      <c r="G61" s="1224"/>
      <c r="H61" s="852"/>
      <c r="I61" s="1225"/>
      <c r="J61" s="3012">
        <v>153</v>
      </c>
      <c r="K61" s="3359" t="s">
        <v>1234</v>
      </c>
      <c r="L61" s="3012" t="s">
        <v>248</v>
      </c>
      <c r="M61" s="3012">
        <v>150</v>
      </c>
      <c r="N61" s="2977">
        <v>173</v>
      </c>
      <c r="O61" s="2910" t="s">
        <v>1235</v>
      </c>
      <c r="P61" s="2905">
        <v>147</v>
      </c>
      <c r="Q61" s="3359" t="s">
        <v>1236</v>
      </c>
      <c r="R61" s="3403">
        <v>100</v>
      </c>
      <c r="S61">
        <v>1237889758</v>
      </c>
      <c r="T61" s="2910" t="s">
        <v>1237</v>
      </c>
      <c r="U61" s="3359" t="s">
        <v>1238</v>
      </c>
      <c r="V61" s="2090" t="s">
        <v>1239</v>
      </c>
      <c r="W61" s="2025">
        <v>1058839758</v>
      </c>
      <c r="X61" s="1250">
        <v>560000000</v>
      </c>
      <c r="Y61" s="1250">
        <v>559962368</v>
      </c>
      <c r="Z61" s="3395" t="s">
        <v>1240</v>
      </c>
      <c r="AA61" s="3359" t="s">
        <v>1115</v>
      </c>
      <c r="AB61" s="3395">
        <v>64149</v>
      </c>
      <c r="AC61" s="3131">
        <f>SUM(AB61*0.49)</f>
        <v>31433.01</v>
      </c>
      <c r="AD61" s="3395">
        <v>72224</v>
      </c>
      <c r="AE61" s="3131">
        <f>SUM(AD61*0.49)</f>
        <v>35389.76</v>
      </c>
      <c r="AF61" s="3395">
        <v>27477</v>
      </c>
      <c r="AG61" s="3131">
        <f>SUM(AF61*0.49)</f>
        <v>13463.73</v>
      </c>
      <c r="AH61" s="3395">
        <v>86843</v>
      </c>
      <c r="AI61" s="3131">
        <f>SUM(AH61*0.49)</f>
        <v>42553.07</v>
      </c>
      <c r="AJ61" s="3395">
        <v>236429</v>
      </c>
      <c r="AK61" s="3131">
        <f>SUM(AJ61*0.49)</f>
        <v>115850.20999999999</v>
      </c>
      <c r="AL61" s="3395">
        <v>75612</v>
      </c>
      <c r="AM61" s="3131">
        <f>SUM(AL61*0.49)</f>
        <v>37049.88</v>
      </c>
      <c r="AN61" s="3395">
        <v>13208</v>
      </c>
      <c r="AO61" s="3131">
        <f>SUM(AN61*0.49)</f>
        <v>6471.92</v>
      </c>
      <c r="AP61" s="3395">
        <v>2145</v>
      </c>
      <c r="AQ61" s="3131">
        <f>SUM(AP61*0.49)</f>
        <v>1051.05</v>
      </c>
      <c r="AR61" s="3395">
        <v>413</v>
      </c>
      <c r="AS61" s="3131">
        <f>SUM(AR61*0.49)</f>
        <v>202.37</v>
      </c>
      <c r="AT61" s="3395">
        <v>520</v>
      </c>
      <c r="AU61" s="3131">
        <f>SUM(AT61*0.49)</f>
        <v>254.79999999999998</v>
      </c>
      <c r="AV61" s="3395">
        <v>16897</v>
      </c>
      <c r="AW61" s="3131">
        <f>SUM(AV61*0.49)</f>
        <v>8279.53</v>
      </c>
      <c r="AX61" s="3395">
        <v>75612</v>
      </c>
      <c r="AY61" s="3131">
        <f>SUM(AX61*0.49)</f>
        <v>37049.88</v>
      </c>
      <c r="AZ61" s="3395">
        <v>11</v>
      </c>
      <c r="BA61">
        <f>SUM(X61:X66)</f>
        <v>622609160</v>
      </c>
      <c r="BB61">
        <f>SUM(Y61:Y66)</f>
        <v>608938568</v>
      </c>
      <c r="BC61" s="3403">
        <f>BB61/BA61</f>
        <v>0.9780430599511257</v>
      </c>
      <c r="BD61" s="3395" t="s">
        <v>1240</v>
      </c>
      <c r="BE61" s="3395" t="s">
        <v>1099</v>
      </c>
      <c r="BF61" s="3385">
        <v>42583</v>
      </c>
      <c r="BG61" s="2883">
        <v>42583</v>
      </c>
      <c r="BH61" s="3385">
        <v>42735</v>
      </c>
      <c r="BI61" s="2883">
        <v>42735</v>
      </c>
      <c r="BJ61" t="s">
        <v>1241</v>
      </c>
    </row>
    <row r="62" spans="1:62" ht="72" customHeight="1">
      <c r="A62" s="1217"/>
      <c r="B62" s="1224"/>
      <c r="C62" s="852"/>
      <c r="D62" s="852"/>
      <c r="E62" s="852"/>
      <c r="F62" s="1225"/>
      <c r="G62" s="1224"/>
      <c r="H62" s="852"/>
      <c r="I62" s="1225"/>
      <c r="J62" s="3013"/>
      <c r="K62" s="3360"/>
      <c r="L62" s="3013"/>
      <c r="M62" s="3013"/>
      <c r="N62" s="2978"/>
      <c r="O62" s="3292"/>
      <c r="P62" s="2906"/>
      <c r="Q62" s="3360"/>
      <c r="R62" s="3544"/>
      <c r="S62"/>
      <c r="T62" s="3292"/>
      <c r="U62" s="3360"/>
      <c r="V62" s="2090" t="s">
        <v>1242</v>
      </c>
      <c r="W62" s="2025">
        <v>5000000</v>
      </c>
      <c r="X62" s="1250">
        <v>5000000</v>
      </c>
      <c r="Y62" s="1250">
        <v>5000000</v>
      </c>
      <c r="Z62"/>
      <c r="AA62" s="3360"/>
      <c r="AB62"/>
      <c r="AC62" s="3132"/>
      <c r="AD62"/>
      <c r="AE62" s="3132"/>
      <c r="AF62"/>
      <c r="AG62" s="3132"/>
      <c r="AH62"/>
      <c r="AI62" s="3132"/>
      <c r="AJ62"/>
      <c r="AK62" s="3132"/>
      <c r="AL62"/>
      <c r="AM62" s="3132"/>
      <c r="AN62"/>
      <c r="AO62" s="3132"/>
      <c r="AP62"/>
      <c r="AQ62" s="3132"/>
      <c r="AR62"/>
      <c r="AS62" s="3132"/>
      <c r="AT62"/>
      <c r="AU62" s="3132"/>
      <c r="AV62"/>
      <c r="AW62" s="3132"/>
      <c r="AX62"/>
      <c r="AY62" s="3132"/>
      <c r="AZ62"/>
      <c r="BA62"/>
      <c r="BB62"/>
      <c r="BC62" s="3544"/>
      <c r="BD62"/>
      <c r="BE62"/>
      <c r="BF62" s="3386"/>
      <c r="BG62" s="2884"/>
      <c r="BH62" s="3386"/>
      <c r="BI62" s="2884"/>
      <c r="BJ62"/>
    </row>
    <row r="63" spans="1:62" ht="53.25" customHeight="1">
      <c r="A63" s="1217"/>
      <c r="B63" s="1224"/>
      <c r="C63" s="852"/>
      <c r="D63" s="852"/>
      <c r="E63" s="852"/>
      <c r="F63" s="1225"/>
      <c r="G63" s="1224"/>
      <c r="H63" s="852"/>
      <c r="I63" s="1225"/>
      <c r="J63" s="3013"/>
      <c r="K63" s="3360"/>
      <c r="L63" s="3013"/>
      <c r="M63" s="3013"/>
      <c r="N63" s="2978"/>
      <c r="O63" s="3292"/>
      <c r="P63" s="2906"/>
      <c r="Q63" s="3360"/>
      <c r="R63" s="3544"/>
      <c r="S63"/>
      <c r="T63" s="3292"/>
      <c r="U63" s="3360"/>
      <c r="V63" s="2090" t="s">
        <v>1243</v>
      </c>
      <c r="W63" s="2025">
        <v>100000000</v>
      </c>
      <c r="X63" s="1250">
        <v>25359160</v>
      </c>
      <c r="Y63" s="1250">
        <v>11726200</v>
      </c>
      <c r="Z63"/>
      <c r="AA63" s="3360"/>
      <c r="AB63"/>
      <c r="AC63" s="3132"/>
      <c r="AD63"/>
      <c r="AE63" s="3132"/>
      <c r="AF63"/>
      <c r="AG63" s="3132"/>
      <c r="AH63"/>
      <c r="AI63" s="3132"/>
      <c r="AJ63"/>
      <c r="AK63" s="3132"/>
      <c r="AL63"/>
      <c r="AM63" s="3132"/>
      <c r="AN63"/>
      <c r="AO63" s="3132"/>
      <c r="AP63"/>
      <c r="AQ63" s="3132"/>
      <c r="AR63"/>
      <c r="AS63" s="3132"/>
      <c r="AT63"/>
      <c r="AU63" s="3132"/>
      <c r="AV63"/>
      <c r="AW63" s="3132"/>
      <c r="AX63"/>
      <c r="AY63" s="3132"/>
      <c r="AZ63"/>
      <c r="BA63"/>
      <c r="BB63"/>
      <c r="BC63" s="3544"/>
      <c r="BD63"/>
      <c r="BE63"/>
      <c r="BF63" s="3386"/>
      <c r="BG63" s="2884"/>
      <c r="BH63" s="3386"/>
      <c r="BI63" s="2884"/>
      <c r="BJ63"/>
    </row>
    <row r="64" spans="1:62" ht="113.25" customHeight="1">
      <c r="A64" s="1217"/>
      <c r="B64" s="1224"/>
      <c r="C64" s="852"/>
      <c r="D64" s="852"/>
      <c r="E64" s="852"/>
      <c r="F64" s="1225"/>
      <c r="G64" s="1224"/>
      <c r="H64" s="852"/>
      <c r="I64" s="1225"/>
      <c r="J64" s="3013"/>
      <c r="K64" s="3360"/>
      <c r="L64" s="3013"/>
      <c r="M64" s="3013"/>
      <c r="N64" s="2978"/>
      <c r="O64" s="3292"/>
      <c r="P64" s="2906"/>
      <c r="Q64" s="3360"/>
      <c r="R64" s="3544"/>
      <c r="S64"/>
      <c r="T64" s="3292"/>
      <c r="U64" s="3360"/>
      <c r="V64" s="2090" t="s">
        <v>1244</v>
      </c>
      <c r="W64" s="2025">
        <v>24400000</v>
      </c>
      <c r="X64" s="1250">
        <v>17050000</v>
      </c>
      <c r="Y64" s="1250">
        <v>17050000</v>
      </c>
      <c r="Z64"/>
      <c r="AA64" s="3360"/>
      <c r="AB64"/>
      <c r="AC64" s="3132"/>
      <c r="AD64"/>
      <c r="AE64" s="3132"/>
      <c r="AF64"/>
      <c r="AG64" s="3132"/>
      <c r="AH64"/>
      <c r="AI64" s="3132"/>
      <c r="AJ64"/>
      <c r="AK64" s="3132"/>
      <c r="AL64"/>
      <c r="AM64" s="3132"/>
      <c r="AN64"/>
      <c r="AO64" s="3132"/>
      <c r="AP64"/>
      <c r="AQ64" s="3132"/>
      <c r="AR64"/>
      <c r="AS64" s="3132"/>
      <c r="AT64"/>
      <c r="AU64" s="3132"/>
      <c r="AV64"/>
      <c r="AW64" s="3132"/>
      <c r="AX64"/>
      <c r="AY64" s="3132"/>
      <c r="AZ64"/>
      <c r="BA64"/>
      <c r="BB64"/>
      <c r="BC64" s="3544"/>
      <c r="BD64"/>
      <c r="BE64"/>
      <c r="BF64" s="3386"/>
      <c r="BG64" s="2884"/>
      <c r="BH64" s="3386"/>
      <c r="BI64" s="2884"/>
      <c r="BJ64"/>
    </row>
    <row r="65" spans="1:62" ht="162" customHeight="1">
      <c r="A65" s="1217"/>
      <c r="B65" s="1224"/>
      <c r="C65" s="852"/>
      <c r="D65" s="852"/>
      <c r="E65" s="852"/>
      <c r="F65" s="1225"/>
      <c r="G65" s="1224"/>
      <c r="H65" s="852"/>
      <c r="I65" s="1225"/>
      <c r="J65" s="3013"/>
      <c r="K65" s="3360"/>
      <c r="L65" s="3013"/>
      <c r="M65" s="3013"/>
      <c r="N65" s="2978"/>
      <c r="O65" s="3292"/>
      <c r="P65" s="2906"/>
      <c r="Q65" s="3360"/>
      <c r="R65" s="3544"/>
      <c r="S65"/>
      <c r="T65" s="3292"/>
      <c r="U65" s="3360"/>
      <c r="V65" s="2090" t="s">
        <v>1245</v>
      </c>
      <c r="W65" s="2025">
        <v>29650000</v>
      </c>
      <c r="X65" s="1250">
        <v>15200000</v>
      </c>
      <c r="Y65" s="1250">
        <v>15200000</v>
      </c>
      <c r="Z65"/>
      <c r="AA65" s="3360"/>
      <c r="AB65"/>
      <c r="AC65" s="3132"/>
      <c r="AD65"/>
      <c r="AE65" s="3132"/>
      <c r="AF65"/>
      <c r="AG65" s="3132"/>
      <c r="AH65"/>
      <c r="AI65" s="3132"/>
      <c r="AJ65"/>
      <c r="AK65" s="3132"/>
      <c r="AL65"/>
      <c r="AM65" s="3132"/>
      <c r="AN65"/>
      <c r="AO65" s="3132"/>
      <c r="AP65"/>
      <c r="AQ65" s="3132"/>
      <c r="AR65"/>
      <c r="AS65" s="3132"/>
      <c r="AT65"/>
      <c r="AU65" s="3132"/>
      <c r="AV65"/>
      <c r="AW65" s="3132"/>
      <c r="AX65"/>
      <c r="AY65" s="3132"/>
      <c r="AZ65"/>
      <c r="BA65"/>
      <c r="BB65"/>
      <c r="BC65" s="3544"/>
      <c r="BD65"/>
      <c r="BE65"/>
      <c r="BF65" s="3386"/>
      <c r="BG65" s="2884"/>
      <c r="BH65" s="3386"/>
      <c r="BI65" s="2884"/>
      <c r="BJ65"/>
    </row>
    <row r="66" spans="1:62" ht="144.75" customHeight="1">
      <c r="A66" s="1217"/>
      <c r="B66" s="1224"/>
      <c r="C66" s="852"/>
      <c r="D66" s="852"/>
      <c r="E66" s="852"/>
      <c r="F66" s="1225"/>
      <c r="G66" s="1229"/>
      <c r="H66" s="1230"/>
      <c r="I66" s="1231"/>
      <c r="J66" s="3014"/>
      <c r="K66" s="3361"/>
      <c r="L66" s="3014"/>
      <c r="M66" s="3014"/>
      <c r="N66" s="2979"/>
      <c r="O66" s="3293"/>
      <c r="P66" s="2941"/>
      <c r="Q66" s="3361"/>
      <c r="R66" s="3404"/>
      <c r="S66"/>
      <c r="T66" s="3293"/>
      <c r="U66" s="3361"/>
      <c r="V66" s="2094" t="s">
        <v>1246</v>
      </c>
      <c r="W66" s="1249">
        <v>20000000</v>
      </c>
      <c r="X66" s="1250">
        <v>0</v>
      </c>
      <c r="Y66" s="1250">
        <v>0</v>
      </c>
      <c r="Z66" s="3396"/>
      <c r="AA66" s="3361"/>
      <c r="AB66" s="3396"/>
      <c r="AC66" s="3167"/>
      <c r="AD66" s="3396"/>
      <c r="AE66" s="3167"/>
      <c r="AF66" s="3396"/>
      <c r="AG66" s="3167"/>
      <c r="AH66" s="3396"/>
      <c r="AI66" s="3167"/>
      <c r="AJ66" s="3396"/>
      <c r="AK66" s="3167"/>
      <c r="AL66" s="3396"/>
      <c r="AM66" s="3167"/>
      <c r="AN66" s="3396"/>
      <c r="AO66" s="3167"/>
      <c r="AP66" s="3396"/>
      <c r="AQ66" s="3167"/>
      <c r="AR66" s="3396"/>
      <c r="AS66" s="3167"/>
      <c r="AT66" s="3396"/>
      <c r="AU66" s="3167"/>
      <c r="AV66" s="3396"/>
      <c r="AW66" s="3167"/>
      <c r="AX66" s="3396"/>
      <c r="AY66" s="3167"/>
      <c r="AZ66" s="3396"/>
      <c r="BA66"/>
      <c r="BB66"/>
      <c r="BC66" s="3404"/>
      <c r="BD66" s="3396"/>
      <c r="BE66" s="3396"/>
      <c r="BF66" s="3387"/>
      <c r="BG66" s="2885"/>
      <c r="BH66" s="3387"/>
      <c r="BI66" s="2885"/>
      <c r="BJ66"/>
    </row>
    <row r="67" spans="1:68" ht="33.75" customHeight="1">
      <c r="A67" s="1208"/>
      <c r="B67" s="1218"/>
      <c r="C67" s="657"/>
      <c r="D67" s="657"/>
      <c r="E67" s="657"/>
      <c r="F67" s="1219"/>
      <c r="G67" s="1212">
        <v>44</v>
      </c>
      <c r="H67" s="51" t="s">
        <v>1247</v>
      </c>
      <c r="I67" s="51"/>
      <c r="J67" s="1759"/>
      <c r="K67" s="476"/>
      <c r="L67" s="2030"/>
      <c r="M67" s="2030"/>
      <c r="N67" s="799"/>
      <c r="O67" s="476"/>
      <c r="P67" s="2030"/>
      <c r="Q67" s="476"/>
      <c r="R67" s="2030"/>
      <c r="S67" s="1239"/>
      <c r="T67" s="476"/>
      <c r="U67" s="476"/>
      <c r="V67" s="1239"/>
      <c r="W67" s="1239"/>
      <c r="X67" s="1240"/>
      <c r="Y67" s="1240"/>
      <c r="Z67" s="2029"/>
      <c r="AA67" s="476"/>
      <c r="AB67" s="476"/>
      <c r="AC67" s="1213"/>
      <c r="AD67" s="476"/>
      <c r="AE67" s="1213"/>
      <c r="AF67" s="476"/>
      <c r="AG67" s="1213"/>
      <c r="AH67" s="476"/>
      <c r="AI67" s="1213"/>
      <c r="AJ67"/>
      <c r="AK67"/>
      <c r="AL67"/>
      <c r="AM67"/>
      <c r="AN67" s="476"/>
      <c r="AO67"/>
      <c r="AP67"/>
      <c r="AQ67" s="1213"/>
      <c r="AR67" s="476"/>
      <c r="AS67" s="1213"/>
      <c r="AT67" s="476"/>
      <c r="AU67" s="1213"/>
      <c r="AV67" s="476"/>
      <c r="AW67" s="1213"/>
      <c r="AX67" s="476"/>
      <c r="AY67" s="1213"/>
      <c r="AZ67" s="476"/>
      <c r="BA67" s="2052"/>
      <c r="BB67" s="2052"/>
      <c r="BC67" s="1236"/>
      <c r="BD67" s="476"/>
      <c r="BE67" s="476"/>
      <c r="BF67" s="51"/>
      <c r="BG67" s="475"/>
      <c r="BH67" s="51"/>
      <c r="BI67" s="475"/>
      <c r="BJ67" s="51"/>
      <c r="BK67" s="1"/>
      <c r="BL67" s="1"/>
      <c r="BM67" s="1"/>
      <c r="BN67" s="1"/>
      <c r="BO67" s="1"/>
      <c r="BP67" s="1"/>
    </row>
    <row r="68" spans="1:62" ht="228" customHeight="1">
      <c r="A68" s="1217"/>
      <c r="B68" s="1224"/>
      <c r="C68" s="852"/>
      <c r="D68" s="852"/>
      <c r="E68" s="852"/>
      <c r="F68" s="1225"/>
      <c r="G68" s="1220"/>
      <c r="H68" s="1221"/>
      <c r="I68" s="1222"/>
      <c r="J68" s="2822">
        <v>154</v>
      </c>
      <c r="K68" s="2013" t="s">
        <v>1248</v>
      </c>
      <c r="L68" s="1970" t="s">
        <v>248</v>
      </c>
      <c r="M68" s="1965">
        <v>5</v>
      </c>
      <c r="N68" s="2829">
        <v>5</v>
      </c>
      <c r="O68" s="2910" t="s">
        <v>1249</v>
      </c>
      <c r="P68" s="2905">
        <v>148</v>
      </c>
      <c r="Q68" s="3359" t="s">
        <v>1250</v>
      </c>
      <c r="R68" s="2004">
        <f>W68/S68</f>
        <v>0.20482996849243976</v>
      </c>
      <c r="S68">
        <v>146462943</v>
      </c>
      <c r="T68" s="2910" t="s">
        <v>1251</v>
      </c>
      <c r="U68" s="2094" t="s">
        <v>1252</v>
      </c>
      <c r="V68" s="2094" t="s">
        <v>1253</v>
      </c>
      <c r="W68" s="1249">
        <v>30000000</v>
      </c>
      <c r="X68" s="1250">
        <v>24762143</v>
      </c>
      <c r="Y68" s="1250">
        <v>24762143</v>
      </c>
      <c r="Z68" s="2930" t="s">
        <v>1228</v>
      </c>
      <c r="AA68" s="2910" t="s">
        <v>1254</v>
      </c>
      <c r="AB68" s="3395">
        <v>64149</v>
      </c>
      <c r="AC68" s="3131">
        <f>SUM(AB68*0.64)</f>
        <v>41055.36</v>
      </c>
      <c r="AD68" s="3395">
        <v>72224</v>
      </c>
      <c r="AE68" s="3131">
        <f>SUM(AD68*0.64)</f>
        <v>46223.36</v>
      </c>
      <c r="AF68" s="3395">
        <v>27477</v>
      </c>
      <c r="AG68" s="3131">
        <f>SUM(AF68*0.64)</f>
        <v>17585.28</v>
      </c>
      <c r="AH68" s="3395">
        <v>86843</v>
      </c>
      <c r="AI68" s="3131">
        <f>SUM(AH68*0.64)</f>
        <v>55579.520000000004</v>
      </c>
      <c r="AJ68" s="3395">
        <v>236429</v>
      </c>
      <c r="AK68" s="3131">
        <f>SUM(AJ68*0.64)</f>
        <v>151314.56</v>
      </c>
      <c r="AL68" s="3395">
        <v>75612</v>
      </c>
      <c r="AM68" s="3131">
        <f>SUM(AL68*0.64)</f>
        <v>48391.68</v>
      </c>
      <c r="AN68" s="3395">
        <v>13208</v>
      </c>
      <c r="AO68" s="3131">
        <f>SUM(AN68*0.64)</f>
        <v>8453.12</v>
      </c>
      <c r="AP68" s="3395">
        <v>2145</v>
      </c>
      <c r="AQ68" s="3131">
        <f>SUM(AP68*0.64)</f>
        <v>1372.8</v>
      </c>
      <c r="AR68" s="3395">
        <v>413</v>
      </c>
      <c r="AS68" s="3131">
        <f>SUM(AR68*0.64)</f>
        <v>264.32</v>
      </c>
      <c r="AT68" s="3395">
        <v>520</v>
      </c>
      <c r="AU68" s="3131">
        <f>SUM(AT68*0.64)</f>
        <v>332.8</v>
      </c>
      <c r="AV68" s="3395">
        <v>16897</v>
      </c>
      <c r="AW68" s="3131">
        <f>SUM(AV68*0.64)</f>
        <v>10814.08</v>
      </c>
      <c r="AX68" s="3395">
        <v>75612</v>
      </c>
      <c r="AY68" s="3131">
        <f>SUM(AX68*0.64)</f>
        <v>48391.68</v>
      </c>
      <c r="AZ68" s="3395">
        <v>24</v>
      </c>
      <c r="BA68">
        <f>SUM(X68:X71)</f>
        <v>97733880</v>
      </c>
      <c r="BB68">
        <f>SUM(Y68:Y71)</f>
        <v>97733880</v>
      </c>
      <c r="BC68" s="3403">
        <f>BB68/BA68</f>
        <v>1</v>
      </c>
      <c r="BD68" s="3395" t="s">
        <v>1228</v>
      </c>
      <c r="BE68" s="3395" t="s">
        <v>1099</v>
      </c>
      <c r="BF68" s="3385">
        <v>42583</v>
      </c>
      <c r="BG68" s="2883">
        <v>42583</v>
      </c>
      <c r="BH68" s="3385">
        <v>42735</v>
      </c>
      <c r="BI68" s="2883">
        <v>42735</v>
      </c>
      <c r="BJ68" t="s">
        <v>1100</v>
      </c>
    </row>
    <row r="69" spans="1:62" ht="191.25" customHeight="1">
      <c r="A69" s="1217"/>
      <c r="B69" s="1224"/>
      <c r="C69" s="852"/>
      <c r="D69" s="852"/>
      <c r="E69" s="852"/>
      <c r="F69" s="1225"/>
      <c r="G69" s="1224"/>
      <c r="H69" s="852"/>
      <c r="I69" s="1225"/>
      <c r="J69" s="2824">
        <v>155</v>
      </c>
      <c r="K69" s="2013" t="s">
        <v>1255</v>
      </c>
      <c r="L69" s="1970" t="s">
        <v>248</v>
      </c>
      <c r="M69" s="1965">
        <v>1</v>
      </c>
      <c r="N69" s="2829">
        <v>1</v>
      </c>
      <c r="O69" s="3292"/>
      <c r="P69" s="2906"/>
      <c r="Q69" s="3360"/>
      <c r="R69" s="2004">
        <f>W69/S68</f>
        <v>0.4437982650669528</v>
      </c>
      <c r="S69"/>
      <c r="T69" s="3292"/>
      <c r="U69" s="2094" t="s">
        <v>1256</v>
      </c>
      <c r="V69" s="2094" t="s">
        <v>1257</v>
      </c>
      <c r="W69" s="1249">
        <v>65000000</v>
      </c>
      <c r="X69" s="1250">
        <v>43090857</v>
      </c>
      <c r="Y69" s="1250">
        <f>X69</f>
        <v>43090857</v>
      </c>
      <c r="Z69"/>
      <c r="AA69" s="3292"/>
      <c r="AB69"/>
      <c r="AC69" s="3132"/>
      <c r="AD69"/>
      <c r="AE69" s="3132"/>
      <c r="AF69"/>
      <c r="AG69" s="3132"/>
      <c r="AH69"/>
      <c r="AI69" s="3132"/>
      <c r="AJ69"/>
      <c r="AK69" s="3132"/>
      <c r="AL69"/>
      <c r="AM69" s="3132"/>
      <c r="AN69"/>
      <c r="AO69" s="3132"/>
      <c r="AP69"/>
      <c r="AQ69" s="3132"/>
      <c r="AR69"/>
      <c r="AS69" s="3132"/>
      <c r="AT69"/>
      <c r="AU69" s="3132"/>
      <c r="AV69"/>
      <c r="AW69" s="3132"/>
      <c r="AX69"/>
      <c r="AY69" s="3132"/>
      <c r="AZ69"/>
      <c r="BA69"/>
      <c r="BB69"/>
      <c r="BC69" s="3544"/>
      <c r="BD69"/>
      <c r="BE69"/>
      <c r="BF69" s="3386"/>
      <c r="BG69" s="2884"/>
      <c r="BH69" s="3386"/>
      <c r="BI69" s="2884"/>
      <c r="BJ69"/>
    </row>
    <row r="70" spans="1:62" ht="95.25" customHeight="1">
      <c r="A70" s="1217"/>
      <c r="B70" s="1224"/>
      <c r="C70" s="852"/>
      <c r="D70" s="852"/>
      <c r="E70" s="852"/>
      <c r="F70" s="1225"/>
      <c r="G70" s="1224"/>
      <c r="H70" s="852"/>
      <c r="I70" s="1225"/>
      <c r="J70" s="2822">
        <v>156</v>
      </c>
      <c r="K70" s="1958" t="s">
        <v>1258</v>
      </c>
      <c r="L70" s="2166" t="s">
        <v>248</v>
      </c>
      <c r="M70" s="1963">
        <v>12</v>
      </c>
      <c r="N70" s="2831">
        <v>11</v>
      </c>
      <c r="O70" s="3292"/>
      <c r="P70" s="2906"/>
      <c r="Q70" s="3360"/>
      <c r="R70" s="1992">
        <f>17462943/S68</f>
        <v>0.11923113548250905</v>
      </c>
      <c r="S70"/>
      <c r="T70" s="3292"/>
      <c r="U70" s="2089" t="s">
        <v>1259</v>
      </c>
      <c r="V70" s="2094" t="s">
        <v>1260</v>
      </c>
      <c r="W70" s="1249">
        <f>13970354.4+3492589</f>
        <v>17462943.4</v>
      </c>
      <c r="X70" s="1250">
        <v>16360880</v>
      </c>
      <c r="Y70" s="1250">
        <f>X70</f>
        <v>16360880</v>
      </c>
      <c r="Z70"/>
      <c r="AA70" s="3292"/>
      <c r="AB70"/>
      <c r="AC70" s="3132"/>
      <c r="AD70"/>
      <c r="AE70" s="3132"/>
      <c r="AF70"/>
      <c r="AG70" s="3132"/>
      <c r="AH70"/>
      <c r="AI70" s="3132"/>
      <c r="AJ70"/>
      <c r="AK70" s="3132"/>
      <c r="AL70"/>
      <c r="AM70" s="3132"/>
      <c r="AN70"/>
      <c r="AO70" s="3132"/>
      <c r="AP70"/>
      <c r="AQ70" s="3132"/>
      <c r="AR70"/>
      <c r="AS70" s="3132"/>
      <c r="AT70"/>
      <c r="AU70" s="3132"/>
      <c r="AV70"/>
      <c r="AW70" s="3132"/>
      <c r="AX70"/>
      <c r="AY70" s="3132"/>
      <c r="AZ70"/>
      <c r="BA70"/>
      <c r="BB70"/>
      <c r="BC70" s="3544"/>
      <c r="BD70"/>
      <c r="BE70"/>
      <c r="BF70" s="3386"/>
      <c r="BG70" s="2884"/>
      <c r="BH70" s="3386"/>
      <c r="BI70" s="2884"/>
      <c r="BJ70"/>
    </row>
    <row r="71" spans="1:62" ht="75" customHeight="1">
      <c r="A71" s="1217"/>
      <c r="B71" s="1224"/>
      <c r="C71" s="852"/>
      <c r="D71" s="852"/>
      <c r="E71" s="852"/>
      <c r="F71" s="1225"/>
      <c r="G71" s="1224"/>
      <c r="H71" s="852"/>
      <c r="I71" s="1225"/>
      <c r="J71" s="2824">
        <v>157</v>
      </c>
      <c r="K71" s="2013" t="s">
        <v>1261</v>
      </c>
      <c r="L71" s="1970" t="s">
        <v>248</v>
      </c>
      <c r="M71" s="1965">
        <v>12</v>
      </c>
      <c r="N71" s="2826">
        <v>12</v>
      </c>
      <c r="O71" s="3293"/>
      <c r="P71" s="2941"/>
      <c r="Q71" s="3361"/>
      <c r="R71" s="2004">
        <f>W71/S68</f>
        <v>0.2321406309580984</v>
      </c>
      <c r="S71"/>
      <c r="T71" s="3293"/>
      <c r="U71" s="2094" t="s">
        <v>1262</v>
      </c>
      <c r="V71" s="2094" t="s">
        <v>1263</v>
      </c>
      <c r="W71" s="1297">
        <v>34000000</v>
      </c>
      <c r="X71" s="1250">
        <v>13520000</v>
      </c>
      <c r="Y71" s="1250">
        <v>13520000</v>
      </c>
      <c r="Z71"/>
      <c r="AA71" s="3293"/>
      <c r="AB71" s="3396"/>
      <c r="AC71" s="3167"/>
      <c r="AD71" s="3396"/>
      <c r="AE71" s="3167"/>
      <c r="AF71" s="3396"/>
      <c r="AG71" s="3167"/>
      <c r="AH71" s="3396"/>
      <c r="AI71" s="3167"/>
      <c r="AJ71" s="3396"/>
      <c r="AK71" s="3167"/>
      <c r="AL71" s="3396"/>
      <c r="AM71" s="3167"/>
      <c r="AN71" s="3396"/>
      <c r="AO71" s="3167"/>
      <c r="AP71" s="3396"/>
      <c r="AQ71" s="3167"/>
      <c r="AR71" s="3396"/>
      <c r="AS71" s="3167"/>
      <c r="AT71" s="3396"/>
      <c r="AU71" s="3167"/>
      <c r="AV71" s="3396"/>
      <c r="AW71" s="3167"/>
      <c r="AX71" s="3396"/>
      <c r="AY71" s="3167"/>
      <c r="AZ71" s="3396"/>
      <c r="BA71"/>
      <c r="BB71"/>
      <c r="BC71" s="3404"/>
      <c r="BD71" s="3396"/>
      <c r="BE71" s="3396"/>
      <c r="BF71" s="3387"/>
      <c r="BG71" s="2885"/>
      <c r="BH71" s="3387"/>
      <c r="BI71" s="2885"/>
      <c r="BJ71"/>
    </row>
    <row r="72" spans="1:62" ht="118.5" customHeight="1">
      <c r="A72" s="1217"/>
      <c r="B72" s="1224"/>
      <c r="C72" s="852"/>
      <c r="D72" s="852"/>
      <c r="E72" s="852"/>
      <c r="F72" s="1225"/>
      <c r="G72" s="1229"/>
      <c r="H72" s="1230"/>
      <c r="I72" s="1231"/>
      <c r="J72" s="2824">
        <v>156</v>
      </c>
      <c r="K72" s="2013" t="s">
        <v>1258</v>
      </c>
      <c r="L72" s="1965" t="s">
        <v>248</v>
      </c>
      <c r="M72" s="1965">
        <v>12</v>
      </c>
      <c r="N72" s="2827">
        <v>11</v>
      </c>
      <c r="O72" s="2013" t="s">
        <v>1264</v>
      </c>
      <c r="P72" s="1957">
        <v>149</v>
      </c>
      <c r="Q72" s="2013" t="s">
        <v>1265</v>
      </c>
      <c r="R72" s="2004">
        <v>1</v>
      </c>
      <c r="S72" s="1249">
        <v>103544440</v>
      </c>
      <c r="T72" s="2072" t="s">
        <v>1266</v>
      </c>
      <c r="U72" s="2094" t="s">
        <v>1267</v>
      </c>
      <c r="V72" s="2094" t="s">
        <v>1268</v>
      </c>
      <c r="W72" s="1249">
        <v>103544440</v>
      </c>
      <c r="X72" s="1250">
        <v>99544000</v>
      </c>
      <c r="Y72" s="1250">
        <v>99544000</v>
      </c>
      <c r="Z72" s="1978">
        <v>61</v>
      </c>
      <c r="AA72" s="1956" t="s">
        <v>1269</v>
      </c>
      <c r="AB72" s="1991">
        <v>64149</v>
      </c>
      <c r="AC72" s="1982">
        <v>64149</v>
      </c>
      <c r="AD72" s="1991">
        <v>72224</v>
      </c>
      <c r="AE72" s="1982">
        <v>72224</v>
      </c>
      <c r="AF72" s="1991">
        <v>27477</v>
      </c>
      <c r="AG72" s="1982">
        <v>27477</v>
      </c>
      <c r="AH72" s="1991">
        <v>86843</v>
      </c>
      <c r="AI72" s="1982">
        <v>86843</v>
      </c>
      <c r="AJ72" s="1991">
        <v>236429</v>
      </c>
      <c r="AK72" s="1982">
        <v>236429</v>
      </c>
      <c r="AL72" s="1991">
        <v>75612</v>
      </c>
      <c r="AM72" s="1982">
        <v>75612</v>
      </c>
      <c r="AN72" s="1991">
        <v>13208</v>
      </c>
      <c r="AO72" s="1982">
        <v>13208</v>
      </c>
      <c r="AP72" s="1991">
        <v>2145</v>
      </c>
      <c r="AQ72" s="1982">
        <v>2145</v>
      </c>
      <c r="AR72" s="1991">
        <v>413</v>
      </c>
      <c r="AS72" s="1982">
        <v>413</v>
      </c>
      <c r="AT72" s="1991">
        <v>520</v>
      </c>
      <c r="AU72" s="1982">
        <v>520</v>
      </c>
      <c r="AV72" s="1991">
        <v>16897</v>
      </c>
      <c r="AW72" s="1982">
        <v>16897</v>
      </c>
      <c r="AX72" s="1991">
        <v>75612</v>
      </c>
      <c r="AY72" s="1982">
        <v>75612</v>
      </c>
      <c r="AZ72" s="1991">
        <v>12</v>
      </c>
      <c r="BA72" s="2059">
        <f>SUM(X72)</f>
        <v>99544000</v>
      </c>
      <c r="BB72" s="2059">
        <f>SUM(Y72)</f>
        <v>99544000</v>
      </c>
      <c r="BC72" s="1992">
        <f>BB72/BA72</f>
        <v>1</v>
      </c>
      <c r="BD72" s="1991">
        <v>61</v>
      </c>
      <c r="BE72" s="1991" t="s">
        <v>1099</v>
      </c>
      <c r="BF72" s="1952">
        <v>42370</v>
      </c>
      <c r="BG72" s="2005">
        <v>42370</v>
      </c>
      <c r="BH72" s="1952">
        <v>42521</v>
      </c>
      <c r="BI72" s="2005">
        <v>42521</v>
      </c>
      <c r="BJ72" s="2018" t="s">
        <v>1100</v>
      </c>
    </row>
    <row r="73" spans="1:68" ht="30" customHeight="1">
      <c r="A73" s="1208"/>
      <c r="B73" s="1218"/>
      <c r="C73" s="657"/>
      <c r="D73" s="657"/>
      <c r="E73" s="657"/>
      <c r="F73" s="1219"/>
      <c r="G73" s="1212">
        <v>45</v>
      </c>
      <c r="H73" s="51" t="s">
        <v>1270</v>
      </c>
      <c r="I73" s="51"/>
      <c r="J73" s="1759"/>
      <c r="K73" s="476"/>
      <c r="L73" s="2030"/>
      <c r="M73" s="2030"/>
      <c r="N73" s="799"/>
      <c r="O73" s="476"/>
      <c r="P73" s="2030"/>
      <c r="Q73" s="476"/>
      <c r="R73" s="2030"/>
      <c r="S73" s="1239"/>
      <c r="T73" s="476"/>
      <c r="U73" s="476"/>
      <c r="V73" s="1239"/>
      <c r="W73" s="1298"/>
      <c r="X73" s="1298"/>
      <c r="Y73" s="1298"/>
      <c r="Z73" s="2029"/>
      <c r="AA73" s="476"/>
      <c r="AB73" s="476"/>
      <c r="AC73" s="1213"/>
      <c r="AD73" s="476"/>
      <c r="AE73" s="1213"/>
      <c r="AF73" s="476"/>
      <c r="AG73" s="1213"/>
      <c r="AH73" s="476"/>
      <c r="AI73" s="1213"/>
      <c r="AJ73" s="476"/>
      <c r="AK73" s="1213"/>
      <c r="AL73" s="476"/>
      <c r="AM73" s="1213"/>
      <c r="AN73" s="476"/>
      <c r="AO73" s="1213"/>
      <c r="AP73" s="476"/>
      <c r="AQ73" s="1213"/>
      <c r="AR73" s="476"/>
      <c r="AS73" s="1213"/>
      <c r="AT73" s="476"/>
      <c r="AU73" s="1213"/>
      <c r="AV73" s="476"/>
      <c r="AW73" s="1213"/>
      <c r="AX73" s="476"/>
      <c r="AY73" s="1213"/>
      <c r="AZ73" s="476"/>
      <c r="BA73" s="2052"/>
      <c r="BB73" s="2052"/>
      <c r="BC73" s="1236"/>
      <c r="BD73" s="476"/>
      <c r="BE73" s="476"/>
      <c r="BF73" s="51"/>
      <c r="BG73" s="475"/>
      <c r="BH73" s="51"/>
      <c r="BI73" s="475"/>
      <c r="BJ73" s="51"/>
      <c r="BK73" s="1"/>
      <c r="BL73" s="1"/>
      <c r="BM73" s="1"/>
      <c r="BN73" s="1"/>
      <c r="BO73" s="1"/>
      <c r="BP73" s="1"/>
    </row>
    <row r="74" spans="1:62" ht="105.75" customHeight="1">
      <c r="A74" s="1217"/>
      <c r="B74" s="1224"/>
      <c r="C74" s="852"/>
      <c r="D74" s="852"/>
      <c r="E74" s="852"/>
      <c r="F74" s="1225"/>
      <c r="G74" s="1220"/>
      <c r="H74" s="1221"/>
      <c r="I74" s="1222"/>
      <c r="J74" s="2824">
        <v>158</v>
      </c>
      <c r="K74" s="2013" t="s">
        <v>1271</v>
      </c>
      <c r="L74" s="1970" t="s">
        <v>248</v>
      </c>
      <c r="M74" s="1965">
        <v>11</v>
      </c>
      <c r="N74" s="2827">
        <v>11</v>
      </c>
      <c r="O74" s="2910" t="s">
        <v>1272</v>
      </c>
      <c r="P74" s="2905">
        <v>150</v>
      </c>
      <c r="Q74" s="3359" t="s">
        <v>1273</v>
      </c>
      <c r="R74" s="2004">
        <v>0.5</v>
      </c>
      <c r="S74">
        <v>1023444242</v>
      </c>
      <c r="T74" s="2910" t="s">
        <v>1274</v>
      </c>
      <c r="U74" s="2094" t="s">
        <v>1275</v>
      </c>
      <c r="V74" s="2094" t="s">
        <v>1276</v>
      </c>
      <c r="W74" s="1249">
        <v>1023444242</v>
      </c>
      <c r="X74" s="1250">
        <v>951209564</v>
      </c>
      <c r="Y74" s="1250">
        <v>748698264</v>
      </c>
      <c r="Z74" s="3395">
        <v>61</v>
      </c>
      <c r="AA74" s="3359" t="s">
        <v>1115</v>
      </c>
      <c r="AB74" s="3395">
        <v>64149</v>
      </c>
      <c r="AC74" s="3131">
        <f>SUM(AB74*0.73)</f>
        <v>46828.77</v>
      </c>
      <c r="AD74" s="3395">
        <v>72224</v>
      </c>
      <c r="AE74" s="3131">
        <f>SUM(AD74*0.73)</f>
        <v>52723.52</v>
      </c>
      <c r="AF74" s="3395">
        <v>27477</v>
      </c>
      <c r="AG74" s="3131">
        <f>SUM(AF74*0.73)</f>
        <v>20058.21</v>
      </c>
      <c r="AH74" s="3395">
        <v>86843</v>
      </c>
      <c r="AI74" s="3131">
        <f>SUM(AH74*0.73)</f>
        <v>63395.39</v>
      </c>
      <c r="AJ74" s="3395">
        <v>236429</v>
      </c>
      <c r="AK74" s="3131">
        <f>SUM(AJ74*0.73)</f>
        <v>172593.16999999998</v>
      </c>
      <c r="AL74" s="3395">
        <v>75612</v>
      </c>
      <c r="AM74" s="3131">
        <f>SUM(AL74*0.73)</f>
        <v>55196.76</v>
      </c>
      <c r="AN74" s="3395">
        <v>13208</v>
      </c>
      <c r="AO74" s="3131">
        <f>SUM(AN74*0.73)</f>
        <v>9641.84</v>
      </c>
      <c r="AP74" s="3395">
        <v>2145</v>
      </c>
      <c r="AQ74" s="3131">
        <f>SUM(AP74*0.73)</f>
        <v>1565.85</v>
      </c>
      <c r="AR74" s="3395">
        <v>413</v>
      </c>
      <c r="AS74" s="3131">
        <f>SUM(AR74*0.73)</f>
        <v>301.49</v>
      </c>
      <c r="AT74" s="3395">
        <v>520</v>
      </c>
      <c r="AU74" s="3131">
        <f>SUM(AT74*0.73)</f>
        <v>379.59999999999997</v>
      </c>
      <c r="AV74" s="3395">
        <v>16897</v>
      </c>
      <c r="AW74" s="3131">
        <f>SUM(AV74*0.73)</f>
        <v>12334.81</v>
      </c>
      <c r="AX74" s="3395">
        <v>75612</v>
      </c>
      <c r="AY74" s="3131">
        <f>SUM(AX74*0.73)</f>
        <v>55196.76</v>
      </c>
      <c r="AZ74" s="3395">
        <v>51</v>
      </c>
      <c r="BA74">
        <f>SUM(X74)</f>
        <v>951209564</v>
      </c>
      <c r="BB74">
        <f>SUM(Y74)</f>
        <v>748698264</v>
      </c>
      <c r="BC74" s="3403">
        <f>BB74/BA74</f>
        <v>0.7871012785569511</v>
      </c>
      <c r="BD74" s="3395">
        <v>61</v>
      </c>
      <c r="BE74" s="3395" t="s">
        <v>1099</v>
      </c>
      <c r="BF74" s="3385">
        <v>42583</v>
      </c>
      <c r="BG74" s="2883">
        <v>42583</v>
      </c>
      <c r="BH74" s="3385">
        <v>42735</v>
      </c>
      <c r="BI74" s="2883">
        <v>42735</v>
      </c>
      <c r="BJ74" t="s">
        <v>1100</v>
      </c>
    </row>
    <row r="75" spans="1:62" ht="71.25">
      <c r="A75" s="1217"/>
      <c r="B75" s="1224"/>
      <c r="C75" s="852"/>
      <c r="D75" s="852"/>
      <c r="E75" s="852"/>
      <c r="F75" s="1225"/>
      <c r="G75" s="1229"/>
      <c r="H75" s="1230"/>
      <c r="I75" s="1231"/>
      <c r="J75" s="2824">
        <v>159</v>
      </c>
      <c r="K75" s="2013" t="s">
        <v>1277</v>
      </c>
      <c r="L75" s="1970" t="s">
        <v>248</v>
      </c>
      <c r="M75" s="1965">
        <v>8</v>
      </c>
      <c r="N75" s="2827">
        <v>8</v>
      </c>
      <c r="O75" s="3293"/>
      <c r="P75" s="2941"/>
      <c r="Q75" s="3361"/>
      <c r="R75" s="2004">
        <v>0.25</v>
      </c>
      <c r="S75"/>
      <c r="T75" s="3293"/>
      <c r="U75" s="2094" t="s">
        <v>1278</v>
      </c>
      <c r="V75" s="2094" t="s">
        <v>1279</v>
      </c>
      <c r="W75" s="1249">
        <v>0</v>
      </c>
      <c r="X75" s="1250">
        <v>0</v>
      </c>
      <c r="Y75" s="1250">
        <v>0</v>
      </c>
      <c r="Z75" s="3396"/>
      <c r="AA75" s="3361"/>
      <c r="AB75" s="3396"/>
      <c r="AC75" s="3167"/>
      <c r="AD75" s="3396"/>
      <c r="AE75" s="3167"/>
      <c r="AF75" s="3396"/>
      <c r="AG75" s="3167"/>
      <c r="AH75" s="3396"/>
      <c r="AI75" s="3167"/>
      <c r="AJ75" s="3396"/>
      <c r="AK75" s="3167"/>
      <c r="AL75" s="3396"/>
      <c r="AM75" s="3167"/>
      <c r="AN75" s="3396"/>
      <c r="AO75" s="3167"/>
      <c r="AP75" s="3396"/>
      <c r="AQ75" s="3167"/>
      <c r="AR75" s="3396"/>
      <c r="AS75" s="3167"/>
      <c r="AT75" s="3396"/>
      <c r="AU75" s="3167"/>
      <c r="AV75" s="3396"/>
      <c r="AW75" s="3167"/>
      <c r="AX75" s="3396"/>
      <c r="AY75" s="3167"/>
      <c r="AZ75" s="3396"/>
      <c r="BA75"/>
      <c r="BB75"/>
      <c r="BC75" s="3404"/>
      <c r="BD75" s="3396"/>
      <c r="BE75" s="3396"/>
      <c r="BF75" s="3387"/>
      <c r="BG75" s="2885"/>
      <c r="BH75" s="3387"/>
      <c r="BI75" s="2885"/>
      <c r="BJ75"/>
    </row>
    <row r="76" spans="1:68" ht="39.75" customHeight="1">
      <c r="A76" s="1208"/>
      <c r="B76" s="1218"/>
      <c r="C76" s="657"/>
      <c r="D76" s="657"/>
      <c r="E76" s="657"/>
      <c r="F76" s="1219"/>
      <c r="G76" s="1212">
        <v>46</v>
      </c>
      <c r="H76" s="51" t="s">
        <v>1280</v>
      </c>
      <c r="I76" s="51"/>
      <c r="J76" s="1759"/>
      <c r="K76" s="476"/>
      <c r="L76" s="2030"/>
      <c r="M76" s="2030"/>
      <c r="N76" s="799"/>
      <c r="O76" s="476"/>
      <c r="P76" s="2030"/>
      <c r="Q76" s="476"/>
      <c r="R76" s="2030"/>
      <c r="S76" s="1239"/>
      <c r="T76" s="476"/>
      <c r="U76" s="476"/>
      <c r="V76" s="476"/>
      <c r="W76" s="1298"/>
      <c r="X76" s="1299"/>
      <c r="Y76" s="1299"/>
      <c r="Z76" s="2029"/>
      <c r="AA76" s="476"/>
      <c r="AB76" s="476"/>
      <c r="AC76" s="1213"/>
      <c r="AD76" s="476"/>
      <c r="AE76" s="1213"/>
      <c r="AF76" s="476"/>
      <c r="AG76" s="1213"/>
      <c r="AH76" s="476"/>
      <c r="AI76" s="1213"/>
      <c r="AJ76" s="476"/>
      <c r="AK76" s="1213"/>
      <c r="AL76" s="1294"/>
      <c r="AM76" s="1292"/>
      <c r="AN76" s="476"/>
      <c r="AO76" s="1213"/>
      <c r="AP76" s="1294"/>
      <c r="AQ76" s="1292"/>
      <c r="AR76" s="476"/>
      <c r="AS76" s="1213"/>
      <c r="AT76" s="476"/>
      <c r="AU76" s="1213"/>
      <c r="AV76" s="476"/>
      <c r="AW76" s="1213"/>
      <c r="AX76" s="476"/>
      <c r="AY76" s="1213"/>
      <c r="AZ76" s="476"/>
      <c r="BA76" s="2052"/>
      <c r="BB76" s="2052"/>
      <c r="BC76" s="1236"/>
      <c r="BD76" s="476"/>
      <c r="BE76" s="476"/>
      <c r="BF76" s="51"/>
      <c r="BG76" s="475"/>
      <c r="BH76" s="51"/>
      <c r="BI76" s="475"/>
      <c r="BJ76" s="51"/>
      <c r="BK76" s="1"/>
      <c r="BL76" s="1"/>
      <c r="BM76" s="1"/>
      <c r="BN76" s="1"/>
      <c r="BO76" s="1"/>
      <c r="BP76" s="1"/>
    </row>
    <row r="77" spans="1:62" ht="67.5" customHeight="1">
      <c r="A77" s="1217"/>
      <c r="B77" s="1224"/>
      <c r="C77" s="852"/>
      <c r="D77" s="852"/>
      <c r="E77" s="852"/>
      <c r="F77" s="1225"/>
      <c r="G77" s="1220"/>
      <c r="H77" s="1221"/>
      <c r="I77" s="1222"/>
      <c r="J77" s="3028">
        <v>160</v>
      </c>
      <c r="K77" s="3359" t="s">
        <v>1281</v>
      </c>
      <c r="L77" s="3012" t="s">
        <v>248</v>
      </c>
      <c r="M77" s="3012">
        <v>300</v>
      </c>
      <c r="N77" s="3126">
        <v>364</v>
      </c>
      <c r="O77" s="2910" t="s">
        <v>1282</v>
      </c>
      <c r="P77" s="2905">
        <v>151</v>
      </c>
      <c r="Q77" s="3359" t="s">
        <v>1283</v>
      </c>
      <c r="R77" s="3403">
        <v>1</v>
      </c>
      <c r="S77">
        <v>937272404</v>
      </c>
      <c r="T77" s="2910" t="s">
        <v>1284</v>
      </c>
      <c r="U77" s="2094" t="s">
        <v>1285</v>
      </c>
      <c r="V77" s="3359" t="s">
        <v>1286</v>
      </c>
      <c r="W77">
        <v>876472404</v>
      </c>
      <c r="X77">
        <v>288479421</v>
      </c>
      <c r="Y77">
        <v>288479421</v>
      </c>
      <c r="Z77" s="3395">
        <v>61</v>
      </c>
      <c r="AA77" s="3359" t="s">
        <v>1115</v>
      </c>
      <c r="AB77" s="3395">
        <v>64149</v>
      </c>
      <c r="AC77" s="3131">
        <f>SUM(AB77*0.32)</f>
        <v>20527.68</v>
      </c>
      <c r="AD77" s="3395">
        <v>72224</v>
      </c>
      <c r="AE77" s="3131">
        <f>SUM(AD77*0.32)</f>
        <v>23111.68</v>
      </c>
      <c r="AF77" s="3395">
        <v>27477</v>
      </c>
      <c r="AG77" s="3131">
        <f>SUM(AF77*0.32)</f>
        <v>8792.64</v>
      </c>
      <c r="AH77" s="3395">
        <v>86843</v>
      </c>
      <c r="AI77" s="3131">
        <f>SUM(AH77*0.32)</f>
        <v>27789.760000000002</v>
      </c>
      <c r="AJ77" s="3395">
        <v>236429</v>
      </c>
      <c r="AK77" s="3131">
        <f>SUM(AJ77*0.32)</f>
        <v>75657.28</v>
      </c>
      <c r="AL77" s="3395">
        <v>75612</v>
      </c>
      <c r="AM77" s="3131">
        <f>SUM(AL77*0.32)</f>
        <v>24195.84</v>
      </c>
      <c r="AN77" s="3395">
        <v>13208</v>
      </c>
      <c r="AO77" s="3131">
        <f>SUM(AN77*0.32)</f>
        <v>4226.56</v>
      </c>
      <c r="AP77" s="3395">
        <v>2145</v>
      </c>
      <c r="AQ77" s="3131">
        <f>SUM(AP77*0.32)</f>
        <v>686.4</v>
      </c>
      <c r="AR77" s="3395">
        <v>413</v>
      </c>
      <c r="AS77" s="3131">
        <f>SUM(AR77*0.32)</f>
        <v>132.16</v>
      </c>
      <c r="AT77" s="3395">
        <v>520</v>
      </c>
      <c r="AU77" s="3131">
        <f>SUM(AT77*0.32)</f>
        <v>166.4</v>
      </c>
      <c r="AV77" s="3395">
        <v>16897</v>
      </c>
      <c r="AW77" s="3131">
        <f>SUM(AV77*0.32)</f>
        <v>5407.04</v>
      </c>
      <c r="AX77" s="3395">
        <v>75612</v>
      </c>
      <c r="AY77" s="3131">
        <f>SUM(AX77*0.32)</f>
        <v>24195.84</v>
      </c>
      <c r="AZ77" s="3395">
        <v>28</v>
      </c>
      <c r="BA77">
        <f>SUM(X77:X80)</f>
        <v>300479421</v>
      </c>
      <c r="BB77">
        <f>SUM(Y77:Y80)</f>
        <v>300479421</v>
      </c>
      <c r="BC77" s="3403">
        <f>BA77/BB77</f>
        <v>1</v>
      </c>
      <c r="BD77" s="3395">
        <v>61</v>
      </c>
      <c r="BE77" s="3395" t="s">
        <v>1099</v>
      </c>
      <c r="BF77" s="3385">
        <v>42583</v>
      </c>
      <c r="BG77" s="2883">
        <v>42583</v>
      </c>
      <c r="BH77" s="3385">
        <v>42735</v>
      </c>
      <c r="BI77" s="2883">
        <v>42735</v>
      </c>
      <c r="BJ77" t="s">
        <v>1100</v>
      </c>
    </row>
    <row r="78" spans="1:62" ht="81.75" customHeight="1">
      <c r="A78" s="1217"/>
      <c r="B78" s="1224"/>
      <c r="C78" s="852"/>
      <c r="D78" s="852"/>
      <c r="E78" s="852"/>
      <c r="F78" s="1225"/>
      <c r="G78" s="1224"/>
      <c r="H78" s="852"/>
      <c r="I78" s="1225"/>
      <c r="J78" s="3028"/>
      <c r="K78" s="3360"/>
      <c r="L78" s="3013"/>
      <c r="M78" s="3013"/>
      <c r="N78" s="3127"/>
      <c r="O78" s="3292"/>
      <c r="P78" s="2906"/>
      <c r="Q78" s="3360"/>
      <c r="R78" s="3544"/>
      <c r="S78"/>
      <c r="T78" s="3292"/>
      <c r="U78" s="2094" t="s">
        <v>1287</v>
      </c>
      <c r="V78" s="3361"/>
      <c r="W78"/>
      <c r="X78"/>
      <c r="Y78"/>
      <c r="Z78"/>
      <c r="AA78" s="3360"/>
      <c r="AB78"/>
      <c r="AC78" s="3132"/>
      <c r="AD78"/>
      <c r="AE78" s="3132"/>
      <c r="AF78"/>
      <c r="AG78" s="3132"/>
      <c r="AH78"/>
      <c r="AI78" s="3132"/>
      <c r="AJ78"/>
      <c r="AK78" s="3132"/>
      <c r="AL78"/>
      <c r="AM78" s="3132"/>
      <c r="AN78"/>
      <c r="AO78" s="3132"/>
      <c r="AP78"/>
      <c r="AQ78" s="3132"/>
      <c r="AR78"/>
      <c r="AS78" s="3132"/>
      <c r="AT78"/>
      <c r="AU78" s="3132"/>
      <c r="AV78"/>
      <c r="AW78" s="3132"/>
      <c r="AX78"/>
      <c r="AY78" s="3132"/>
      <c r="AZ78"/>
      <c r="BA78"/>
      <c r="BB78"/>
      <c r="BC78" s="3544"/>
      <c r="BD78"/>
      <c r="BE78"/>
      <c r="BF78" s="3386"/>
      <c r="BG78" s="2884"/>
      <c r="BH78" s="3386"/>
      <c r="BI78" s="2884"/>
      <c r="BJ78"/>
    </row>
    <row r="79" spans="1:62" ht="73.5" customHeight="1">
      <c r="A79" s="1217"/>
      <c r="B79" s="1224"/>
      <c r="C79" s="852"/>
      <c r="D79" s="852"/>
      <c r="E79" s="852"/>
      <c r="F79" s="1225"/>
      <c r="G79" s="1224"/>
      <c r="H79" s="852"/>
      <c r="I79" s="1225"/>
      <c r="J79" s="3028"/>
      <c r="K79" s="3360"/>
      <c r="L79" s="3013"/>
      <c r="M79" s="3013"/>
      <c r="N79" s="3127"/>
      <c r="O79" s="3292"/>
      <c r="P79" s="2906"/>
      <c r="Q79" s="3360"/>
      <c r="R79" s="3544"/>
      <c r="S79"/>
      <c r="T79" s="3292"/>
      <c r="U79" s="2094" t="s">
        <v>1288</v>
      </c>
      <c r="V79" s="3359" t="s">
        <v>1289</v>
      </c>
      <c r="W79">
        <v>60800000</v>
      </c>
      <c r="X79">
        <v>12000000</v>
      </c>
      <c r="Y79">
        <v>12000000</v>
      </c>
      <c r="Z79"/>
      <c r="AA79" s="3360"/>
      <c r="AB79"/>
      <c r="AC79" s="3132"/>
      <c r="AD79"/>
      <c r="AE79" s="3132"/>
      <c r="AF79"/>
      <c r="AG79" s="3132"/>
      <c r="AH79"/>
      <c r="AI79" s="3132"/>
      <c r="AJ79"/>
      <c r="AK79" s="3132"/>
      <c r="AL79"/>
      <c r="AM79" s="3132"/>
      <c r="AN79"/>
      <c r="AO79" s="3132"/>
      <c r="AP79"/>
      <c r="AQ79" s="3132"/>
      <c r="AR79"/>
      <c r="AS79" s="3132"/>
      <c r="AT79"/>
      <c r="AU79" s="3132"/>
      <c r="AV79"/>
      <c r="AW79" s="3132"/>
      <c r="AX79"/>
      <c r="AY79" s="3132"/>
      <c r="AZ79"/>
      <c r="BA79"/>
      <c r="BB79"/>
      <c r="BC79" s="3544"/>
      <c r="BD79"/>
      <c r="BE79"/>
      <c r="BF79" s="3386"/>
      <c r="BG79" s="2884"/>
      <c r="BH79" s="3386"/>
      <c r="BI79" s="2884"/>
      <c r="BJ79"/>
    </row>
    <row r="80" spans="1:62" ht="100.5" customHeight="1">
      <c r="A80" s="1217"/>
      <c r="B80" s="1224"/>
      <c r="C80" s="852"/>
      <c r="D80" s="852"/>
      <c r="E80" s="852"/>
      <c r="F80" s="1225"/>
      <c r="G80" s="1224"/>
      <c r="H80" s="852"/>
      <c r="I80" s="1225"/>
      <c r="J80" s="3028"/>
      <c r="K80" s="3361"/>
      <c r="L80" s="3014"/>
      <c r="M80" s="3014"/>
      <c r="N80" s="3128"/>
      <c r="O80" s="3293"/>
      <c r="P80" s="2941"/>
      <c r="Q80" s="3361"/>
      <c r="R80" s="3404"/>
      <c r="S80"/>
      <c r="T80" s="3293"/>
      <c r="U80" s="2094" t="s">
        <v>1290</v>
      </c>
      <c r="V80" s="3361"/>
      <c r="W80"/>
      <c r="X80"/>
      <c r="Y80"/>
      <c r="Z80" s="3396"/>
      <c r="AA80" s="3361"/>
      <c r="AB80" s="3396"/>
      <c r="AC80" s="3167"/>
      <c r="AD80" s="3396"/>
      <c r="AE80" s="3167"/>
      <c r="AF80" s="3396"/>
      <c r="AG80" s="3167"/>
      <c r="AH80" s="3396"/>
      <c r="AI80" s="3167"/>
      <c r="AJ80" s="3396"/>
      <c r="AK80" s="3167"/>
      <c r="AL80" s="3396"/>
      <c r="AM80" s="3167"/>
      <c r="AN80" s="3396"/>
      <c r="AO80" s="3167"/>
      <c r="AP80" s="3396"/>
      <c r="AQ80" s="3167"/>
      <c r="AR80" s="3396"/>
      <c r="AS80" s="3167"/>
      <c r="AT80" s="3396"/>
      <c r="AU80" s="3167"/>
      <c r="AV80" s="3396"/>
      <c r="AW80" s="3167"/>
      <c r="AX80" s="3396"/>
      <c r="AY80" s="3167"/>
      <c r="AZ80" s="3396"/>
      <c r="BA80"/>
      <c r="BB80"/>
      <c r="BC80" s="3404"/>
      <c r="BD80" s="3396"/>
      <c r="BE80" s="3396"/>
      <c r="BF80" s="3387"/>
      <c r="BG80" s="2885"/>
      <c r="BH80" s="3387"/>
      <c r="BI80" s="2885"/>
      <c r="BJ80"/>
    </row>
    <row r="81" spans="1:62" ht="29.25" customHeight="1">
      <c r="A81" s="1217"/>
      <c r="B81" s="1224"/>
      <c r="C81" s="852"/>
      <c r="D81" s="852"/>
      <c r="E81" s="852"/>
      <c r="F81" s="1225"/>
      <c r="G81" s="1224"/>
      <c r="H81" s="852"/>
      <c r="I81" s="1225"/>
      <c r="J81" s="1300"/>
      <c r="K81" s="1301"/>
      <c r="L81" s="1302"/>
      <c r="M81" s="1302"/>
      <c r="N81" s="1303"/>
      <c r="O81" s="1304"/>
      <c r="P81" s="1305"/>
      <c r="Q81" s="1306"/>
      <c r="R81" s="1307"/>
      <c r="S81" s="1308"/>
      <c r="T81" s="1306"/>
      <c r="U81" s="1301"/>
      <c r="V81" s="1309"/>
      <c r="W81" s="1310"/>
      <c r="X81" s="1310"/>
      <c r="Y81" s="1310"/>
      <c r="Z81" s="1311"/>
      <c r="AA81" s="1312"/>
      <c r="AB81" s="1313"/>
      <c r="AC81" s="1314"/>
      <c r="AD81" s="1313"/>
      <c r="AE81" s="1314"/>
      <c r="AF81" s="1313"/>
      <c r="AG81" s="1314"/>
      <c r="AH81" s="1313"/>
      <c r="AI81" s="1314"/>
      <c r="AJ81" s="1313"/>
      <c r="AK81" s="1314"/>
      <c r="AL81" s="1313"/>
      <c r="AM81" s="1314"/>
      <c r="AN81" s="1313"/>
      <c r="AO81" s="1314"/>
      <c r="AP81" s="1313"/>
      <c r="AQ81" s="1314"/>
      <c r="AR81" s="1313"/>
      <c r="AS81" s="1314"/>
      <c r="AT81" s="1313"/>
      <c r="AU81" s="1314"/>
      <c r="AV81" s="1313"/>
      <c r="AW81" s="1314"/>
      <c r="AX81" s="1313"/>
      <c r="AY81" s="1314"/>
      <c r="AZ81" s="1315"/>
      <c r="BA81" s="2060"/>
      <c r="BB81" s="2060"/>
      <c r="BC81" s="1316"/>
      <c r="BD81" s="1313"/>
      <c r="BE81" s="1313"/>
      <c r="BF81" s="1317"/>
      <c r="BG81" s="1318"/>
      <c r="BH81" s="1317"/>
      <c r="BI81" s="1318"/>
      <c r="BJ81" s="1319"/>
    </row>
    <row r="82" spans="1:62" ht="101.25" customHeight="1">
      <c r="A82" s="1217"/>
      <c r="B82" s="1224"/>
      <c r="C82" s="852"/>
      <c r="D82" s="852"/>
      <c r="E82" s="852"/>
      <c r="F82" s="1225"/>
      <c r="G82" s="1224"/>
      <c r="H82" s="852"/>
      <c r="I82" s="1225"/>
      <c r="J82" s="3012">
        <v>161</v>
      </c>
      <c r="K82" s="3359" t="s">
        <v>1291</v>
      </c>
      <c r="L82" s="3012" t="s">
        <v>248</v>
      </c>
      <c r="M82" s="3012">
        <v>100</v>
      </c>
      <c r="N82" s="2977">
        <v>116</v>
      </c>
      <c r="O82" s="2910" t="s">
        <v>1292</v>
      </c>
      <c r="P82" s="2905">
        <v>152</v>
      </c>
      <c r="Q82" s="3359" t="s">
        <v>1293</v>
      </c>
      <c r="R82" s="3403">
        <f>(W82+W83+W84)/S82</f>
        <v>0.21060751865893107</v>
      </c>
      <c r="S82">
        <v>284890114</v>
      </c>
      <c r="T82" s="2910" t="s">
        <v>1294</v>
      </c>
      <c r="U82" s="3359" t="s">
        <v>1295</v>
      </c>
      <c r="V82" s="2094" t="s">
        <v>1296</v>
      </c>
      <c r="W82" s="1249">
        <v>10000000</v>
      </c>
      <c r="X82" s="1223">
        <v>10000000</v>
      </c>
      <c r="Y82" s="1223">
        <v>10000000</v>
      </c>
      <c r="Z82" s="3395">
        <v>61</v>
      </c>
      <c r="AA82" s="3359" t="s">
        <v>1115</v>
      </c>
      <c r="AB82" s="3395">
        <v>64149</v>
      </c>
      <c r="AC82" s="3131">
        <f>SUM(AB82*0.83)</f>
        <v>53243.67</v>
      </c>
      <c r="AD82" s="3395">
        <v>72224</v>
      </c>
      <c r="AE82" s="3131">
        <f>SUM(AD82*0.83)</f>
        <v>59945.92</v>
      </c>
      <c r="AF82" s="3395">
        <v>27477</v>
      </c>
      <c r="AG82" s="3131">
        <f>SUM(AF82*0.83)</f>
        <v>22805.91</v>
      </c>
      <c r="AH82" s="3395">
        <v>86843</v>
      </c>
      <c r="AI82" s="3131">
        <f>SUM(AH82*0.83)</f>
        <v>72079.69</v>
      </c>
      <c r="AJ82" s="3395">
        <v>236429</v>
      </c>
      <c r="AK82" s="3131">
        <f>SUM(AJ82*0.83)</f>
        <v>196236.06999999998</v>
      </c>
      <c r="AL82" s="3395">
        <v>75612</v>
      </c>
      <c r="AM82" s="3131">
        <f>SUM(AL82*0.83)</f>
        <v>62757.96</v>
      </c>
      <c r="AN82" s="3395">
        <v>13208</v>
      </c>
      <c r="AO82" s="3131">
        <f>SUM(AN82*0.83)</f>
        <v>10962.64</v>
      </c>
      <c r="AP82" s="3395">
        <v>2145</v>
      </c>
      <c r="AQ82" s="3131">
        <f>SUM(AP82*0.83)</f>
        <v>1780.35</v>
      </c>
      <c r="AR82" s="3395">
        <v>413</v>
      </c>
      <c r="AS82" s="3131">
        <f>SUM(AR82*0.83)</f>
        <v>342.78999999999996</v>
      </c>
      <c r="AT82" s="3395">
        <v>520</v>
      </c>
      <c r="AU82" s="3131">
        <f>SUM(AT82*0.83)</f>
        <v>431.59999999999997</v>
      </c>
      <c r="AV82" s="3395">
        <v>16897</v>
      </c>
      <c r="AW82" s="3131">
        <f>SUM(AV82*0.83)</f>
        <v>14024.51</v>
      </c>
      <c r="AX82" s="3395">
        <v>75612</v>
      </c>
      <c r="AY82" s="3131">
        <f>SUM(AX82*0.83)</f>
        <v>62757.96</v>
      </c>
      <c r="AZ82" s="3395">
        <v>23</v>
      </c>
      <c r="BA82">
        <f>SUM(X82:X94)</f>
        <v>236239333</v>
      </c>
      <c r="BB82">
        <f>SUM(Y82:Y94)</f>
        <v>236239333</v>
      </c>
      <c r="BC82" s="3403">
        <f>BB82/BA82</f>
        <v>1</v>
      </c>
      <c r="BD82" s="3395">
        <v>61</v>
      </c>
      <c r="BE82" s="3395" t="s">
        <v>1099</v>
      </c>
      <c r="BF82" s="3385">
        <v>42583</v>
      </c>
      <c r="BG82" s="2883">
        <v>42583</v>
      </c>
      <c r="BH82" s="3385">
        <v>42735</v>
      </c>
      <c r="BI82">
        <v>42735</v>
      </c>
      <c r="BJ82" t="s">
        <v>1100</v>
      </c>
    </row>
    <row r="83" spans="1:62" ht="92.25" customHeight="1">
      <c r="A83" s="1217"/>
      <c r="B83" s="1224"/>
      <c r="C83" s="852"/>
      <c r="D83" s="852"/>
      <c r="E83" s="852"/>
      <c r="F83" s="1225"/>
      <c r="G83" s="1224"/>
      <c r="H83" s="852"/>
      <c r="I83" s="1225"/>
      <c r="J83" s="3013"/>
      <c r="K83" s="3360"/>
      <c r="L83" s="3013"/>
      <c r="M83" s="3013"/>
      <c r="N83" s="2978"/>
      <c r="O83" s="3292"/>
      <c r="P83" s="2906"/>
      <c r="Q83" s="3360"/>
      <c r="R83" s="3544"/>
      <c r="S83"/>
      <c r="T83" s="3292"/>
      <c r="U83" s="3360"/>
      <c r="V83" s="2094" t="s">
        <v>1297</v>
      </c>
      <c r="W83" s="1249">
        <v>40000000</v>
      </c>
      <c r="X83" s="1223">
        <v>31100000</v>
      </c>
      <c r="Y83" s="1223">
        <v>31100000</v>
      </c>
      <c r="Z83"/>
      <c r="AA83" s="3360"/>
      <c r="AB83"/>
      <c r="AC83" s="3132"/>
      <c r="AD83"/>
      <c r="AE83" s="3132"/>
      <c r="AF83"/>
      <c r="AG83" s="3132"/>
      <c r="AH83"/>
      <c r="AI83" s="3132"/>
      <c r="AJ83"/>
      <c r="AK83" s="3132"/>
      <c r="AL83"/>
      <c r="AM83" s="3132"/>
      <c r="AN83"/>
      <c r="AO83" s="3132"/>
      <c r="AP83"/>
      <c r="AQ83" s="3132"/>
      <c r="AR83"/>
      <c r="AS83" s="3132"/>
      <c r="AT83"/>
      <c r="AU83" s="3132"/>
      <c r="AV83"/>
      <c r="AW83" s="3132"/>
      <c r="AX83"/>
      <c r="AY83" s="3132"/>
      <c r="AZ83"/>
      <c r="BA83"/>
      <c r="BB83"/>
      <c r="BC83" s="3544"/>
      <c r="BD83"/>
      <c r="BE83"/>
      <c r="BF83" s="3386"/>
      <c r="BG83" s="2884"/>
      <c r="BH83" s="3386"/>
      <c r="BI83"/>
      <c r="BJ83"/>
    </row>
    <row r="84" spans="1:62" ht="96" customHeight="1">
      <c r="A84" s="1217"/>
      <c r="B84" s="1224"/>
      <c r="C84" s="852"/>
      <c r="D84" s="852"/>
      <c r="E84" s="852"/>
      <c r="F84" s="1225"/>
      <c r="G84" s="1224"/>
      <c r="H84" s="852"/>
      <c r="I84" s="1225"/>
      <c r="J84" s="3014"/>
      <c r="K84" s="3361"/>
      <c r="L84" s="3014"/>
      <c r="M84" s="3014"/>
      <c r="N84" s="2978"/>
      <c r="O84" s="3292"/>
      <c r="P84" s="2906"/>
      <c r="Q84" s="3360"/>
      <c r="R84" s="3404"/>
      <c r="S84"/>
      <c r="T84" s="3292"/>
      <c r="U84" s="3361"/>
      <c r="V84" s="2094" t="s">
        <v>1298</v>
      </c>
      <c r="W84" s="1249">
        <v>10000000</v>
      </c>
      <c r="X84" s="1223">
        <v>8746333</v>
      </c>
      <c r="Y84" s="1223">
        <v>8746333</v>
      </c>
      <c r="Z84"/>
      <c r="AA84" s="3360"/>
      <c r="AB84"/>
      <c r="AC84" s="3132"/>
      <c r="AD84"/>
      <c r="AE84" s="3132"/>
      <c r="AF84"/>
      <c r="AG84" s="3132"/>
      <c r="AH84"/>
      <c r="AI84" s="3132"/>
      <c r="AJ84"/>
      <c r="AK84" s="3132"/>
      <c r="AL84"/>
      <c r="AM84" s="3132"/>
      <c r="AN84"/>
      <c r="AO84" s="3132"/>
      <c r="AP84"/>
      <c r="AQ84" s="3132"/>
      <c r="AR84"/>
      <c r="AS84" s="3132"/>
      <c r="AT84"/>
      <c r="AU84" s="3132"/>
      <c r="AV84"/>
      <c r="AW84" s="3132"/>
      <c r="AX84"/>
      <c r="AY84" s="3132"/>
      <c r="AZ84"/>
      <c r="BA84"/>
      <c r="BB84"/>
      <c r="BC84" s="3544"/>
      <c r="BD84"/>
      <c r="BE84"/>
      <c r="BF84" s="3386"/>
      <c r="BG84" s="2884"/>
      <c r="BH84" s="3386"/>
      <c r="BI84"/>
      <c r="BJ84"/>
    </row>
    <row r="85" spans="1:62" ht="185.25">
      <c r="A85" s="1217"/>
      <c r="B85" s="1224"/>
      <c r="C85" s="852"/>
      <c r="D85" s="852"/>
      <c r="E85" s="852"/>
      <c r="F85" s="1225"/>
      <c r="G85" s="1224"/>
      <c r="H85" s="852"/>
      <c r="I85" s="1225"/>
      <c r="J85" s="3028">
        <v>162</v>
      </c>
      <c r="K85" s="3359" t="s">
        <v>1299</v>
      </c>
      <c r="L85" s="3012" t="s">
        <v>248</v>
      </c>
      <c r="M85" s="3012">
        <v>83</v>
      </c>
      <c r="N85" s="3126">
        <v>77</v>
      </c>
      <c r="O85" s="3292"/>
      <c r="P85" s="2906"/>
      <c r="Q85" s="3360"/>
      <c r="R85" s="3403">
        <f>SUM(208067810/S82)</f>
        <v>0.730344086281632</v>
      </c>
      <c r="S85"/>
      <c r="T85" s="3292"/>
      <c r="U85" s="3359" t="s">
        <v>1300</v>
      </c>
      <c r="V85" s="2094" t="s">
        <v>1301</v>
      </c>
      <c r="W85" s="1252">
        <v>25600000</v>
      </c>
      <c r="X85" s="1223">
        <v>25600000</v>
      </c>
      <c r="Y85" s="1223">
        <v>25600000</v>
      </c>
      <c r="Z85"/>
      <c r="AA85" s="3360"/>
      <c r="AB85"/>
      <c r="AC85" s="3132"/>
      <c r="AD85"/>
      <c r="AE85" s="3132"/>
      <c r="AF85"/>
      <c r="AG85" s="3132"/>
      <c r="AH85"/>
      <c r="AI85" s="3132"/>
      <c r="AJ85"/>
      <c r="AK85" s="3132"/>
      <c r="AL85"/>
      <c r="AM85" s="3132"/>
      <c r="AN85"/>
      <c r="AO85" s="3132"/>
      <c r="AP85"/>
      <c r="AQ85" s="3132"/>
      <c r="AR85"/>
      <c r="AS85" s="3132"/>
      <c r="AT85"/>
      <c r="AU85" s="3132"/>
      <c r="AV85"/>
      <c r="AW85" s="3132"/>
      <c r="AX85"/>
      <c r="AY85" s="3132"/>
      <c r="AZ85"/>
      <c r="BA85"/>
      <c r="BB85"/>
      <c r="BC85" s="3544"/>
      <c r="BD85"/>
      <c r="BE85"/>
      <c r="BF85" s="3386"/>
      <c r="BG85" s="2884"/>
      <c r="BH85" s="3386"/>
      <c r="BI85"/>
      <c r="BJ85"/>
    </row>
    <row r="86" spans="1:62" ht="190.5" customHeight="1">
      <c r="A86" s="1217"/>
      <c r="B86" s="1224"/>
      <c r="C86" s="852"/>
      <c r="D86" s="852"/>
      <c r="E86" s="852"/>
      <c r="F86" s="1225"/>
      <c r="G86" s="1224"/>
      <c r="H86" s="852"/>
      <c r="I86" s="1225"/>
      <c r="J86" s="3028"/>
      <c r="K86" s="3360"/>
      <c r="L86" s="3013"/>
      <c r="M86" s="3013"/>
      <c r="N86" s="3127"/>
      <c r="O86" s="3292"/>
      <c r="P86" s="2906"/>
      <c r="Q86" s="3360"/>
      <c r="R86" s="3544"/>
      <c r="S86"/>
      <c r="T86" s="3292"/>
      <c r="U86" s="3360"/>
      <c r="V86" s="2094" t="s">
        <v>1302</v>
      </c>
      <c r="W86" s="1249">
        <v>32800000</v>
      </c>
      <c r="X86" s="1223">
        <v>31493000</v>
      </c>
      <c r="Y86" s="1223">
        <v>31493000</v>
      </c>
      <c r="Z86"/>
      <c r="AA86" s="3360"/>
      <c r="AB86"/>
      <c r="AC86" s="3132"/>
      <c r="AD86"/>
      <c r="AE86" s="3132"/>
      <c r="AF86"/>
      <c r="AG86" s="3132"/>
      <c r="AH86"/>
      <c r="AI86" s="3132"/>
      <c r="AJ86"/>
      <c r="AK86" s="3132"/>
      <c r="AL86"/>
      <c r="AM86" s="3132"/>
      <c r="AN86"/>
      <c r="AO86" s="3132"/>
      <c r="AP86"/>
      <c r="AQ86" s="3132"/>
      <c r="AR86"/>
      <c r="AS86" s="3132"/>
      <c r="AT86"/>
      <c r="AU86" s="3132"/>
      <c r="AV86"/>
      <c r="AW86" s="3132"/>
      <c r="AX86"/>
      <c r="AY86" s="3132"/>
      <c r="AZ86"/>
      <c r="BA86"/>
      <c r="BB86"/>
      <c r="BC86" s="3544"/>
      <c r="BD86"/>
      <c r="BE86"/>
      <c r="BF86" s="3386"/>
      <c r="BG86" s="2884"/>
      <c r="BH86" s="3386"/>
      <c r="BI86"/>
      <c r="BJ86"/>
    </row>
    <row r="87" spans="1:62" ht="236.25" customHeight="1">
      <c r="A87" s="1217"/>
      <c r="B87" s="1224"/>
      <c r="C87" s="852"/>
      <c r="D87" s="852"/>
      <c r="E87" s="852"/>
      <c r="F87" s="1225"/>
      <c r="G87" s="1224"/>
      <c r="H87" s="852"/>
      <c r="I87" s="1225"/>
      <c r="J87" s="3028"/>
      <c r="K87" s="3360"/>
      <c r="L87" s="3013"/>
      <c r="M87" s="3013"/>
      <c r="N87" s="3127"/>
      <c r="O87" s="3292"/>
      <c r="P87" s="2906"/>
      <c r="Q87" s="3360"/>
      <c r="R87" s="3544"/>
      <c r="S87"/>
      <c r="T87" s="3292"/>
      <c r="U87" s="3360"/>
      <c r="V87" s="2094" t="s">
        <v>1303</v>
      </c>
      <c r="W87" s="1249">
        <v>11250000</v>
      </c>
      <c r="X87" s="1223">
        <v>11250000</v>
      </c>
      <c r="Y87" s="1223">
        <v>11250000</v>
      </c>
      <c r="Z87"/>
      <c r="AA87" s="3360"/>
      <c r="AB87"/>
      <c r="AC87" s="3132"/>
      <c r="AD87"/>
      <c r="AE87" s="3132"/>
      <c r="AF87"/>
      <c r="AG87" s="3132"/>
      <c r="AH87"/>
      <c r="AI87" s="3132"/>
      <c r="AJ87"/>
      <c r="AK87" s="3132"/>
      <c r="AL87"/>
      <c r="AM87" s="3132"/>
      <c r="AN87"/>
      <c r="AO87" s="3132"/>
      <c r="AP87"/>
      <c r="AQ87" s="3132"/>
      <c r="AR87"/>
      <c r="AS87" s="3132"/>
      <c r="AT87"/>
      <c r="AU87" s="3132"/>
      <c r="AV87"/>
      <c r="AW87" s="3132"/>
      <c r="AX87"/>
      <c r="AY87" s="3132"/>
      <c r="AZ87"/>
      <c r="BA87"/>
      <c r="BB87"/>
      <c r="BC87" s="3544"/>
      <c r="BD87"/>
      <c r="BE87"/>
      <c r="BF87" s="3386"/>
      <c r="BG87" s="2884"/>
      <c r="BH87" s="3386"/>
      <c r="BI87"/>
      <c r="BJ87"/>
    </row>
    <row r="88" spans="1:62" ht="256.5" customHeight="1">
      <c r="A88" s="1217"/>
      <c r="B88" s="1224"/>
      <c r="C88" s="852"/>
      <c r="D88" s="852"/>
      <c r="E88" s="852"/>
      <c r="F88" s="1225"/>
      <c r="G88" s="1224"/>
      <c r="H88" s="852"/>
      <c r="I88" s="1225"/>
      <c r="J88" s="3028"/>
      <c r="K88" s="3360"/>
      <c r="L88" s="3013"/>
      <c r="M88" s="3013"/>
      <c r="N88" s="3127"/>
      <c r="O88" s="3292"/>
      <c r="P88" s="2906"/>
      <c r="Q88" s="3360"/>
      <c r="R88" s="3544"/>
      <c r="S88"/>
      <c r="T88" s="3292"/>
      <c r="U88" s="3360"/>
      <c r="V88" s="2094" t="s">
        <v>1304</v>
      </c>
      <c r="W88" s="1249">
        <v>20000000</v>
      </c>
      <c r="X88" s="1223">
        <v>8750000</v>
      </c>
      <c r="Y88" s="1223">
        <v>8750000</v>
      </c>
      <c r="Z88"/>
      <c r="AA88" s="3360"/>
      <c r="AB88"/>
      <c r="AC88" s="3132"/>
      <c r="AD88"/>
      <c r="AE88" s="3132"/>
      <c r="AF88"/>
      <c r="AG88" s="3132"/>
      <c r="AH88"/>
      <c r="AI88" s="3132"/>
      <c r="AJ88"/>
      <c r="AK88" s="3132"/>
      <c r="AL88"/>
      <c r="AM88" s="3132"/>
      <c r="AN88"/>
      <c r="AO88" s="3132"/>
      <c r="AP88"/>
      <c r="AQ88" s="3132"/>
      <c r="AR88"/>
      <c r="AS88" s="3132"/>
      <c r="AT88"/>
      <c r="AU88" s="3132"/>
      <c r="AV88"/>
      <c r="AW88" s="3132"/>
      <c r="AX88"/>
      <c r="AY88" s="3132"/>
      <c r="AZ88"/>
      <c r="BA88"/>
      <c r="BB88"/>
      <c r="BC88" s="3544"/>
      <c r="BD88"/>
      <c r="BE88"/>
      <c r="BF88" s="3386"/>
      <c r="BG88" s="2884"/>
      <c r="BH88" s="3386"/>
      <c r="BI88"/>
      <c r="BJ88"/>
    </row>
    <row r="89" spans="1:62" ht="216" customHeight="1">
      <c r="A89" s="1217"/>
      <c r="B89" s="1224"/>
      <c r="C89" s="852"/>
      <c r="D89" s="852"/>
      <c r="E89" s="852"/>
      <c r="F89" s="1225"/>
      <c r="G89" s="1224"/>
      <c r="H89" s="852"/>
      <c r="I89" s="1225"/>
      <c r="J89" s="3028"/>
      <c r="K89" s="3360"/>
      <c r="L89" s="3013"/>
      <c r="M89" s="3013"/>
      <c r="N89" s="3127"/>
      <c r="O89" s="3292"/>
      <c r="P89" s="2906"/>
      <c r="Q89" s="3360"/>
      <c r="R89" s="3544"/>
      <c r="S89"/>
      <c r="T89" s="3292"/>
      <c r="U89" s="3360"/>
      <c r="V89" s="2094" t="s">
        <v>1305</v>
      </c>
      <c r="W89" s="1249">
        <v>16200000</v>
      </c>
      <c r="X89" s="1223">
        <v>16200000</v>
      </c>
      <c r="Y89" s="1223">
        <v>16200000</v>
      </c>
      <c r="Z89"/>
      <c r="AA89" s="3360"/>
      <c r="AB89"/>
      <c r="AC89" s="3132"/>
      <c r="AD89"/>
      <c r="AE89" s="3132"/>
      <c r="AF89"/>
      <c r="AG89" s="3132"/>
      <c r="AH89"/>
      <c r="AI89" s="3132"/>
      <c r="AJ89"/>
      <c r="AK89" s="3132"/>
      <c r="AL89"/>
      <c r="AM89" s="3132"/>
      <c r="AN89"/>
      <c r="AO89" s="3132"/>
      <c r="AP89"/>
      <c r="AQ89" s="3132"/>
      <c r="AR89"/>
      <c r="AS89" s="3132"/>
      <c r="AT89"/>
      <c r="AU89" s="3132"/>
      <c r="AV89"/>
      <c r="AW89" s="3132"/>
      <c r="AX89"/>
      <c r="AY89" s="3132"/>
      <c r="AZ89"/>
      <c r="BA89"/>
      <c r="BB89"/>
      <c r="BC89" s="3544"/>
      <c r="BD89"/>
      <c r="BE89"/>
      <c r="BF89" s="3386"/>
      <c r="BG89" s="2884"/>
      <c r="BH89" s="3386"/>
      <c r="BI89"/>
      <c r="BJ89"/>
    </row>
    <row r="90" spans="1:62" ht="158.25" customHeight="1">
      <c r="A90" s="1217"/>
      <c r="B90" s="1224"/>
      <c r="C90" s="852"/>
      <c r="D90" s="852"/>
      <c r="E90" s="852"/>
      <c r="F90" s="1225"/>
      <c r="G90" s="1224"/>
      <c r="H90" s="852"/>
      <c r="I90" s="1225"/>
      <c r="J90" s="3028"/>
      <c r="K90" s="3360"/>
      <c r="L90" s="3013"/>
      <c r="M90" s="3013"/>
      <c r="N90" s="3127"/>
      <c r="O90" s="3292"/>
      <c r="P90" s="2906"/>
      <c r="Q90" s="3360"/>
      <c r="R90" s="3544"/>
      <c r="S90"/>
      <c r="T90" s="3292"/>
      <c r="U90" s="3360"/>
      <c r="V90" s="2078" t="s">
        <v>1306</v>
      </c>
      <c r="W90" s="1249">
        <v>7200000</v>
      </c>
      <c r="X90" s="1223">
        <v>11200000</v>
      </c>
      <c r="Y90" s="1223">
        <v>11200000</v>
      </c>
      <c r="Z90"/>
      <c r="AA90" s="3360"/>
      <c r="AB90"/>
      <c r="AC90" s="3132"/>
      <c r="AD90"/>
      <c r="AE90" s="3132"/>
      <c r="AF90"/>
      <c r="AG90" s="3132"/>
      <c r="AH90"/>
      <c r="AI90" s="3132"/>
      <c r="AJ90"/>
      <c r="AK90" s="3132"/>
      <c r="AL90"/>
      <c r="AM90" s="3132"/>
      <c r="AN90"/>
      <c r="AO90" s="3132"/>
      <c r="AP90"/>
      <c r="AQ90" s="3132"/>
      <c r="AR90"/>
      <c r="AS90" s="3132"/>
      <c r="AT90"/>
      <c r="AU90" s="3132"/>
      <c r="AV90"/>
      <c r="AW90" s="3132"/>
      <c r="AX90"/>
      <c r="AY90" s="3132"/>
      <c r="AZ90"/>
      <c r="BA90"/>
      <c r="BB90"/>
      <c r="BC90" s="3544"/>
      <c r="BD90"/>
      <c r="BE90"/>
      <c r="BF90" s="3386"/>
      <c r="BG90" s="2884"/>
      <c r="BH90" s="3386"/>
      <c r="BI90"/>
      <c r="BJ90"/>
    </row>
    <row r="91" spans="1:62" ht="171" customHeight="1">
      <c r="A91" s="1217"/>
      <c r="B91" s="1224"/>
      <c r="C91" s="852"/>
      <c r="D91" s="852"/>
      <c r="E91" s="852"/>
      <c r="F91" s="1225"/>
      <c r="G91" s="1224"/>
      <c r="H91" s="852"/>
      <c r="I91" s="1225"/>
      <c r="J91" s="3028"/>
      <c r="K91" s="3360"/>
      <c r="L91" s="3013"/>
      <c r="M91" s="3013"/>
      <c r="N91" s="3127"/>
      <c r="O91" s="3292"/>
      <c r="P91" s="2906"/>
      <c r="Q91" s="3360"/>
      <c r="R91" s="3544"/>
      <c r="S91"/>
      <c r="T91" s="3292"/>
      <c r="U91" s="3360"/>
      <c r="V91" s="2078" t="s">
        <v>1306</v>
      </c>
      <c r="W91" s="1249">
        <v>7200000</v>
      </c>
      <c r="X91" s="1223">
        <v>12000000</v>
      </c>
      <c r="Y91" s="1223">
        <v>12000000</v>
      </c>
      <c r="Z91"/>
      <c r="AA91" s="3360"/>
      <c r="AB91"/>
      <c r="AC91" s="3132"/>
      <c r="AD91"/>
      <c r="AE91" s="3132"/>
      <c r="AF91"/>
      <c r="AG91" s="3132"/>
      <c r="AH91"/>
      <c r="AI91" s="3132"/>
      <c r="AJ91"/>
      <c r="AK91" s="3132"/>
      <c r="AL91"/>
      <c r="AM91" s="3132"/>
      <c r="AN91"/>
      <c r="AO91" s="3132"/>
      <c r="AP91"/>
      <c r="AQ91" s="3132"/>
      <c r="AR91"/>
      <c r="AS91" s="3132"/>
      <c r="AT91"/>
      <c r="AU91" s="3132"/>
      <c r="AV91"/>
      <c r="AW91" s="3132"/>
      <c r="AX91"/>
      <c r="AY91" s="3132"/>
      <c r="AZ91"/>
      <c r="BA91"/>
      <c r="BB91"/>
      <c r="BC91" s="3544"/>
      <c r="BD91"/>
      <c r="BE91"/>
      <c r="BF91" s="3386"/>
      <c r="BG91" s="2884"/>
      <c r="BH91" s="3386"/>
      <c r="BI91"/>
      <c r="BJ91"/>
    </row>
    <row r="92" spans="1:62" ht="138" customHeight="1">
      <c r="A92" s="1217"/>
      <c r="B92" s="1224"/>
      <c r="C92" s="852"/>
      <c r="D92" s="852"/>
      <c r="E92" s="852"/>
      <c r="F92" s="1225"/>
      <c r="G92" s="1224"/>
      <c r="H92" s="852"/>
      <c r="I92" s="1225"/>
      <c r="J92" s="3028"/>
      <c r="K92" s="3360"/>
      <c r="L92" s="3013"/>
      <c r="M92" s="3013"/>
      <c r="N92" s="3127"/>
      <c r="O92" s="3292"/>
      <c r="P92" s="2906"/>
      <c r="Q92" s="3360"/>
      <c r="R92" s="3544"/>
      <c r="S92"/>
      <c r="T92" s="3292"/>
      <c r="U92" s="3360"/>
      <c r="V92" s="2094" t="s">
        <v>1307</v>
      </c>
      <c r="W92" s="1249">
        <v>20000000</v>
      </c>
      <c r="X92" s="1223">
        <v>20000000</v>
      </c>
      <c r="Y92" s="1223">
        <v>20000000</v>
      </c>
      <c r="Z92"/>
      <c r="AA92" s="3360"/>
      <c r="AB92"/>
      <c r="AC92" s="3132"/>
      <c r="AD92"/>
      <c r="AE92" s="3132"/>
      <c r="AF92"/>
      <c r="AG92" s="3132"/>
      <c r="AH92"/>
      <c r="AI92" s="3132"/>
      <c r="AJ92"/>
      <c r="AK92" s="3132"/>
      <c r="AL92"/>
      <c r="AM92" s="3132"/>
      <c r="AN92"/>
      <c r="AO92" s="3132"/>
      <c r="AP92"/>
      <c r="AQ92" s="3132"/>
      <c r="AR92"/>
      <c r="AS92" s="3132"/>
      <c r="AT92"/>
      <c r="AU92" s="3132"/>
      <c r="AV92"/>
      <c r="AW92" s="3132"/>
      <c r="AX92"/>
      <c r="AY92" s="3132"/>
      <c r="AZ92"/>
      <c r="BA92"/>
      <c r="BB92"/>
      <c r="BC92" s="3544"/>
      <c r="BD92"/>
      <c r="BE92"/>
      <c r="BF92" s="3386"/>
      <c r="BG92" s="2884"/>
      <c r="BH92" s="3386"/>
      <c r="BI92"/>
      <c r="BJ92"/>
    </row>
    <row r="93" spans="1:62" ht="217.5" customHeight="1">
      <c r="A93" s="1217"/>
      <c r="B93" s="1224"/>
      <c r="C93" s="852"/>
      <c r="D93" s="852"/>
      <c r="E93" s="852"/>
      <c r="F93" s="1225"/>
      <c r="G93" s="1224"/>
      <c r="H93" s="852"/>
      <c r="I93" s="1225"/>
      <c r="J93" s="3028"/>
      <c r="K93" s="3360"/>
      <c r="L93" s="3013"/>
      <c r="M93" s="3013"/>
      <c r="N93" s="3127"/>
      <c r="O93" s="3292"/>
      <c r="P93" s="2906"/>
      <c r="Q93" s="3360"/>
      <c r="R93" s="3544"/>
      <c r="S93"/>
      <c r="T93" s="3292"/>
      <c r="U93" s="3360"/>
      <c r="V93" s="2089" t="s">
        <v>1308</v>
      </c>
      <c r="W93" s="1249">
        <v>20000000</v>
      </c>
      <c r="X93" s="1223">
        <v>20000000</v>
      </c>
      <c r="Y93" s="1223">
        <v>20000000</v>
      </c>
      <c r="Z93"/>
      <c r="AA93" s="3360"/>
      <c r="AB93"/>
      <c r="AC93" s="3132"/>
      <c r="AD93"/>
      <c r="AE93" s="3132"/>
      <c r="AF93"/>
      <c r="AG93" s="3132"/>
      <c r="AH93"/>
      <c r="AI93" s="3132"/>
      <c r="AJ93"/>
      <c r="AK93" s="3132"/>
      <c r="AL93"/>
      <c r="AM93" s="3132"/>
      <c r="AN93"/>
      <c r="AO93" s="3132"/>
      <c r="AP93"/>
      <c r="AQ93" s="3132"/>
      <c r="AR93"/>
      <c r="AS93" s="3132"/>
      <c r="AT93"/>
      <c r="AU93" s="3132"/>
      <c r="AV93"/>
      <c r="AW93" s="3132"/>
      <c r="AX93"/>
      <c r="AY93" s="3132"/>
      <c r="AZ93"/>
      <c r="BA93"/>
      <c r="BB93"/>
      <c r="BC93" s="3544"/>
      <c r="BD93"/>
      <c r="BE93"/>
      <c r="BF93" s="3386"/>
      <c r="BG93" s="2884"/>
      <c r="BH93" s="3386"/>
      <c r="BI93"/>
      <c r="BJ93"/>
    </row>
    <row r="94" spans="1:62" ht="117" customHeight="1">
      <c r="A94" s="1217"/>
      <c r="B94" s="1229"/>
      <c r="C94" s="1230"/>
      <c r="D94" s="1230"/>
      <c r="E94" s="1230"/>
      <c r="F94" s="1231"/>
      <c r="G94" s="1229"/>
      <c r="H94" s="1230"/>
      <c r="I94" s="1231"/>
      <c r="J94" s="3028"/>
      <c r="K94" s="3361"/>
      <c r="L94" s="3014"/>
      <c r="M94" s="3014"/>
      <c r="N94" s="3128"/>
      <c r="O94" s="3293"/>
      <c r="P94" s="2941"/>
      <c r="Q94" s="3361"/>
      <c r="R94" s="3404"/>
      <c r="S94"/>
      <c r="T94" s="3293"/>
      <c r="U94" s="3361"/>
      <c r="V94" s="2094" t="s">
        <v>1309</v>
      </c>
      <c r="W94" s="1249">
        <v>64640114</v>
      </c>
      <c r="X94" s="1223">
        <v>29900000</v>
      </c>
      <c r="Y94" s="1223">
        <v>29900000</v>
      </c>
      <c r="Z94" s="3396"/>
      <c r="AA94" s="3361"/>
      <c r="AB94" s="3396"/>
      <c r="AC94" s="3167"/>
      <c r="AD94" s="3396"/>
      <c r="AE94" s="3167"/>
      <c r="AF94" s="3396"/>
      <c r="AG94" s="3167"/>
      <c r="AH94" s="3396"/>
      <c r="AI94" s="3167"/>
      <c r="AJ94" s="3396"/>
      <c r="AK94" s="3167"/>
      <c r="AL94" s="3396"/>
      <c r="AM94" s="3167"/>
      <c r="AN94" s="3396"/>
      <c r="AO94" s="3167"/>
      <c r="AP94" s="3396"/>
      <c r="AQ94" s="3167"/>
      <c r="AR94" s="3396"/>
      <c r="AS94" s="3167"/>
      <c r="AT94" s="3396"/>
      <c r="AU94" s="3167"/>
      <c r="AV94" s="3396"/>
      <c r="AW94" s="3167"/>
      <c r="AX94" s="3396"/>
      <c r="AY94" s="3167"/>
      <c r="AZ94" s="3396"/>
      <c r="BA94"/>
      <c r="BB94"/>
      <c r="BC94" s="3404"/>
      <c r="BD94" s="3396"/>
      <c r="BE94" s="3396"/>
      <c r="BF94" s="3387"/>
      <c r="BG94" s="2885"/>
      <c r="BH94" s="3387"/>
      <c r="BI94"/>
      <c r="BJ94"/>
    </row>
    <row r="95" spans="1:68" ht="30.75" customHeight="1">
      <c r="A95" s="1208"/>
      <c r="B95" s="1320">
        <v>13</v>
      </c>
      <c r="C95" s="1321" t="s">
        <v>1310</v>
      </c>
      <c r="D95" s="1321"/>
      <c r="E95" s="1321"/>
      <c r="F95" s="1321"/>
      <c r="G95" s="1321"/>
      <c r="H95" s="1321"/>
      <c r="I95" s="1321"/>
      <c r="J95" s="2867"/>
      <c r="K95" s="1322"/>
      <c r="L95" s="1323"/>
      <c r="M95" s="1323"/>
      <c r="N95" s="1324"/>
      <c r="O95" s="1322"/>
      <c r="P95" s="1323"/>
      <c r="Q95" s="1322"/>
      <c r="R95" s="1323"/>
      <c r="S95" s="1325"/>
      <c r="T95" s="1322"/>
      <c r="U95" s="1322"/>
      <c r="V95" s="1326"/>
      <c r="W95" s="1327"/>
      <c r="X95" s="1328"/>
      <c r="Y95" s="1328"/>
      <c r="Z95" s="1329"/>
      <c r="AA95" s="1330"/>
      <c r="AB95" s="1322"/>
      <c r="AC95" s="1331"/>
      <c r="AD95" s="1322"/>
      <c r="AE95" s="1332"/>
      <c r="AF95" s="1322"/>
      <c r="AG95" s="1332"/>
      <c r="AH95" s="1322"/>
      <c r="AI95" s="1332"/>
      <c r="AJ95" s="1322"/>
      <c r="AK95" s="1332"/>
      <c r="AL95" s="1322"/>
      <c r="AM95" s="1333"/>
      <c r="AN95" s="1322"/>
      <c r="AO95" s="1333"/>
      <c r="AP95" s="1322"/>
      <c r="AQ95" s="1332"/>
      <c r="AR95" s="1322"/>
      <c r="AS95" s="1332"/>
      <c r="AT95" s="1322"/>
      <c r="AU95" s="1332"/>
      <c r="AV95" s="1322"/>
      <c r="AW95" s="1332"/>
      <c r="AX95" s="1322"/>
      <c r="AY95" s="1332"/>
      <c r="AZ95" s="1322"/>
      <c r="BA95" s="2061"/>
      <c r="BB95" s="2061"/>
      <c r="BC95" s="1334"/>
      <c r="BD95" s="1322"/>
      <c r="BE95" s="1322"/>
      <c r="BF95" s="1322"/>
      <c r="BG95" s="1332"/>
      <c r="BH95" s="1321"/>
      <c r="BI95" s="341"/>
      <c r="BJ95" s="828"/>
      <c r="BK95" s="1"/>
      <c r="BL95" s="1"/>
      <c r="BM95" s="1"/>
      <c r="BN95" s="1"/>
      <c r="BO95" s="1"/>
      <c r="BP95" s="1"/>
    </row>
    <row r="96" spans="1:68" ht="33.75" customHeight="1">
      <c r="A96" s="1208"/>
      <c r="B96" s="1209"/>
      <c r="C96" s="1210"/>
      <c r="D96" s="1210"/>
      <c r="E96" s="1210"/>
      <c r="F96" s="1211"/>
      <c r="G96" s="1212">
        <v>47</v>
      </c>
      <c r="H96" s="51" t="s">
        <v>1311</v>
      </c>
      <c r="I96" s="51"/>
      <c r="J96" s="1759"/>
      <c r="K96" s="476"/>
      <c r="L96" s="2030"/>
      <c r="M96" s="2030"/>
      <c r="N96" s="799"/>
      <c r="O96" s="476"/>
      <c r="P96" s="2030"/>
      <c r="Q96" s="476"/>
      <c r="R96" s="2030"/>
      <c r="S96" s="476"/>
      <c r="T96" s="476"/>
      <c r="U96" s="476"/>
      <c r="V96" s="476"/>
      <c r="W96" s="476"/>
      <c r="X96" s="1213"/>
      <c r="Y96" s="1335"/>
      <c r="Z96" s="2029"/>
      <c r="AA96" s="476"/>
      <c r="AB96" s="476"/>
      <c r="AC96" s="1213"/>
      <c r="AD96" s="476"/>
      <c r="AE96" s="1213"/>
      <c r="AF96" s="476"/>
      <c r="AG96" s="1213"/>
      <c r="AH96" s="476"/>
      <c r="AI96" s="1213"/>
      <c r="AJ96" s="476"/>
      <c r="AK96" s="1213"/>
      <c r="AL96" s="476"/>
      <c r="AM96" s="1213"/>
      <c r="AN96" s="476"/>
      <c r="AO96" s="1213"/>
      <c r="AP96" s="476"/>
      <c r="AQ96" s="1213"/>
      <c r="AR96" s="476"/>
      <c r="AS96" s="1213"/>
      <c r="AT96" s="476"/>
      <c r="AU96" s="1213"/>
      <c r="AV96" s="476"/>
      <c r="AW96" s="1213"/>
      <c r="AX96" s="476"/>
      <c r="AY96" s="1213"/>
      <c r="AZ96" s="476"/>
      <c r="BA96" s="2052"/>
      <c r="BB96" s="2052"/>
      <c r="BC96" s="1236"/>
      <c r="BD96" s="476"/>
      <c r="BE96" s="476"/>
      <c r="BF96" s="476"/>
      <c r="BG96" s="1213"/>
      <c r="BH96" s="51"/>
      <c r="BI96" s="475"/>
      <c r="BJ96" s="819"/>
      <c r="BK96" s="1"/>
      <c r="BL96" s="1"/>
      <c r="BM96" s="1"/>
      <c r="BN96" s="1"/>
      <c r="BO96" s="1"/>
      <c r="BP96" s="1"/>
    </row>
    <row r="97" spans="1:62" ht="78.75" customHeight="1">
      <c r="A97" s="1208"/>
      <c r="B97" s="1218"/>
      <c r="C97" s="657"/>
      <c r="D97" s="657"/>
      <c r="E97" s="657"/>
      <c r="F97" s="1219"/>
      <c r="G97"/>
      <c r="H97"/>
      <c r="I97"/>
      <c r="J97" s="2830">
        <v>163</v>
      </c>
      <c r="K97" s="2013" t="s">
        <v>1312</v>
      </c>
      <c r="L97" s="1970" t="s">
        <v>248</v>
      </c>
      <c r="M97" s="2028">
        <v>12</v>
      </c>
      <c r="N97" s="2827">
        <v>12</v>
      </c>
      <c r="O97" s="2905" t="s">
        <v>1313</v>
      </c>
      <c r="P97" s="2905">
        <v>153</v>
      </c>
      <c r="Q97" t="s">
        <v>1314</v>
      </c>
      <c r="R97" s="1336">
        <f>W97/S97</f>
        <v>0.0016779455349113645</v>
      </c>
      <c r="S97">
        <v>16806266600</v>
      </c>
      <c r="T97" s="2909" t="s">
        <v>1315</v>
      </c>
      <c r="U97" s="1337" t="s">
        <v>1316</v>
      </c>
      <c r="V97" s="1338" t="s">
        <v>1317</v>
      </c>
      <c r="W97" s="1297">
        <v>28200000</v>
      </c>
      <c r="X97" s="1223">
        <v>8167000</v>
      </c>
      <c r="Y97" s="1223">
        <v>8167000</v>
      </c>
      <c r="Z97" s="1965"/>
      <c r="AA97" s="1989" t="s">
        <v>1318</v>
      </c>
      <c r="AB97" s="3395">
        <v>1407</v>
      </c>
      <c r="AC97" s="3131">
        <f>SUM(AB97*0.86)</f>
        <v>1210.02</v>
      </c>
      <c r="AD97" s="3395">
        <v>4100</v>
      </c>
      <c r="AE97" s="3131">
        <f>SUM(AD97*0.86)</f>
        <v>3526</v>
      </c>
      <c r="AF97" s="3395">
        <v>1830</v>
      </c>
      <c r="AG97" s="3131">
        <f>SUM(AF97*0.86)</f>
        <v>1573.8</v>
      </c>
      <c r="AH97" s="3395">
        <v>9269</v>
      </c>
      <c r="AI97" s="3131">
        <f>SUM(AH97*0.86)</f>
        <v>7971.34</v>
      </c>
      <c r="AJ97" s="3395">
        <v>2750</v>
      </c>
      <c r="AK97" s="3131">
        <f>SUM(AJ97*0.86)</f>
        <v>2365</v>
      </c>
      <c r="AL97" s="3395">
        <v>1100</v>
      </c>
      <c r="AM97" s="3131">
        <f>SUM(AL97*0.86)</f>
        <v>946</v>
      </c>
      <c r="AN97" s="3395">
        <v>13208</v>
      </c>
      <c r="AO97" s="3131">
        <f>SUM(AN97*0.86)</f>
        <v>11358.88</v>
      </c>
      <c r="AP97" s="3395">
        <v>2145</v>
      </c>
      <c r="AQ97" s="3131">
        <f>SUM(AP97*0.86)</f>
        <v>1844.7</v>
      </c>
      <c r="AR97" s="3395">
        <v>413</v>
      </c>
      <c r="AS97" s="3131">
        <f>SUM(AR97*0.86)</f>
        <v>355.18</v>
      </c>
      <c r="AT97" s="3395">
        <v>520</v>
      </c>
      <c r="AU97" s="3131">
        <f>SUM(AT97*0.86)</f>
        <v>447.2</v>
      </c>
      <c r="AV97" s="3395">
        <v>16897</v>
      </c>
      <c r="AW97" s="3131">
        <f>SUM(AV97*0.86)</f>
        <v>14531.42</v>
      </c>
      <c r="AX97" s="3395">
        <v>75612</v>
      </c>
      <c r="AY97" s="3131">
        <f>SUM(AX97*0.86)</f>
        <v>65026.32</v>
      </c>
      <c r="AZ97" s="3395">
        <v>19</v>
      </c>
      <c r="BA97">
        <f>SUM(X97+X99+X101)</f>
        <v>14508774066</v>
      </c>
      <c r="BB97">
        <f>SUM(Y97+Y99+Y101)</f>
        <v>14508774066</v>
      </c>
      <c r="BC97" s="3403">
        <f>BB97/BA97</f>
        <v>1</v>
      </c>
      <c r="BD97" s="3395" t="s">
        <v>1319</v>
      </c>
      <c r="BE97" s="3395" t="s">
        <v>1320</v>
      </c>
      <c r="BF97">
        <v>42583</v>
      </c>
      <c r="BG97">
        <v>42583</v>
      </c>
      <c r="BH97">
        <v>42735</v>
      </c>
      <c r="BI97">
        <v>42735</v>
      </c>
      <c r="BJ97" t="s">
        <v>1100</v>
      </c>
    </row>
    <row r="98" spans="1:68" ht="36" customHeight="1">
      <c r="A98" s="1208"/>
      <c r="B98" s="1218"/>
      <c r="C98" s="657"/>
      <c r="D98" s="657"/>
      <c r="E98" s="657"/>
      <c r="F98" s="1219"/>
      <c r="G98" s="1212">
        <v>48</v>
      </c>
      <c r="H98" s="51" t="s">
        <v>1321</v>
      </c>
      <c r="I98" s="51"/>
      <c r="J98" s="1759"/>
      <c r="K98" s="476"/>
      <c r="L98" s="2030"/>
      <c r="M98" s="2030"/>
      <c r="N98" s="1340"/>
      <c r="O98" s="2906"/>
      <c r="P98" s="2906"/>
      <c r="Q98"/>
      <c r="R98" s="2030"/>
      <c r="S98"/>
      <c r="T98" s="2909"/>
      <c r="U98" s="476"/>
      <c r="V98" s="476"/>
      <c r="W98" s="476"/>
      <c r="X98" s="1213"/>
      <c r="Y98" s="1213"/>
      <c r="Z98" s="2030"/>
      <c r="AA98" s="476"/>
      <c r="AB98"/>
      <c r="AC98" s="3132"/>
      <c r="AD98"/>
      <c r="AE98" s="3132"/>
      <c r="AF98"/>
      <c r="AG98" s="3132"/>
      <c r="AH98"/>
      <c r="AI98" s="3132"/>
      <c r="AJ98"/>
      <c r="AK98" s="3132"/>
      <c r="AL98"/>
      <c r="AM98" s="3132"/>
      <c r="AN98"/>
      <c r="AO98" s="3132"/>
      <c r="AP98"/>
      <c r="AQ98" s="3132"/>
      <c r="AR98"/>
      <c r="AS98" s="3132"/>
      <c r="AT98"/>
      <c r="AU98" s="3132"/>
      <c r="AV98"/>
      <c r="AW98" s="3132"/>
      <c r="AX98"/>
      <c r="AY98" s="3132"/>
      <c r="AZ98"/>
      <c r="BA98"/>
      <c r="BB98"/>
      <c r="BC98" s="3544"/>
      <c r="BD98"/>
      <c r="BE98"/>
      <c r="BF98"/>
      <c r="BG98"/>
      <c r="BH98"/>
      <c r="BI98"/>
      <c r="BJ98"/>
      <c r="BK98" s="1"/>
      <c r="BL98" s="1"/>
      <c r="BM98" s="1"/>
      <c r="BN98" s="1"/>
      <c r="BO98" s="1"/>
      <c r="BP98" s="1"/>
    </row>
    <row r="99" spans="1:62" ht="177.75" customHeight="1">
      <c r="A99" s="1208"/>
      <c r="B99" s="1218"/>
      <c r="C99" s="657"/>
      <c r="D99" s="657"/>
      <c r="E99" s="657"/>
      <c r="F99" s="1219"/>
      <c r="G99"/>
      <c r="H99"/>
      <c r="I99"/>
      <c r="J99" s="2830">
        <v>164</v>
      </c>
      <c r="K99" s="2013" t="s">
        <v>1322</v>
      </c>
      <c r="L99" s="1970" t="s">
        <v>248</v>
      </c>
      <c r="M99" s="2028">
        <v>12</v>
      </c>
      <c r="N99" s="2827">
        <v>12</v>
      </c>
      <c r="O99" s="2906"/>
      <c r="P99" s="2906"/>
      <c r="Q99"/>
      <c r="R99" s="1336">
        <f>W99/S97</f>
        <v>0.9971139336799525</v>
      </c>
      <c r="S99"/>
      <c r="T99" s="2909"/>
      <c r="U99" s="1337" t="s">
        <v>1323</v>
      </c>
      <c r="V99" s="1337" t="s">
        <v>1324</v>
      </c>
      <c r="W99" s="1297">
        <v>16757762600</v>
      </c>
      <c r="X99" s="1223">
        <v>14490707066</v>
      </c>
      <c r="Y99" s="1223">
        <v>14490707066</v>
      </c>
      <c r="Z99" s="1965" t="s">
        <v>1319</v>
      </c>
      <c r="AA99" s="1956" t="s">
        <v>1325</v>
      </c>
      <c r="AB99"/>
      <c r="AC99" s="3132"/>
      <c r="AD99"/>
      <c r="AE99" s="3132"/>
      <c r="AF99"/>
      <c r="AG99" s="3132"/>
      <c r="AH99"/>
      <c r="AI99" s="3132"/>
      <c r="AJ99"/>
      <c r="AK99" s="3132"/>
      <c r="AL99"/>
      <c r="AM99" s="3132"/>
      <c r="AN99"/>
      <c r="AO99" s="3132"/>
      <c r="AP99"/>
      <c r="AQ99" s="3132"/>
      <c r="AR99"/>
      <c r="AS99" s="3132"/>
      <c r="AT99"/>
      <c r="AU99" s="3132"/>
      <c r="AV99"/>
      <c r="AW99" s="3132"/>
      <c r="AX99"/>
      <c r="AY99" s="3132"/>
      <c r="AZ99"/>
      <c r="BA99"/>
      <c r="BB99"/>
      <c r="BC99" s="3544"/>
      <c r="BD99"/>
      <c r="BE99"/>
      <c r="BF99"/>
      <c r="BG99"/>
      <c r="BH99"/>
      <c r="BI99"/>
      <c r="BJ99"/>
    </row>
    <row r="100" spans="1:68" ht="31.5" customHeight="1">
      <c r="A100" s="1208"/>
      <c r="B100" s="1218"/>
      <c r="C100" s="657"/>
      <c r="D100" s="657"/>
      <c r="E100" s="657"/>
      <c r="F100" s="1219"/>
      <c r="G100" s="1212">
        <v>49</v>
      </c>
      <c r="H100" s="51" t="s">
        <v>1326</v>
      </c>
      <c r="I100" s="51"/>
      <c r="J100" s="1759"/>
      <c r="K100" s="476"/>
      <c r="L100" s="2030"/>
      <c r="M100" s="2030"/>
      <c r="N100" s="799"/>
      <c r="O100" s="2906"/>
      <c r="P100" s="2906"/>
      <c r="Q100"/>
      <c r="R100" s="2030"/>
      <c r="S100"/>
      <c r="T100" s="2909"/>
      <c r="U100" s="476"/>
      <c r="V100" s="476"/>
      <c r="W100" s="1239"/>
      <c r="X100" s="1213"/>
      <c r="Y100" s="1213"/>
      <c r="Z100" s="2030"/>
      <c r="AA100" s="476"/>
      <c r="AB100"/>
      <c r="AC100" s="3132"/>
      <c r="AD100"/>
      <c r="AE100" s="3132"/>
      <c r="AF100"/>
      <c r="AG100" s="3132"/>
      <c r="AH100"/>
      <c r="AI100" s="3132"/>
      <c r="AJ100"/>
      <c r="AK100" s="3132"/>
      <c r="AL100"/>
      <c r="AM100" s="3132"/>
      <c r="AN100"/>
      <c r="AO100" s="3132"/>
      <c r="AP100"/>
      <c r="AQ100" s="3132"/>
      <c r="AR100"/>
      <c r="AS100" s="3132"/>
      <c r="AT100"/>
      <c r="AU100" s="3132"/>
      <c r="AV100"/>
      <c r="AW100" s="3132"/>
      <c r="AX100"/>
      <c r="AY100" s="3132"/>
      <c r="AZ100"/>
      <c r="BA100"/>
      <c r="BB100"/>
      <c r="BC100" s="3544"/>
      <c r="BD100"/>
      <c r="BE100"/>
      <c r="BF100"/>
      <c r="BG100"/>
      <c r="BH100"/>
      <c r="BI100"/>
      <c r="BJ100"/>
      <c r="BK100" s="1"/>
      <c r="BL100" s="1"/>
      <c r="BM100" s="1"/>
      <c r="BN100" s="1"/>
      <c r="BO100" s="1"/>
      <c r="BP100" s="1"/>
    </row>
    <row r="101" spans="1:62" ht="88.5" customHeight="1">
      <c r="A101" s="1208"/>
      <c r="B101" s="1226"/>
      <c r="C101" s="1227"/>
      <c r="D101" s="1227"/>
      <c r="E101" s="1227"/>
      <c r="F101" s="1228"/>
      <c r="G101"/>
      <c r="H101"/>
      <c r="I101"/>
      <c r="J101" s="2830">
        <v>165</v>
      </c>
      <c r="K101" s="2013" t="s">
        <v>1327</v>
      </c>
      <c r="L101" s="1970" t="s">
        <v>248</v>
      </c>
      <c r="M101" s="2028">
        <v>12</v>
      </c>
      <c r="N101" s="2827">
        <v>12</v>
      </c>
      <c r="O101" s="2941"/>
      <c r="P101" s="2941"/>
      <c r="Q101"/>
      <c r="R101" s="1336">
        <f>W101/S97</f>
        <v>0.0012081207851361824</v>
      </c>
      <c r="S101"/>
      <c r="T101" s="2909"/>
      <c r="U101" s="1337" t="s">
        <v>1328</v>
      </c>
      <c r="V101" s="1337" t="s">
        <v>1328</v>
      </c>
      <c r="W101" s="1297">
        <v>20304000</v>
      </c>
      <c r="X101" s="1223">
        <v>9900000</v>
      </c>
      <c r="Y101" s="1223">
        <v>9900000</v>
      </c>
      <c r="Z101" s="2011" t="s">
        <v>40</v>
      </c>
      <c r="AA101" s="1989" t="s">
        <v>1318</v>
      </c>
      <c r="AB101" s="3396"/>
      <c r="AC101" s="3167"/>
      <c r="AD101" s="3396"/>
      <c r="AE101" s="3167"/>
      <c r="AF101" s="3396"/>
      <c r="AG101" s="3167"/>
      <c r="AH101" s="3396"/>
      <c r="AI101" s="3167"/>
      <c r="AJ101" s="3396"/>
      <c r="AK101" s="3167"/>
      <c r="AL101" s="3396"/>
      <c r="AM101" s="3167"/>
      <c r="AN101" s="3396"/>
      <c r="AO101" s="3167"/>
      <c r="AP101" s="3396"/>
      <c r="AQ101" s="3167"/>
      <c r="AR101" s="3396"/>
      <c r="AS101" s="3167"/>
      <c r="AT101" s="3396"/>
      <c r="AU101" s="3167"/>
      <c r="AV101" s="3396"/>
      <c r="AW101" s="3167"/>
      <c r="AX101" s="3396"/>
      <c r="AY101" s="3167"/>
      <c r="AZ101" s="3396"/>
      <c r="BA101"/>
      <c r="BB101"/>
      <c r="BC101" s="3404"/>
      <c r="BD101" s="3396"/>
      <c r="BE101" s="3396"/>
      <c r="BF101"/>
      <c r="BG101"/>
      <c r="BH101"/>
      <c r="BI101"/>
      <c r="BJ101"/>
    </row>
    <row r="102" spans="1:68" ht="30" customHeight="1">
      <c r="A102" s="1208"/>
      <c r="B102" s="1341">
        <v>14</v>
      </c>
      <c r="C102" s="547" t="s">
        <v>1329</v>
      </c>
      <c r="D102" s="547"/>
      <c r="E102" s="547"/>
      <c r="F102" s="547"/>
      <c r="G102" s="48"/>
      <c r="H102" s="48"/>
      <c r="I102" s="48"/>
      <c r="J102" s="769"/>
      <c r="K102" s="49"/>
      <c r="L102" s="50"/>
      <c r="M102" s="50"/>
      <c r="N102" s="796"/>
      <c r="O102" s="49"/>
      <c r="P102" s="50"/>
      <c r="Q102" s="49"/>
      <c r="R102" s="50"/>
      <c r="S102" s="49"/>
      <c r="T102" s="49"/>
      <c r="U102" s="49"/>
      <c r="V102" s="49"/>
      <c r="W102" s="49"/>
      <c r="X102" s="1233"/>
      <c r="Y102" s="1206"/>
      <c r="Z102" s="1234"/>
      <c r="AA102" s="49"/>
      <c r="AB102" s="49"/>
      <c r="AC102" s="1206"/>
      <c r="AD102" s="49"/>
      <c r="AE102" s="1206"/>
      <c r="AF102" s="49"/>
      <c r="AG102" s="1206"/>
      <c r="AH102" s="49"/>
      <c r="AI102" s="1206"/>
      <c r="AJ102" s="49"/>
      <c r="AK102" s="1206"/>
      <c r="AL102" s="49"/>
      <c r="AM102" s="1206"/>
      <c r="AN102" s="49"/>
      <c r="AO102" s="1206"/>
      <c r="AP102" s="49"/>
      <c r="AQ102" s="1206"/>
      <c r="AR102" s="49"/>
      <c r="AS102" s="1206"/>
      <c r="AT102" s="49"/>
      <c r="AU102" s="1206"/>
      <c r="AV102" s="49"/>
      <c r="AW102" s="1206"/>
      <c r="AX102" s="49"/>
      <c r="AY102" s="1206"/>
      <c r="AZ102" s="49"/>
      <c r="BA102" s="2051"/>
      <c r="BB102" s="2051"/>
      <c r="BC102" s="1235"/>
      <c r="BD102" s="49"/>
      <c r="BE102" s="49"/>
      <c r="BF102" s="48"/>
      <c r="BG102" s="170"/>
      <c r="BH102" s="48"/>
      <c r="BI102" s="170"/>
      <c r="BJ102" s="828"/>
      <c r="BK102" s="1"/>
      <c r="BL102" s="1"/>
      <c r="BM102" s="1"/>
      <c r="BN102" s="1"/>
      <c r="BO102" s="1"/>
      <c r="BP102" s="1"/>
    </row>
    <row r="103" spans="1:68" ht="36.75" customHeight="1">
      <c r="A103" s="1208"/>
      <c r="B103" s="1209"/>
      <c r="C103" s="1210"/>
      <c r="D103" s="1210"/>
      <c r="E103" s="1210"/>
      <c r="F103" s="1211"/>
      <c r="G103" s="1342">
        <v>50</v>
      </c>
      <c r="H103" s="52" t="s">
        <v>1330</v>
      </c>
      <c r="I103" s="52"/>
      <c r="J103" s="2868"/>
      <c r="K103" s="53"/>
      <c r="L103" s="54"/>
      <c r="M103" s="54"/>
      <c r="N103" s="1343"/>
      <c r="O103" s="53"/>
      <c r="P103" s="54"/>
      <c r="Q103" s="53"/>
      <c r="R103" s="54"/>
      <c r="S103" s="53"/>
      <c r="T103" s="53"/>
      <c r="U103" s="53"/>
      <c r="V103" s="53"/>
      <c r="W103" s="53"/>
      <c r="X103" s="1344"/>
      <c r="Y103" s="1344"/>
      <c r="Z103" s="1345"/>
      <c r="AA103" s="53"/>
      <c r="AB103" s="53"/>
      <c r="AC103" s="1344"/>
      <c r="AD103" s="53"/>
      <c r="AE103" s="1344"/>
      <c r="AF103" s="53"/>
      <c r="AG103" s="1346"/>
      <c r="AH103" s="53"/>
      <c r="AI103" s="1344"/>
      <c r="AJ103" s="1347"/>
      <c r="AK103" s="1344"/>
      <c r="AL103" s="1347"/>
      <c r="AM103" s="1344"/>
      <c r="AN103" s="53"/>
      <c r="AO103" s="1344"/>
      <c r="AP103" s="53"/>
      <c r="AQ103" s="1344"/>
      <c r="AR103" s="53"/>
      <c r="AS103" s="1344"/>
      <c r="AT103" s="53"/>
      <c r="AU103" s="1344"/>
      <c r="AV103" s="53"/>
      <c r="AW103" s="1344"/>
      <c r="AX103" s="53"/>
      <c r="AY103" s="1344"/>
      <c r="AZ103" s="53"/>
      <c r="BA103" s="2062"/>
      <c r="BB103" s="2062"/>
      <c r="BC103" s="1348"/>
      <c r="BD103" s="53"/>
      <c r="BE103" s="53"/>
      <c r="BF103" s="52"/>
      <c r="BG103" s="1117"/>
      <c r="BH103" s="52"/>
      <c r="BI103" s="1117"/>
      <c r="BJ103" s="819"/>
      <c r="BK103" s="1"/>
      <c r="BL103" s="1"/>
      <c r="BM103" s="1"/>
      <c r="BN103" s="1"/>
      <c r="BO103" s="1"/>
      <c r="BP103" s="1"/>
    </row>
    <row r="104" spans="1:79" s="2026" customFormat="1" ht="96.75" customHeight="1">
      <c r="A104" s="1208"/>
      <c r="B104" s="1218"/>
      <c r="C104" s="657"/>
      <c r="D104" s="657"/>
      <c r="E104" s="657"/>
      <c r="F104" s="1219"/>
      <c r="G104" s="1209"/>
      <c r="H104" s="1210"/>
      <c r="I104" s="1211"/>
      <c r="J104" s="2824">
        <v>166</v>
      </c>
      <c r="K104" s="2013" t="s">
        <v>1331</v>
      </c>
      <c r="L104" s="2824" t="s">
        <v>248</v>
      </c>
      <c r="M104" s="2014">
        <v>1</v>
      </c>
      <c r="N104" s="2829">
        <v>1</v>
      </c>
      <c r="O104" s="2910" t="s">
        <v>1332</v>
      </c>
      <c r="P104" s="2905">
        <v>154</v>
      </c>
      <c r="Q104" s="3359" t="s">
        <v>1333</v>
      </c>
      <c r="R104" s="2004">
        <v>0.1</v>
      </c>
      <c r="S104">
        <v>18035279258</v>
      </c>
      <c r="T104" s="2910" t="s">
        <v>1334</v>
      </c>
      <c r="U104" s="2910" t="s">
        <v>1335</v>
      </c>
      <c r="V104" s="1338" t="s">
        <v>1336</v>
      </c>
      <c r="W104" s="1350">
        <v>0</v>
      </c>
      <c r="X104" s="1351">
        <v>0</v>
      </c>
      <c r="Y104" s="1351">
        <v>0</v>
      </c>
      <c r="Z104" t="s">
        <v>1337</v>
      </c>
      <c r="AA104" s="1956" t="s">
        <v>1115</v>
      </c>
      <c r="AB104" s="3395">
        <v>64149</v>
      </c>
      <c r="AC104" s="3131">
        <f>SUM(AB104*0.64)</f>
        <v>41055.36</v>
      </c>
      <c r="AD104" s="3395">
        <v>72224</v>
      </c>
      <c r="AE104" s="3131">
        <f>SUM(AD104*0.64)</f>
        <v>46223.36</v>
      </c>
      <c r="AF104" s="3395">
        <v>27477</v>
      </c>
      <c r="AG104" s="3131">
        <f>SUM(AF104*0.64)</f>
        <v>17585.28</v>
      </c>
      <c r="AH104" s="3395">
        <v>86843</v>
      </c>
      <c r="AI104" s="3131">
        <f>SUM(AH104*0.64)</f>
        <v>55579.520000000004</v>
      </c>
      <c r="AJ104" s="3395">
        <v>236429</v>
      </c>
      <c r="AK104" s="3131">
        <f>SUM(AJ104*0.64)</f>
        <v>151314.56</v>
      </c>
      <c r="AL104" s="3395">
        <v>75612</v>
      </c>
      <c r="AM104" s="3131">
        <f>SUM(AL104*0.64)</f>
        <v>48391.68</v>
      </c>
      <c r="AN104" s="3395">
        <v>13208</v>
      </c>
      <c r="AO104" s="3131">
        <f>SUM(AN104*0.64)</f>
        <v>8453.12</v>
      </c>
      <c r="AP104" s="3395">
        <v>2145</v>
      </c>
      <c r="AQ104" s="3131">
        <f>SUM(AP104*0.64)</f>
        <v>1372.8</v>
      </c>
      <c r="AR104" s="3395">
        <v>413</v>
      </c>
      <c r="AS104" s="3131">
        <f>SUM(AR104*0.64)</f>
        <v>264.32</v>
      </c>
      <c r="AT104" s="3395">
        <v>520</v>
      </c>
      <c r="AU104" s="3131">
        <f>SUM(AT104*0.64)</f>
        <v>332.8</v>
      </c>
      <c r="AV104" s="3395">
        <v>16897</v>
      </c>
      <c r="AW104" s="3131">
        <f>SUM(AV104*0.64)</f>
        <v>10814.08</v>
      </c>
      <c r="AX104" s="3395">
        <v>75612</v>
      </c>
      <c r="AY104" s="3131">
        <f>SUM(AX104*0.64)</f>
        <v>48391.68</v>
      </c>
      <c r="AZ104" s="3395">
        <v>77</v>
      </c>
      <c r="BA104">
        <f>SUM(X105)</f>
        <v>14321962092</v>
      </c>
      <c r="BB104">
        <f>SUM(Y105)</f>
        <v>11552493435</v>
      </c>
      <c r="BC104" s="3403">
        <f>BB104/BA104</f>
        <v>0.8066278461561508</v>
      </c>
      <c r="BD104" t="s">
        <v>1337</v>
      </c>
      <c r="BE104" s="3395" t="s">
        <v>1320</v>
      </c>
      <c r="BF104" s="3385">
        <v>42583</v>
      </c>
      <c r="BG104" s="2883">
        <v>42583</v>
      </c>
      <c r="BH104" s="3385">
        <v>42735</v>
      </c>
      <c r="BI104">
        <v>42735</v>
      </c>
      <c r="BJ104" t="s">
        <v>1100</v>
      </c>
      <c r="BK104"/>
      <c r="BL104"/>
      <c r="BM104"/>
      <c r="BN104"/>
      <c r="BO104"/>
      <c r="BP104"/>
      <c r="BQ104"/>
      <c r="BR104"/>
      <c r="BS104"/>
      <c r="BT104"/>
      <c r="BU104"/>
      <c r="BV104"/>
      <c r="BW104"/>
      <c r="BX104"/>
      <c r="BY104"/>
      <c r="BZ104"/>
      <c r="CA104"/>
    </row>
    <row r="105" spans="1:62" ht="106.5" customHeight="1">
      <c r="A105" s="1208"/>
      <c r="B105" s="1218"/>
      <c r="C105" s="657"/>
      <c r="D105" s="657"/>
      <c r="E105" s="657"/>
      <c r="F105" s="1219"/>
      <c r="G105" s="1218"/>
      <c r="H105" s="657"/>
      <c r="I105" s="1219"/>
      <c r="J105" s="3012">
        <v>167</v>
      </c>
      <c r="K105" s="3359" t="s">
        <v>1338</v>
      </c>
      <c r="L105" s="3012" t="s">
        <v>248</v>
      </c>
      <c r="M105" s="3012">
        <v>15</v>
      </c>
      <c r="N105">
        <v>15</v>
      </c>
      <c r="O105" s="3292"/>
      <c r="P105" s="2906"/>
      <c r="Q105" s="3360"/>
      <c r="R105" s="3403">
        <v>0.8</v>
      </c>
      <c r="S105"/>
      <c r="T105" s="3292"/>
      <c r="U105" s="3293"/>
      <c r="V105" s="1353" t="s">
        <v>1339</v>
      </c>
      <c r="W105">
        <f>18035279258-91</f>
        <v>18035279167</v>
      </c>
      <c r="X105">
        <v>14321962092</v>
      </c>
      <c r="Y105">
        <v>11552493435</v>
      </c>
      <c r="Z105"/>
      <c r="AA105" s="1989" t="s">
        <v>1115</v>
      </c>
      <c r="AB105"/>
      <c r="AC105" s="3132"/>
      <c r="AD105"/>
      <c r="AE105" s="3132"/>
      <c r="AF105"/>
      <c r="AG105" s="3132"/>
      <c r="AH105"/>
      <c r="AI105" s="3132"/>
      <c r="AJ105"/>
      <c r="AK105" s="3132"/>
      <c r="AL105"/>
      <c r="AM105" s="3132"/>
      <c r="AN105"/>
      <c r="AO105" s="3132"/>
      <c r="AP105"/>
      <c r="AQ105" s="3132"/>
      <c r="AR105"/>
      <c r="AS105" s="3132"/>
      <c r="AT105"/>
      <c r="AU105" s="3132"/>
      <c r="AV105"/>
      <c r="AW105" s="3132"/>
      <c r="AX105"/>
      <c r="AY105" s="3132"/>
      <c r="AZ105"/>
      <c r="BA105"/>
      <c r="BB105"/>
      <c r="BC105" s="3544"/>
      <c r="BD105"/>
      <c r="BE105"/>
      <c r="BF105" s="3386"/>
      <c r="BG105" s="2884"/>
      <c r="BH105" s="3386"/>
      <c r="BI105"/>
      <c r="BJ105"/>
    </row>
    <row r="106" spans="1:62" ht="90.75" customHeight="1">
      <c r="A106" s="1208"/>
      <c r="B106" s="1218"/>
      <c r="C106" s="657"/>
      <c r="D106" s="657"/>
      <c r="E106" s="657"/>
      <c r="F106" s="1219"/>
      <c r="G106" s="1218"/>
      <c r="H106" s="657"/>
      <c r="I106" s="1219"/>
      <c r="J106" s="3014"/>
      <c r="K106" s="3361"/>
      <c r="L106" s="3014"/>
      <c r="M106" s="3014"/>
      <c r="N106"/>
      <c r="O106" s="3292"/>
      <c r="P106" s="2906"/>
      <c r="Q106" s="3360"/>
      <c r="R106" s="3404"/>
      <c r="S106"/>
      <c r="T106" s="3292"/>
      <c r="U106" s="2910" t="s">
        <v>1340</v>
      </c>
      <c r="V106" s="1355" t="s">
        <v>1341</v>
      </c>
      <c r="W106"/>
      <c r="X106"/>
      <c r="Y106"/>
      <c r="Z106"/>
      <c r="AA106" s="1956" t="s">
        <v>1342</v>
      </c>
      <c r="AB106"/>
      <c r="AC106" s="3132"/>
      <c r="AD106"/>
      <c r="AE106" s="3132"/>
      <c r="AF106"/>
      <c r="AG106" s="3132"/>
      <c r="AH106"/>
      <c r="AI106" s="3132"/>
      <c r="AJ106"/>
      <c r="AK106" s="3132"/>
      <c r="AL106"/>
      <c r="AM106" s="3132"/>
      <c r="AN106"/>
      <c r="AO106" s="3132"/>
      <c r="AP106"/>
      <c r="AQ106" s="3132"/>
      <c r="AR106"/>
      <c r="AS106" s="3132"/>
      <c r="AT106"/>
      <c r="AU106" s="3132"/>
      <c r="AV106"/>
      <c r="AW106" s="3132"/>
      <c r="AX106"/>
      <c r="AY106" s="3132"/>
      <c r="AZ106"/>
      <c r="BA106"/>
      <c r="BB106"/>
      <c r="BC106" s="3544"/>
      <c r="BD106"/>
      <c r="BE106"/>
      <c r="BF106" s="3386"/>
      <c r="BG106" s="2884"/>
      <c r="BH106" s="3386"/>
      <c r="BI106"/>
      <c r="BJ106"/>
    </row>
    <row r="107" spans="1:79" ht="99.75" customHeight="1">
      <c r="A107" s="1208"/>
      <c r="B107" s="1218"/>
      <c r="C107" s="657"/>
      <c r="D107" s="657"/>
      <c r="E107" s="657"/>
      <c r="F107" s="1219"/>
      <c r="G107" s="1218"/>
      <c r="H107" s="657"/>
      <c r="I107" s="1219"/>
      <c r="J107" s="2824">
        <v>168</v>
      </c>
      <c r="K107" s="2013" t="s">
        <v>1343</v>
      </c>
      <c r="L107" s="1970" t="s">
        <v>248</v>
      </c>
      <c r="M107" s="1965">
        <v>14</v>
      </c>
      <c r="N107" s="2827">
        <v>14</v>
      </c>
      <c r="O107" s="3293"/>
      <c r="P107" s="2941"/>
      <c r="Q107" s="3361"/>
      <c r="R107" s="2004">
        <v>0.1</v>
      </c>
      <c r="S107"/>
      <c r="T107" s="3293"/>
      <c r="U107" s="3293"/>
      <c r="V107" s="1338" t="s">
        <v>1344</v>
      </c>
      <c r="W107" s="1350">
        <v>0</v>
      </c>
      <c r="X107" s="1357">
        <v>0</v>
      </c>
      <c r="Y107" s="1357">
        <v>0</v>
      </c>
      <c r="Z107"/>
      <c r="AA107" s="1956" t="s">
        <v>1115</v>
      </c>
      <c r="AB107" s="3396"/>
      <c r="AC107" s="3167"/>
      <c r="AD107" s="3396"/>
      <c r="AE107" s="3167"/>
      <c r="AF107" s="3396"/>
      <c r="AG107" s="3167"/>
      <c r="AH107" s="3396"/>
      <c r="AI107" s="3167"/>
      <c r="AJ107" s="3396"/>
      <c r="AK107" s="3167"/>
      <c r="AL107" s="3396"/>
      <c r="AM107" s="3167"/>
      <c r="AN107" s="3396"/>
      <c r="AO107" s="3167"/>
      <c r="AP107" s="3396"/>
      <c r="AQ107" s="3167"/>
      <c r="AR107" s="3396"/>
      <c r="AS107" s="3167"/>
      <c r="AT107" s="3396"/>
      <c r="AU107" s="3167"/>
      <c r="AV107" s="3396"/>
      <c r="AW107" s="3167"/>
      <c r="AX107" s="3396"/>
      <c r="AY107" s="3167"/>
      <c r="AZ107" s="3396"/>
      <c r="BA107"/>
      <c r="BB107"/>
      <c r="BC107" s="3404"/>
      <c r="BD107" s="3396"/>
      <c r="BE107" s="3396"/>
      <c r="BF107" s="3387"/>
      <c r="BG107" s="2885"/>
      <c r="BH107" s="3387"/>
      <c r="BI107"/>
      <c r="BJ107"/>
      <c r="BK107"/>
      <c r="BL107"/>
      <c r="BM107"/>
      <c r="BN107"/>
      <c r="BO107"/>
      <c r="BP107"/>
      <c r="BQ107"/>
      <c r="BR107"/>
      <c r="BS107"/>
      <c r="BT107"/>
      <c r="BU107"/>
      <c r="BV107"/>
      <c r="BW107"/>
      <c r="BX107"/>
      <c r="BY107"/>
      <c r="BZ107"/>
      <c r="CA107"/>
    </row>
    <row r="108" spans="1:79" ht="132.75" customHeight="1">
      <c r="A108" s="1208"/>
      <c r="B108" s="1218"/>
      <c r="C108" s="657"/>
      <c r="D108" s="657"/>
      <c r="E108" s="657"/>
      <c r="F108" s="1219"/>
      <c r="G108" s="1226"/>
      <c r="H108" s="1227"/>
      <c r="I108" s="1228"/>
      <c r="J108" s="2824">
        <v>164</v>
      </c>
      <c r="K108" s="2013" t="s">
        <v>1338</v>
      </c>
      <c r="L108" s="1970" t="s">
        <v>248</v>
      </c>
      <c r="M108" s="1965">
        <v>12</v>
      </c>
      <c r="N108" s="2827">
        <v>12</v>
      </c>
      <c r="O108" s="1956"/>
      <c r="P108" s="2009">
        <v>174</v>
      </c>
      <c r="Q108" s="2013" t="s">
        <v>1345</v>
      </c>
      <c r="R108" s="2004">
        <v>1</v>
      </c>
      <c r="S108" s="1358">
        <v>2500000000</v>
      </c>
      <c r="T108" s="2072"/>
      <c r="U108" s="2072"/>
      <c r="V108" s="1338" t="s">
        <v>1346</v>
      </c>
      <c r="W108" s="1359">
        <v>2500000000</v>
      </c>
      <c r="X108" s="2027">
        <v>0</v>
      </c>
      <c r="Y108" s="2027">
        <v>0</v>
      </c>
      <c r="Z108" s="1361">
        <v>100</v>
      </c>
      <c r="AA108" s="1956" t="s">
        <v>1347</v>
      </c>
      <c r="AB108" s="1991">
        <v>64149</v>
      </c>
      <c r="AC108" s="1982">
        <v>0</v>
      </c>
      <c r="AD108" s="1991">
        <v>72224</v>
      </c>
      <c r="AE108" s="1982">
        <v>0</v>
      </c>
      <c r="AF108" s="1991">
        <v>27477</v>
      </c>
      <c r="AG108" s="1982">
        <v>0</v>
      </c>
      <c r="AH108" s="1991">
        <v>86843</v>
      </c>
      <c r="AI108" s="1982">
        <v>0</v>
      </c>
      <c r="AJ108" s="1991">
        <v>236429</v>
      </c>
      <c r="AK108" s="1982">
        <v>0</v>
      </c>
      <c r="AL108" s="1991">
        <v>75612</v>
      </c>
      <c r="AM108" s="1982">
        <v>0</v>
      </c>
      <c r="AN108" s="1991">
        <v>13208</v>
      </c>
      <c r="AO108" s="1982">
        <v>0</v>
      </c>
      <c r="AP108" s="1991">
        <v>2145</v>
      </c>
      <c r="AQ108" s="1982">
        <v>0</v>
      </c>
      <c r="AR108" s="1991">
        <v>413</v>
      </c>
      <c r="AS108" s="1982">
        <v>0</v>
      </c>
      <c r="AT108" s="1991">
        <v>520</v>
      </c>
      <c r="AU108" s="1982">
        <v>0</v>
      </c>
      <c r="AV108" s="1991">
        <v>16897</v>
      </c>
      <c r="AW108" s="1982">
        <v>0</v>
      </c>
      <c r="AX108" s="1991">
        <v>75612</v>
      </c>
      <c r="AY108" s="1982">
        <v>0</v>
      </c>
      <c r="AZ108" s="1991">
        <v>0</v>
      </c>
      <c r="BA108" s="2053">
        <f>SUM(X108)</f>
        <v>0</v>
      </c>
      <c r="BB108" s="2053">
        <f>SUM(Y108)</f>
        <v>0</v>
      </c>
      <c r="BC108" s="1991">
        <f>SUM(BB108/S108)</f>
        <v>0</v>
      </c>
      <c r="BD108" s="1991" t="s">
        <v>1348</v>
      </c>
      <c r="BE108" s="1991" t="s">
        <v>1320</v>
      </c>
      <c r="BF108" s="1991">
        <v>42583</v>
      </c>
      <c r="BG108" s="2020">
        <v>42705</v>
      </c>
      <c r="BH108" s="2019">
        <v>42735</v>
      </c>
      <c r="BI108" s="2021">
        <v>42735</v>
      </c>
      <c r="BJ108" s="1362" t="s">
        <v>1100</v>
      </c>
      <c r="BK108"/>
      <c r="BL108"/>
      <c r="BM108"/>
      <c r="BN108"/>
      <c r="BO108"/>
      <c r="BP108"/>
      <c r="BQ108"/>
      <c r="BR108"/>
      <c r="BS108"/>
      <c r="BT108"/>
      <c r="BU108"/>
      <c r="BV108"/>
      <c r="BW108"/>
      <c r="BX108"/>
      <c r="BY108"/>
      <c r="BZ108"/>
      <c r="CA108"/>
    </row>
    <row r="109" spans="1:68" ht="34.5" customHeight="1">
      <c r="A109" s="1208"/>
      <c r="B109" s="1218"/>
      <c r="C109" s="657"/>
      <c r="D109" s="657"/>
      <c r="E109" s="657"/>
      <c r="F109" s="1219"/>
      <c r="G109" s="1363">
        <v>51</v>
      </c>
      <c r="H109" s="699" t="s">
        <v>1349</v>
      </c>
      <c r="I109" s="699"/>
      <c r="J109" s="1749"/>
      <c r="K109" s="1365"/>
      <c r="L109" s="1366"/>
      <c r="M109" s="1366"/>
      <c r="N109" s="1367"/>
      <c r="O109" s="1365"/>
      <c r="P109" s="1366"/>
      <c r="Q109" s="1365"/>
      <c r="R109" s="1366"/>
      <c r="S109" s="1365"/>
      <c r="T109" s="1365"/>
      <c r="U109" s="1365"/>
      <c r="V109" s="1365"/>
      <c r="W109" s="1365"/>
      <c r="X109" s="1368"/>
      <c r="Y109" s="1369"/>
      <c r="Z109" s="1370"/>
      <c r="AA109" s="1365"/>
      <c r="AB109" s="1365"/>
      <c r="AC109" s="1365"/>
      <c r="AD109" s="1365"/>
      <c r="AE109" s="1365"/>
      <c r="AF109" s="1365"/>
      <c r="AG109" s="1365"/>
      <c r="AH109" s="1365"/>
      <c r="AI109" s="1365"/>
      <c r="AJ109" s="1365"/>
      <c r="AK109" s="1365"/>
      <c r="AL109" s="1365"/>
      <c r="AM109" s="1365"/>
      <c r="AN109" s="1365"/>
      <c r="AO109" s="1365"/>
      <c r="AP109" s="1365"/>
      <c r="AQ109" s="1365"/>
      <c r="AR109" s="1365"/>
      <c r="AS109" s="1365"/>
      <c r="AT109" s="1365"/>
      <c r="AU109" s="1365"/>
      <c r="AV109" s="1365"/>
      <c r="AW109" s="1365"/>
      <c r="AX109" s="1365"/>
      <c r="AY109" s="1365"/>
      <c r="AZ109" s="1365"/>
      <c r="BA109" s="2063"/>
      <c r="BB109" s="2063"/>
      <c r="BC109" s="1365"/>
      <c r="BD109" s="1365"/>
      <c r="BE109" s="1365"/>
      <c r="BF109" s="1365"/>
      <c r="BG109" s="1365"/>
      <c r="BH109" s="1365"/>
      <c r="BI109" s="1365"/>
      <c r="BJ109" s="821"/>
      <c r="BK109" s="1"/>
      <c r="BL109" s="1"/>
      <c r="BM109" s="1"/>
      <c r="BN109" s="1"/>
      <c r="BO109" s="1"/>
      <c r="BP109" s="1"/>
    </row>
    <row r="110" spans="1:62" ht="77.25" customHeight="1">
      <c r="A110" s="1964"/>
      <c r="B110" s="1999"/>
      <c r="C110" s="1995"/>
      <c r="D110" s="1995"/>
      <c r="E110" s="1995"/>
      <c r="F110" s="1994"/>
      <c r="G110" s="1997"/>
      <c r="H110" s="2034"/>
      <c r="I110" s="1998"/>
      <c r="J110" s="3012">
        <v>169</v>
      </c>
      <c r="K110" s="3359" t="s">
        <v>1350</v>
      </c>
      <c r="L110" s="3012" t="s">
        <v>248</v>
      </c>
      <c r="M110" s="3012">
        <v>12</v>
      </c>
      <c r="N110" s="2977">
        <v>12</v>
      </c>
      <c r="O110" s="2910" t="s">
        <v>1351</v>
      </c>
      <c r="P110" s="2905">
        <v>155</v>
      </c>
      <c r="Q110" s="3359" t="s">
        <v>1352</v>
      </c>
      <c r="R110" s="3403">
        <v>1</v>
      </c>
      <c r="S110">
        <v>53645960</v>
      </c>
      <c r="T110" s="2910" t="s">
        <v>1353</v>
      </c>
      <c r="U110" s="2910" t="s">
        <v>1354</v>
      </c>
      <c r="V110" s="2094" t="s">
        <v>1355</v>
      </c>
      <c r="W110" s="1297">
        <v>22864000</v>
      </c>
      <c r="X110" s="1223">
        <v>21030667</v>
      </c>
      <c r="Y110" s="1223">
        <v>21030667</v>
      </c>
      <c r="Z110" s="2930" t="s">
        <v>1348</v>
      </c>
      <c r="AA110" s="2910" t="s">
        <v>1342</v>
      </c>
      <c r="AB110" s="3395">
        <v>64149</v>
      </c>
      <c r="AC110" s="3131">
        <f>SUM(AB110*0.71)</f>
        <v>45545.79</v>
      </c>
      <c r="AD110" s="3395">
        <v>72224</v>
      </c>
      <c r="AE110" s="3131">
        <f>SUM(AD110*0.71)</f>
        <v>51279.04</v>
      </c>
      <c r="AF110" s="3395">
        <v>27477</v>
      </c>
      <c r="AG110" s="3131">
        <f>SUM(AF110*0.71)</f>
        <v>19508.67</v>
      </c>
      <c r="AH110" s="3395">
        <v>86843</v>
      </c>
      <c r="AI110" s="3131">
        <f>SUM(AH110*0.71)</f>
        <v>61658.53</v>
      </c>
      <c r="AJ110" s="3395">
        <v>236429</v>
      </c>
      <c r="AK110" s="3131">
        <f>SUM(AJ110*0.71)</f>
        <v>167864.59</v>
      </c>
      <c r="AL110" s="3395">
        <v>75612</v>
      </c>
      <c r="AM110" s="3131">
        <f>SUM(AL110*0.71)</f>
        <v>53684.52</v>
      </c>
      <c r="AN110" s="3395">
        <v>13208</v>
      </c>
      <c r="AO110" s="3131">
        <f>SUM(AN110*0.71)</f>
        <v>9377.68</v>
      </c>
      <c r="AP110" s="3395">
        <v>2145</v>
      </c>
      <c r="AQ110" s="3131">
        <f>SUM(AP110*0.71)</f>
        <v>1522.9499999999998</v>
      </c>
      <c r="AR110" s="3395">
        <v>413</v>
      </c>
      <c r="AS110" s="3131">
        <f>SUM(AR110*0.71)</f>
        <v>293.22999999999996</v>
      </c>
      <c r="AT110" s="3395">
        <v>520</v>
      </c>
      <c r="AU110" s="3131">
        <f>SUM(AT110*0.71)</f>
        <v>369.2</v>
      </c>
      <c r="AV110" s="3395">
        <v>16897</v>
      </c>
      <c r="AW110" s="3131">
        <f>SUM(AV110*0.71)</f>
        <v>11996.869999999999</v>
      </c>
      <c r="AX110" s="3395">
        <v>75612</v>
      </c>
      <c r="AY110" s="3131">
        <f>SUM(AX110*0.71)</f>
        <v>53684.52</v>
      </c>
      <c r="AZ110" s="3395">
        <v>4</v>
      </c>
      <c r="BA110">
        <f>SUM(X110:X111)</f>
        <v>38266667</v>
      </c>
      <c r="BB110">
        <f>SUM(Y110:Y111)</f>
        <v>38266667</v>
      </c>
      <c r="BC110" s="3403">
        <f>BA110/BB110</f>
        <v>1</v>
      </c>
      <c r="BD110" s="3395" t="s">
        <v>1348</v>
      </c>
      <c r="BE110" s="3395" t="s">
        <v>1320</v>
      </c>
      <c r="BF110">
        <v>42583</v>
      </c>
      <c r="BG110">
        <v>42583</v>
      </c>
      <c r="BH110">
        <v>42735</v>
      </c>
      <c r="BI110">
        <v>42735</v>
      </c>
      <c r="BJ110" t="s">
        <v>1100</v>
      </c>
    </row>
    <row r="111" spans="1:62" ht="49.5" customHeight="1">
      <c r="A111" s="1217"/>
      <c r="B111" s="1224"/>
      <c r="C111" s="852"/>
      <c r="D111" s="852"/>
      <c r="E111" s="852"/>
      <c r="F111" s="1225"/>
      <c r="G111" s="1229"/>
      <c r="H111" s="1230"/>
      <c r="I111" s="1231"/>
      <c r="J111" s="3014"/>
      <c r="K111" s="3361"/>
      <c r="L111" s="3014"/>
      <c r="M111" s="3014"/>
      <c r="N111" s="2979"/>
      <c r="O111" s="3293"/>
      <c r="P111" s="2941"/>
      <c r="Q111" s="3361"/>
      <c r="R111" s="3404"/>
      <c r="S111"/>
      <c r="T111" s="3293"/>
      <c r="U111" s="3293"/>
      <c r="V111" s="2094" t="s">
        <v>1356</v>
      </c>
      <c r="W111" s="1297">
        <v>30781960</v>
      </c>
      <c r="X111" s="1286">
        <v>17236000</v>
      </c>
      <c r="Y111" s="1286">
        <v>17236000</v>
      </c>
      <c r="Z111"/>
      <c r="AA111" s="3293"/>
      <c r="AB111" s="3396"/>
      <c r="AC111" s="3167"/>
      <c r="AD111" s="3396"/>
      <c r="AE111" s="3167"/>
      <c r="AF111" s="3396"/>
      <c r="AG111" s="3167"/>
      <c r="AH111" s="3396"/>
      <c r="AI111" s="3167"/>
      <c r="AJ111" s="3396"/>
      <c r="AK111" s="3167"/>
      <c r="AL111" s="3396"/>
      <c r="AM111" s="3167"/>
      <c r="AN111" s="3396"/>
      <c r="AO111" s="3167"/>
      <c r="AP111" s="3396"/>
      <c r="AQ111" s="3167"/>
      <c r="AR111" s="3396"/>
      <c r="AS111" s="3167"/>
      <c r="AT111" s="3396"/>
      <c r="AU111" s="3167"/>
      <c r="AV111" s="3396"/>
      <c r="AW111" s="3167"/>
      <c r="AX111" s="3396"/>
      <c r="AY111" s="3167"/>
      <c r="AZ111" s="3396"/>
      <c r="BA111"/>
      <c r="BB111"/>
      <c r="BC111" s="3404"/>
      <c r="BD111" s="3396"/>
      <c r="BE111" s="3396"/>
      <c r="BF111"/>
      <c r="BG111"/>
      <c r="BH111"/>
      <c r="BI111"/>
      <c r="BJ111"/>
    </row>
    <row r="112" spans="1:68" ht="40.5" customHeight="1">
      <c r="A112" s="1208"/>
      <c r="B112" s="1218"/>
      <c r="C112" s="657"/>
      <c r="D112" s="657"/>
      <c r="E112" s="657"/>
      <c r="F112" s="1219"/>
      <c r="G112" s="1212">
        <v>52</v>
      </c>
      <c r="H112" s="51" t="s">
        <v>1357</v>
      </c>
      <c r="I112" s="51"/>
      <c r="J112" s="1759"/>
      <c r="K112" s="476"/>
      <c r="L112" s="2030"/>
      <c r="M112" s="2030"/>
      <c r="N112" s="799"/>
      <c r="O112" s="476"/>
      <c r="P112" s="2030"/>
      <c r="Q112" s="476"/>
      <c r="R112" s="2030"/>
      <c r="S112" s="476"/>
      <c r="T112" s="476"/>
      <c r="U112" s="476"/>
      <c r="V112" s="1239"/>
      <c r="W112" s="476"/>
      <c r="X112" s="1240"/>
      <c r="Y112" s="1214"/>
      <c r="Z112" s="2029"/>
      <c r="AA112" s="1239"/>
      <c r="AB112" s="476"/>
      <c r="AC112" s="1213"/>
      <c r="AD112" s="476"/>
      <c r="AE112" s="1213"/>
      <c r="AF112" s="476"/>
      <c r="AG112" s="1213"/>
      <c r="AH112" s="476"/>
      <c r="AI112" s="1213"/>
      <c r="AJ112" s="476"/>
      <c r="AK112" s="1213"/>
      <c r="AL112" s="476"/>
      <c r="AM112" s="1213"/>
      <c r="AN112" s="476"/>
      <c r="AO112" s="1213"/>
      <c r="AP112" s="476"/>
      <c r="AQ112" s="1292"/>
      <c r="AR112" s="476"/>
      <c r="AS112" s="1213"/>
      <c r="AT112" s="476"/>
      <c r="AU112" s="1213"/>
      <c r="AV112" s="476"/>
      <c r="AW112" s="1213"/>
      <c r="AX112" s="476"/>
      <c r="AY112" s="1292"/>
      <c r="AZ112" s="476"/>
      <c r="BA112" s="2052"/>
      <c r="BB112" s="2052"/>
      <c r="BC112" s="1236"/>
      <c r="BD112" s="476"/>
      <c r="BE112" s="476"/>
      <c r="BF112" s="51"/>
      <c r="BG112" s="475"/>
      <c r="BH112" s="51"/>
      <c r="BI112" s="475"/>
      <c r="BJ112" s="819"/>
      <c r="BK112" s="1"/>
      <c r="BL112" s="1"/>
      <c r="BM112" s="1"/>
      <c r="BN112" s="1"/>
      <c r="BO112" s="1"/>
      <c r="BP112" s="1"/>
    </row>
    <row r="113" spans="1:62" ht="94.5" customHeight="1">
      <c r="A113" s="546"/>
      <c r="B113" s="1241"/>
      <c r="C113" s="545"/>
      <c r="D113" s="545"/>
      <c r="E113" s="545"/>
      <c r="F113" s="1242"/>
      <c r="G113" s="1371"/>
      <c r="H113" s="1243"/>
      <c r="I113" s="1244"/>
      <c r="J113" s="3012">
        <v>170</v>
      </c>
      <c r="K113" s="3359" t="s">
        <v>1358</v>
      </c>
      <c r="L113" s="3012" t="s">
        <v>248</v>
      </c>
      <c r="M113" s="3012">
        <v>14</v>
      </c>
      <c r="N113">
        <v>0</v>
      </c>
      <c r="O113" s="2910" t="s">
        <v>1359</v>
      </c>
      <c r="P113" s="2905">
        <v>156</v>
      </c>
      <c r="Q113" s="3359" t="s">
        <v>1360</v>
      </c>
      <c r="R113" s="3403">
        <f>40000000/S113</f>
        <v>0.2857142857142857</v>
      </c>
      <c r="S113">
        <v>140000000</v>
      </c>
      <c r="T113" s="2910" t="s">
        <v>1361</v>
      </c>
      <c r="U113" s="3359" t="s">
        <v>1362</v>
      </c>
      <c r="V113" s="1338" t="s">
        <v>1363</v>
      </c>
      <c r="W113" s="1249">
        <v>25000000</v>
      </c>
      <c r="X113" s="1250">
        <v>0</v>
      </c>
      <c r="Y113" s="1223">
        <v>0</v>
      </c>
      <c r="Z113" t="s">
        <v>1348</v>
      </c>
      <c r="AA113" s="2910" t="s">
        <v>1342</v>
      </c>
      <c r="AB113" s="3395">
        <v>64149</v>
      </c>
      <c r="AC113" s="3131">
        <v>0</v>
      </c>
      <c r="AD113" s="3395">
        <v>72224</v>
      </c>
      <c r="AE113" s="3131">
        <v>0</v>
      </c>
      <c r="AF113" s="3395">
        <v>27477</v>
      </c>
      <c r="AG113" s="3131">
        <v>0</v>
      </c>
      <c r="AH113" s="3395">
        <v>86843</v>
      </c>
      <c r="AI113" s="3131">
        <v>0</v>
      </c>
      <c r="AJ113" s="3395">
        <v>236429</v>
      </c>
      <c r="AK113" s="3131">
        <v>0</v>
      </c>
      <c r="AL113" s="3395">
        <v>75612</v>
      </c>
      <c r="AM113" s="3131">
        <v>0</v>
      </c>
      <c r="AN113" s="3395">
        <v>13208</v>
      </c>
      <c r="AO113" s="3131">
        <v>0</v>
      </c>
      <c r="AP113" s="3395">
        <v>2145</v>
      </c>
      <c r="AQ113" s="3131">
        <v>0</v>
      </c>
      <c r="AR113" s="3395">
        <v>413</v>
      </c>
      <c r="AS113" s="3131">
        <v>0</v>
      </c>
      <c r="AT113" s="3395">
        <v>520</v>
      </c>
      <c r="AU113" s="3131">
        <v>0</v>
      </c>
      <c r="AV113" s="3395">
        <v>16897</v>
      </c>
      <c r="AW113" s="3131">
        <v>0</v>
      </c>
      <c r="AX113" s="3395">
        <v>75612</v>
      </c>
      <c r="AY113" s="3131">
        <v>0</v>
      </c>
      <c r="AZ113" s="3395">
        <v>0</v>
      </c>
      <c r="BA113">
        <v>0</v>
      </c>
      <c r="BB113">
        <v>0</v>
      </c>
      <c r="BC113" s="3403">
        <v>0</v>
      </c>
      <c r="BD113" t="s">
        <v>1348</v>
      </c>
      <c r="BE113" s="3395" t="s">
        <v>1320</v>
      </c>
      <c r="BF113" s="3385">
        <v>42583</v>
      </c>
      <c r="BG113" s="2883">
        <v>42583</v>
      </c>
      <c r="BH113" s="3385">
        <v>42735</v>
      </c>
      <c r="BI113">
        <v>42735</v>
      </c>
      <c r="BJ113" t="s">
        <v>1100</v>
      </c>
    </row>
    <row r="114" spans="1:62" ht="55.5" customHeight="1">
      <c r="A114" s="546"/>
      <c r="B114" s="1241"/>
      <c r="C114" s="545"/>
      <c r="D114" s="545"/>
      <c r="E114" s="545"/>
      <c r="F114" s="1242"/>
      <c r="G114" s="1241"/>
      <c r="H114" s="545"/>
      <c r="I114" s="1242"/>
      <c r="J114" s="3014"/>
      <c r="K114" s="3361"/>
      <c r="L114" s="3014"/>
      <c r="M114" s="3014"/>
      <c r="N114"/>
      <c r="O114" s="3292"/>
      <c r="P114" s="2906"/>
      <c r="Q114" s="3360"/>
      <c r="R114" s="3404"/>
      <c r="S114"/>
      <c r="T114" s="3292"/>
      <c r="U114" s="3361"/>
      <c r="V114" s="1338" t="s">
        <v>1364</v>
      </c>
      <c r="W114" s="1249">
        <v>15000000</v>
      </c>
      <c r="X114" s="1250">
        <v>0</v>
      </c>
      <c r="Y114" s="1223">
        <v>0</v>
      </c>
      <c r="Z114"/>
      <c r="AA114" s="3292"/>
      <c r="AB114"/>
      <c r="AC114" s="3132"/>
      <c r="AD114"/>
      <c r="AE114" s="3132"/>
      <c r="AF114"/>
      <c r="AG114" s="3132"/>
      <c r="AH114"/>
      <c r="AI114" s="3132"/>
      <c r="AJ114"/>
      <c r="AK114" s="3132"/>
      <c r="AL114"/>
      <c r="AM114" s="3132"/>
      <c r="AN114"/>
      <c r="AO114" s="3132"/>
      <c r="AP114"/>
      <c r="AQ114" s="3132"/>
      <c r="AR114"/>
      <c r="AS114" s="3132"/>
      <c r="AT114"/>
      <c r="AU114" s="3132"/>
      <c r="AV114"/>
      <c r="AW114" s="3132"/>
      <c r="AX114"/>
      <c r="AY114" s="3132"/>
      <c r="AZ114"/>
      <c r="BA114"/>
      <c r="BB114"/>
      <c r="BC114" s="3544"/>
      <c r="BD114"/>
      <c r="BE114"/>
      <c r="BF114" s="3386"/>
      <c r="BG114" s="2884"/>
      <c r="BH114" s="3386"/>
      <c r="BI114"/>
      <c r="BJ114"/>
    </row>
    <row r="115" spans="1:62" ht="68.25" customHeight="1">
      <c r="A115" s="546"/>
      <c r="B115" s="1241"/>
      <c r="C115" s="545"/>
      <c r="D115" s="545"/>
      <c r="E115" s="545"/>
      <c r="F115" s="1242"/>
      <c r="G115" s="1241"/>
      <c r="H115" s="545"/>
      <c r="I115" s="1242"/>
      <c r="J115" s="2824">
        <v>171</v>
      </c>
      <c r="K115" s="2013" t="s">
        <v>1365</v>
      </c>
      <c r="L115" s="1970" t="s">
        <v>248</v>
      </c>
      <c r="M115" s="1965">
        <v>1</v>
      </c>
      <c r="N115" s="2827">
        <v>0</v>
      </c>
      <c r="O115" s="3293"/>
      <c r="P115" s="2941"/>
      <c r="Q115" s="3361"/>
      <c r="R115" s="2004">
        <f>W115/S113</f>
        <v>0.7142857142857143</v>
      </c>
      <c r="S115"/>
      <c r="T115" s="3293"/>
      <c r="U115" s="2094" t="s">
        <v>1366</v>
      </c>
      <c r="V115" s="1338" t="s">
        <v>1367</v>
      </c>
      <c r="W115" s="1249">
        <v>100000000</v>
      </c>
      <c r="X115" s="1250">
        <v>0</v>
      </c>
      <c r="Y115" s="1223">
        <v>0</v>
      </c>
      <c r="Z115"/>
      <c r="AA115" s="3293"/>
      <c r="AB115" s="3396"/>
      <c r="AC115" s="3167"/>
      <c r="AD115" s="3396"/>
      <c r="AE115" s="3167"/>
      <c r="AF115" s="3396"/>
      <c r="AG115" s="3167"/>
      <c r="AH115" s="3396"/>
      <c r="AI115" s="3167"/>
      <c r="AJ115" s="3396"/>
      <c r="AK115" s="3167"/>
      <c r="AL115" s="3396"/>
      <c r="AM115" s="3167"/>
      <c r="AN115" s="3396"/>
      <c r="AO115" s="3167"/>
      <c r="AP115" s="3396"/>
      <c r="AQ115" s="3167"/>
      <c r="AR115" s="3396"/>
      <c r="AS115" s="3167"/>
      <c r="AT115" s="3396"/>
      <c r="AU115" s="3167"/>
      <c r="AV115" s="3396"/>
      <c r="AW115" s="3167"/>
      <c r="AX115" s="3396"/>
      <c r="AY115" s="3167"/>
      <c r="AZ115" s="3396"/>
      <c r="BA115"/>
      <c r="BB115"/>
      <c r="BC115" s="3404"/>
      <c r="BD115" s="3396"/>
      <c r="BE115" s="3396"/>
      <c r="BF115" s="3387"/>
      <c r="BG115" s="2885"/>
      <c r="BH115" s="3387"/>
      <c r="BI115"/>
      <c r="BJ115"/>
    </row>
    <row r="116" spans="1:62" ht="65.25" customHeight="1">
      <c r="A116" s="546"/>
      <c r="B116" s="1241"/>
      <c r="C116" s="545"/>
      <c r="D116" s="545"/>
      <c r="E116" s="545"/>
      <c r="F116" s="1242"/>
      <c r="G116" s="1241"/>
      <c r="H116" s="545"/>
      <c r="I116" s="1242"/>
      <c r="J116" s="3012">
        <v>172</v>
      </c>
      <c r="K116" s="3359" t="s">
        <v>1368</v>
      </c>
      <c r="L116" s="3012" t="s">
        <v>248</v>
      </c>
      <c r="M116" s="3012">
        <v>12</v>
      </c>
      <c r="N116" s="3126">
        <v>12</v>
      </c>
      <c r="O116" s="2910" t="s">
        <v>1369</v>
      </c>
      <c r="P116" s="2905">
        <v>157</v>
      </c>
      <c r="Q116" s="3359" t="s">
        <v>1370</v>
      </c>
      <c r="R116" s="3403">
        <v>1</v>
      </c>
      <c r="S116">
        <v>310000000</v>
      </c>
      <c r="T116" s="2910" t="s">
        <v>1371</v>
      </c>
      <c r="U116" s="2094" t="s">
        <v>1372</v>
      </c>
      <c r="V116" s="3359" t="s">
        <v>1373</v>
      </c>
      <c r="W116">
        <v>310000000</v>
      </c>
      <c r="X116">
        <v>310000000</v>
      </c>
      <c r="Y116">
        <v>310000000</v>
      </c>
      <c r="Z116" s="2930" t="s">
        <v>1374</v>
      </c>
      <c r="AA116" s="2910" t="s">
        <v>1375</v>
      </c>
      <c r="AB116" s="3395">
        <v>64149</v>
      </c>
      <c r="AC116" s="3131">
        <f>SUM(AB116*1)</f>
        <v>64149</v>
      </c>
      <c r="AD116" s="3395">
        <v>72224</v>
      </c>
      <c r="AE116" s="3131">
        <f>SUM(AD116*1)</f>
        <v>72224</v>
      </c>
      <c r="AF116" s="3395">
        <v>27477</v>
      </c>
      <c r="AG116" s="3131">
        <f>SUM(AF116*1)</f>
        <v>27477</v>
      </c>
      <c r="AH116" s="3395">
        <v>86843</v>
      </c>
      <c r="AI116" s="3131">
        <f>SUM(AH116*1)</f>
        <v>86843</v>
      </c>
      <c r="AJ116" s="3395">
        <v>236429</v>
      </c>
      <c r="AK116" s="3131">
        <f>SUM(AJ116*1)</f>
        <v>236429</v>
      </c>
      <c r="AL116" s="3395">
        <v>75612</v>
      </c>
      <c r="AM116" s="3131">
        <f>SUM(AL116*1)</f>
        <v>75612</v>
      </c>
      <c r="AN116" s="3395">
        <v>13208</v>
      </c>
      <c r="AO116" s="3131">
        <f>SUM(AN116*1)</f>
        <v>13208</v>
      </c>
      <c r="AP116" s="3395">
        <v>2145</v>
      </c>
      <c r="AQ116" s="3131">
        <f>SUM(AP116*1)</f>
        <v>2145</v>
      </c>
      <c r="AR116" s="3395">
        <v>413</v>
      </c>
      <c r="AS116" s="3131">
        <f>SUM(AR116*1)</f>
        <v>413</v>
      </c>
      <c r="AT116" s="3395">
        <v>520</v>
      </c>
      <c r="AU116" s="3131">
        <f>SUM(AT116*1)</f>
        <v>520</v>
      </c>
      <c r="AV116" s="3395">
        <v>16897</v>
      </c>
      <c r="AW116" s="3131">
        <f>SUM(AV116*1)</f>
        <v>16897</v>
      </c>
      <c r="AX116" s="3395">
        <v>75612</v>
      </c>
      <c r="AY116" s="3131">
        <f>SUM(AX116*1)</f>
        <v>75612</v>
      </c>
      <c r="AZ116" s="3395">
        <v>2</v>
      </c>
      <c r="BA116">
        <f>SUM(X116)</f>
        <v>310000000</v>
      </c>
      <c r="BB116">
        <f>SUM(Y116)</f>
        <v>310000000</v>
      </c>
      <c r="BC116" s="3403">
        <f>BB116/BA116</f>
        <v>1</v>
      </c>
      <c r="BD116" s="3395" t="s">
        <v>1374</v>
      </c>
      <c r="BE116" s="3395" t="s">
        <v>1320</v>
      </c>
      <c r="BF116" s="3385">
        <v>42583</v>
      </c>
      <c r="BG116" s="2883">
        <v>42583</v>
      </c>
      <c r="BH116" s="3385">
        <v>42735</v>
      </c>
      <c r="BI116">
        <v>42735</v>
      </c>
      <c r="BJ116" t="s">
        <v>1100</v>
      </c>
    </row>
    <row r="117" spans="1:62" ht="59.25" customHeight="1">
      <c r="A117" s="546"/>
      <c r="B117" s="1241"/>
      <c r="C117" s="545"/>
      <c r="D117" s="545"/>
      <c r="E117" s="545"/>
      <c r="F117" s="1242"/>
      <c r="G117" s="1372"/>
      <c r="H117" s="565"/>
      <c r="I117" s="1247"/>
      <c r="J117" s="3014"/>
      <c r="K117" s="3361"/>
      <c r="L117" s="3014"/>
      <c r="M117" s="3014"/>
      <c r="N117" s="3128"/>
      <c r="O117" s="3293"/>
      <c r="P117" s="2941"/>
      <c r="Q117" s="3361"/>
      <c r="R117" s="3404"/>
      <c r="S117"/>
      <c r="T117" s="3293"/>
      <c r="U117" s="2094" t="s">
        <v>1376</v>
      </c>
      <c r="V117" s="3361"/>
      <c r="W117"/>
      <c r="X117"/>
      <c r="Y117"/>
      <c r="Z117"/>
      <c r="AA117" s="3293"/>
      <c r="AB117" s="3396"/>
      <c r="AC117" s="3167"/>
      <c r="AD117" s="3396"/>
      <c r="AE117" s="3167"/>
      <c r="AF117" s="3396"/>
      <c r="AG117" s="3167"/>
      <c r="AH117" s="3396"/>
      <c r="AI117" s="3167"/>
      <c r="AJ117" s="3396"/>
      <c r="AK117" s="3167"/>
      <c r="AL117" s="3396"/>
      <c r="AM117" s="3167"/>
      <c r="AN117" s="3396"/>
      <c r="AO117" s="3167"/>
      <c r="AP117" s="3396"/>
      <c r="AQ117" s="3167"/>
      <c r="AR117" s="3396"/>
      <c r="AS117" s="3167"/>
      <c r="AT117" s="3396"/>
      <c r="AU117" s="3167"/>
      <c r="AV117" s="3396"/>
      <c r="AW117" s="3167"/>
      <c r="AX117" s="3396"/>
      <c r="AY117" s="3167"/>
      <c r="AZ117" s="3396"/>
      <c r="BA117"/>
      <c r="BB117"/>
      <c r="BC117" s="3404"/>
      <c r="BD117" s="3396"/>
      <c r="BE117" s="3396"/>
      <c r="BF117" s="3387"/>
      <c r="BG117" s="2885"/>
      <c r="BH117" s="3387"/>
      <c r="BI117"/>
      <c r="BJ117"/>
    </row>
    <row r="118" spans="1:68" ht="36" customHeight="1">
      <c r="A118" s="1208"/>
      <c r="B118" s="1218"/>
      <c r="C118" s="657"/>
      <c r="D118" s="657"/>
      <c r="E118" s="657"/>
      <c r="F118" s="1219"/>
      <c r="G118" s="1212">
        <v>53</v>
      </c>
      <c r="H118" s="51" t="s">
        <v>1377</v>
      </c>
      <c r="I118" s="51"/>
      <c r="J118" s="1759"/>
      <c r="K118" s="476"/>
      <c r="L118" s="2030"/>
      <c r="M118" s="2030"/>
      <c r="N118" s="799"/>
      <c r="O118" s="476"/>
      <c r="P118" s="2030"/>
      <c r="Q118" s="476"/>
      <c r="R118" s="2030"/>
      <c r="S118" s="476"/>
      <c r="T118" s="476"/>
      <c r="U118" s="476"/>
      <c r="V118" s="476"/>
      <c r="W118" s="476"/>
      <c r="X118" s="1240"/>
      <c r="Y118" s="1213"/>
      <c r="Z118" s="2029"/>
      <c r="AA118" s="476"/>
      <c r="AB118" s="476"/>
      <c r="AC118" s="1213"/>
      <c r="AD118" s="476"/>
      <c r="AE118" s="1213"/>
      <c r="AF118" s="476"/>
      <c r="AG118" s="1213"/>
      <c r="AH118" s="476"/>
      <c r="AI118" s="1213"/>
      <c r="AJ118" s="476"/>
      <c r="AK118" s="1213"/>
      <c r="AL118" s="476"/>
      <c r="AM118" s="1213"/>
      <c r="AN118" s="476"/>
      <c r="AO118" s="1213"/>
      <c r="AP118" s="476"/>
      <c r="AQ118" s="1213"/>
      <c r="AR118" s="476"/>
      <c r="AS118" s="1213"/>
      <c r="AT118" s="476"/>
      <c r="AU118" s="1213"/>
      <c r="AV118" s="476"/>
      <c r="AW118" s="1213"/>
      <c r="AX118" s="476"/>
      <c r="AY118" s="1213"/>
      <c r="AZ118" s="476"/>
      <c r="BA118" s="2052"/>
      <c r="BB118" s="2052"/>
      <c r="BC118" s="1236"/>
      <c r="BD118" s="476"/>
      <c r="BE118" s="476"/>
      <c r="BF118" s="51"/>
      <c r="BG118" s="475"/>
      <c r="BH118" s="51"/>
      <c r="BI118" s="475"/>
      <c r="BJ118" s="819"/>
      <c r="BK118" s="1"/>
      <c r="BL118" s="1"/>
      <c r="BM118" s="1"/>
      <c r="BN118" s="1"/>
      <c r="BO118" s="1"/>
      <c r="BP118" s="1"/>
    </row>
    <row r="119" spans="1:62" ht="57">
      <c r="A119" s="1217"/>
      <c r="B119" s="1224"/>
      <c r="C119" s="852"/>
      <c r="D119" s="852"/>
      <c r="E119" s="852"/>
      <c r="F119" s="1225"/>
      <c r="G119" s="1220"/>
      <c r="H119" s="1221"/>
      <c r="I119" s="1222"/>
      <c r="J119" s="3012">
        <v>173</v>
      </c>
      <c r="K119" s="3359" t="s">
        <v>1378</v>
      </c>
      <c r="L119" s="3012" t="s">
        <v>248</v>
      </c>
      <c r="M119" s="3012">
        <v>7</v>
      </c>
      <c r="N119">
        <v>0</v>
      </c>
      <c r="O119" s="2910" t="s">
        <v>1379</v>
      </c>
      <c r="P119" s="2905">
        <v>158</v>
      </c>
      <c r="Q119" t="s">
        <v>1380</v>
      </c>
      <c r="R119" s="3403">
        <v>0.65</v>
      </c>
      <c r="S119">
        <v>34404000</v>
      </c>
      <c r="T119" s="2910" t="s">
        <v>1381</v>
      </c>
      <c r="U119" s="2094" t="s">
        <v>1382</v>
      </c>
      <c r="V119" s="2094" t="s">
        <v>1383</v>
      </c>
      <c r="W119" s="1249">
        <v>12500000</v>
      </c>
      <c r="X119" s="1373">
        <v>0</v>
      </c>
      <c r="Y119" s="1374">
        <v>0</v>
      </c>
      <c r="Z119" s="2930" t="s">
        <v>1348</v>
      </c>
      <c r="AA119" s="2910" t="s">
        <v>1342</v>
      </c>
      <c r="AB119" s="3395">
        <v>64149</v>
      </c>
      <c r="AC119" s="3131">
        <v>0</v>
      </c>
      <c r="AD119" s="3395">
        <v>72224</v>
      </c>
      <c r="AE119" s="3131">
        <v>0</v>
      </c>
      <c r="AF119" s="3395">
        <v>27477</v>
      </c>
      <c r="AG119" s="3131">
        <v>0</v>
      </c>
      <c r="AH119" s="3395">
        <v>86843</v>
      </c>
      <c r="AI119" s="3131">
        <v>0</v>
      </c>
      <c r="AJ119" s="3395">
        <v>236429</v>
      </c>
      <c r="AK119" s="3131">
        <v>0</v>
      </c>
      <c r="AL119" s="3395">
        <v>75612</v>
      </c>
      <c r="AM119" s="3131">
        <v>0</v>
      </c>
      <c r="AN119" s="3395">
        <v>13208</v>
      </c>
      <c r="AO119" s="3131">
        <v>0</v>
      </c>
      <c r="AP119" s="3395">
        <v>2145</v>
      </c>
      <c r="AQ119" s="3131"/>
      <c r="AR119" s="3395">
        <v>413</v>
      </c>
      <c r="AS119" s="3131"/>
      <c r="AT119" s="3395">
        <v>520</v>
      </c>
      <c r="AU119" s="3131">
        <v>0</v>
      </c>
      <c r="AV119" s="3395">
        <v>16897</v>
      </c>
      <c r="AW119" s="3131">
        <v>0</v>
      </c>
      <c r="AX119" s="3395">
        <v>75612</v>
      </c>
      <c r="AY119" s="3131">
        <v>0</v>
      </c>
      <c r="AZ119" s="3395">
        <v>0</v>
      </c>
      <c r="BA119">
        <v>0</v>
      </c>
      <c r="BB119">
        <v>0</v>
      </c>
      <c r="BC119" s="3403">
        <v>0</v>
      </c>
      <c r="BD119" s="3395" t="s">
        <v>1348</v>
      </c>
      <c r="BE119" s="3395" t="s">
        <v>1320</v>
      </c>
      <c r="BF119" s="3385">
        <v>42583</v>
      </c>
      <c r="BG119" s="2883">
        <v>42583</v>
      </c>
      <c r="BH119" s="3385">
        <v>42735</v>
      </c>
      <c r="BI119">
        <v>42735</v>
      </c>
      <c r="BJ119" t="s">
        <v>1100</v>
      </c>
    </row>
    <row r="120" spans="1:62" ht="43.5" customHeight="1">
      <c r="A120" s="1217"/>
      <c r="B120" s="1224"/>
      <c r="C120" s="852"/>
      <c r="D120" s="852"/>
      <c r="E120" s="852"/>
      <c r="F120" s="1225"/>
      <c r="G120" s="1224"/>
      <c r="H120" s="852"/>
      <c r="I120" s="1225"/>
      <c r="J120" s="3013"/>
      <c r="K120" s="3360"/>
      <c r="L120" s="3013"/>
      <c r="M120" s="3013"/>
      <c r="N120"/>
      <c r="O120" s="3292"/>
      <c r="P120" s="2906"/>
      <c r="Q120"/>
      <c r="R120" s="3544"/>
      <c r="S120"/>
      <c r="T120" s="3292"/>
      <c r="U120" s="3359" t="s">
        <v>1384</v>
      </c>
      <c r="V120" s="1338" t="s">
        <v>1385</v>
      </c>
      <c r="W120" s="1249">
        <v>12500000</v>
      </c>
      <c r="X120" s="1250">
        <v>0</v>
      </c>
      <c r="Y120" s="1223">
        <v>0</v>
      </c>
      <c r="Z120"/>
      <c r="AA120" s="3292"/>
      <c r="AB120"/>
      <c r="AC120" s="3132"/>
      <c r="AD120"/>
      <c r="AE120" s="3132"/>
      <c r="AF120"/>
      <c r="AG120" s="3132"/>
      <c r="AH120"/>
      <c r="AI120" s="3132"/>
      <c r="AJ120"/>
      <c r="AK120" s="3132"/>
      <c r="AL120"/>
      <c r="AM120" s="3132"/>
      <c r="AN120"/>
      <c r="AO120" s="3132"/>
      <c r="AP120"/>
      <c r="AQ120" s="3132"/>
      <c r="AR120"/>
      <c r="AS120" s="3132"/>
      <c r="AT120"/>
      <c r="AU120" s="3132"/>
      <c r="AV120"/>
      <c r="AW120" s="3132"/>
      <c r="AX120"/>
      <c r="AY120" s="3132"/>
      <c r="AZ120"/>
      <c r="BA120"/>
      <c r="BB120"/>
      <c r="BC120" s="3544"/>
      <c r="BD120"/>
      <c r="BE120"/>
      <c r="BF120" s="3386"/>
      <c r="BG120" s="2884"/>
      <c r="BH120" s="3386"/>
      <c r="BI120"/>
      <c r="BJ120"/>
    </row>
    <row r="121" spans="1:62" ht="52.5" customHeight="1">
      <c r="A121" s="1217"/>
      <c r="B121" s="1224"/>
      <c r="C121" s="852"/>
      <c r="D121" s="852"/>
      <c r="E121" s="852"/>
      <c r="F121" s="1225"/>
      <c r="G121" s="1224"/>
      <c r="H121" s="852"/>
      <c r="I121" s="1225"/>
      <c r="J121" s="3013"/>
      <c r="K121" s="3360"/>
      <c r="L121" s="3013"/>
      <c r="M121" s="3013"/>
      <c r="N121"/>
      <c r="O121" s="3292"/>
      <c r="P121" s="2906"/>
      <c r="Q121"/>
      <c r="R121" s="3544"/>
      <c r="S121"/>
      <c r="T121" s="3292"/>
      <c r="U121" s="3360"/>
      <c r="V121" s="2089" t="s">
        <v>1386</v>
      </c>
      <c r="W121" s="2024">
        <v>9404000</v>
      </c>
      <c r="X121" s="1250">
        <v>0</v>
      </c>
      <c r="Y121" s="1223">
        <v>0</v>
      </c>
      <c r="Z121"/>
      <c r="AA121" s="3292"/>
      <c r="AB121"/>
      <c r="AC121" s="3132"/>
      <c r="AD121"/>
      <c r="AE121" s="3132"/>
      <c r="AF121"/>
      <c r="AG121" s="3132"/>
      <c r="AH121"/>
      <c r="AI121" s="3132"/>
      <c r="AJ121"/>
      <c r="AK121" s="3132"/>
      <c r="AL121"/>
      <c r="AM121" s="3132"/>
      <c r="AN121"/>
      <c r="AO121" s="3132"/>
      <c r="AP121"/>
      <c r="AQ121" s="3132"/>
      <c r="AR121"/>
      <c r="AS121" s="3132"/>
      <c r="AT121"/>
      <c r="AU121" s="3132"/>
      <c r="AV121"/>
      <c r="AW121" s="3132"/>
      <c r="AX121"/>
      <c r="AY121" s="3132"/>
      <c r="AZ121"/>
      <c r="BA121"/>
      <c r="BB121"/>
      <c r="BC121" s="3544"/>
      <c r="BD121"/>
      <c r="BE121"/>
      <c r="BF121" s="3386"/>
      <c r="BG121" s="2884"/>
      <c r="BH121" s="3386"/>
      <c r="BI121"/>
      <c r="BJ121"/>
    </row>
    <row r="122" spans="1:62" ht="72" customHeight="1">
      <c r="A122" s="1964"/>
      <c r="B122" s="1999"/>
      <c r="C122" s="1995"/>
      <c r="D122" s="1995"/>
      <c r="E122" s="1995"/>
      <c r="F122" s="1994"/>
      <c r="G122" s="2000"/>
      <c r="H122" s="1990"/>
      <c r="I122" s="2001"/>
      <c r="J122" s="2824">
        <v>174</v>
      </c>
      <c r="K122" s="2013" t="s">
        <v>1387</v>
      </c>
      <c r="L122" s="1965" t="s">
        <v>248</v>
      </c>
      <c r="M122" s="1965">
        <v>150</v>
      </c>
      <c r="N122" s="2826">
        <v>150</v>
      </c>
      <c r="O122" s="3293"/>
      <c r="P122" s="2941"/>
      <c r="Q122"/>
      <c r="R122" s="2004">
        <v>0.35</v>
      </c>
      <c r="S122"/>
      <c r="T122" s="3293"/>
      <c r="U122" s="3361"/>
      <c r="V122" s="2094" t="s">
        <v>1388</v>
      </c>
      <c r="W122" s="1249">
        <v>0</v>
      </c>
      <c r="X122" s="1253">
        <v>0</v>
      </c>
      <c r="Y122" s="1286">
        <v>0</v>
      </c>
      <c r="Z122"/>
      <c r="AA122" s="3293"/>
      <c r="AB122" s="3396"/>
      <c r="AC122" s="3167"/>
      <c r="AD122" s="3396"/>
      <c r="AE122" s="3167"/>
      <c r="AF122" s="3396"/>
      <c r="AG122" s="3167"/>
      <c r="AH122" s="3396"/>
      <c r="AI122" s="3167"/>
      <c r="AJ122" s="3396"/>
      <c r="AK122" s="3167"/>
      <c r="AL122" s="3396"/>
      <c r="AM122" s="3167"/>
      <c r="AN122" s="3396"/>
      <c r="AO122" s="3167"/>
      <c r="AP122" s="3396"/>
      <c r="AQ122" s="3167"/>
      <c r="AR122" s="3396"/>
      <c r="AS122" s="3167"/>
      <c r="AT122" s="3396"/>
      <c r="AU122" s="3167"/>
      <c r="AV122" s="3396"/>
      <c r="AW122" s="3167"/>
      <c r="AX122" s="3396"/>
      <c r="AY122" s="3167"/>
      <c r="AZ122" s="3396"/>
      <c r="BA122"/>
      <c r="BB122"/>
      <c r="BC122" s="3404"/>
      <c r="BD122" s="3396"/>
      <c r="BE122" s="3396"/>
      <c r="BF122" s="3387"/>
      <c r="BG122" s="2885"/>
      <c r="BH122" s="3387"/>
      <c r="BI122"/>
      <c r="BJ122"/>
    </row>
    <row r="123" spans="1:68" ht="39.75" customHeight="1">
      <c r="A123" s="1208"/>
      <c r="B123" s="1218"/>
      <c r="C123" s="657"/>
      <c r="D123" s="657"/>
      <c r="E123" s="657"/>
      <c r="F123" s="1219"/>
      <c r="G123" s="1212">
        <v>54</v>
      </c>
      <c r="H123" s="51" t="s">
        <v>1389</v>
      </c>
      <c r="I123" s="51"/>
      <c r="J123" s="1759"/>
      <c r="K123" s="476"/>
      <c r="L123" s="2030"/>
      <c r="M123" s="2030"/>
      <c r="N123" s="799"/>
      <c r="O123" s="476"/>
      <c r="P123" s="2030"/>
      <c r="Q123" s="476"/>
      <c r="R123" s="2030"/>
      <c r="S123" s="476"/>
      <c r="T123" s="476"/>
      <c r="U123" s="476"/>
      <c r="V123" s="476"/>
      <c r="W123" s="476"/>
      <c r="X123" s="1213"/>
      <c r="Y123" s="1213"/>
      <c r="Z123" s="2029"/>
      <c r="AA123" s="476"/>
      <c r="AB123" s="476"/>
      <c r="AC123" s="1213"/>
      <c r="AD123" s="476"/>
      <c r="AE123" s="1213"/>
      <c r="AF123" s="476"/>
      <c r="AG123" s="1213"/>
      <c r="AH123" s="2029"/>
      <c r="AI123" s="1279"/>
      <c r="AJ123" s="476"/>
      <c r="AK123" s="1213"/>
      <c r="AL123" s="476"/>
      <c r="AM123" s="1213"/>
      <c r="AN123" s="476"/>
      <c r="AO123" s="1213"/>
      <c r="AP123" s="476"/>
      <c r="AQ123" s="1213"/>
      <c r="AR123" s="2029"/>
      <c r="AS123" s="1279"/>
      <c r="AT123" s="476"/>
      <c r="AU123" s="1213"/>
      <c r="AV123" s="476"/>
      <c r="AW123" s="1213"/>
      <c r="AX123" s="476"/>
      <c r="AY123" s="1213"/>
      <c r="AZ123" s="476"/>
      <c r="BA123" s="2052"/>
      <c r="BB123" s="2052"/>
      <c r="BC123" s="1236"/>
      <c r="BD123" s="476"/>
      <c r="BE123" s="476"/>
      <c r="BF123" s="51"/>
      <c r="BG123" s="475"/>
      <c r="BH123" s="51"/>
      <c r="BI123" s="475"/>
      <c r="BJ123" s="819"/>
      <c r="BK123" s="1"/>
      <c r="BL123" s="1"/>
      <c r="BM123" s="1"/>
      <c r="BN123" s="1"/>
      <c r="BO123" s="1"/>
      <c r="BP123" s="1"/>
    </row>
    <row r="124" spans="1:62" ht="70.5" customHeight="1">
      <c r="A124" s="1217"/>
      <c r="B124" s="1224"/>
      <c r="C124" s="852"/>
      <c r="D124" s="852"/>
      <c r="E124" s="852"/>
      <c r="F124" s="1225"/>
      <c r="G124" s="1220"/>
      <c r="H124" s="1221"/>
      <c r="I124" s="1222"/>
      <c r="J124" s="3012">
        <v>175</v>
      </c>
      <c r="K124" t="s">
        <v>1390</v>
      </c>
      <c r="L124" s="3012" t="s">
        <v>248</v>
      </c>
      <c r="M124" s="3012">
        <v>14</v>
      </c>
      <c r="N124" s="3126">
        <v>14</v>
      </c>
      <c r="O124" s="2910" t="s">
        <v>1391</v>
      </c>
      <c r="P124" s="2905">
        <v>159</v>
      </c>
      <c r="Q124" t="s">
        <v>1392</v>
      </c>
      <c r="R124" s="3403">
        <v>0.75</v>
      </c>
      <c r="S124">
        <v>223124000</v>
      </c>
      <c r="T124" s="2910" t="s">
        <v>1393</v>
      </c>
      <c r="U124" s="2089" t="s">
        <v>1394</v>
      </c>
      <c r="V124" s="2094" t="s">
        <v>1395</v>
      </c>
      <c r="W124" s="1375">
        <v>200000000</v>
      </c>
      <c r="X124" s="1376">
        <v>200000000</v>
      </c>
      <c r="Y124" s="1376">
        <v>200000000</v>
      </c>
      <c r="Z124" s="2930" t="s">
        <v>1348</v>
      </c>
      <c r="AA124" s="2910" t="s">
        <v>1342</v>
      </c>
      <c r="AB124">
        <v>64149</v>
      </c>
      <c r="AC124">
        <v>64149</v>
      </c>
      <c r="AD124">
        <v>72224</v>
      </c>
      <c r="AE124">
        <v>72224</v>
      </c>
      <c r="AF124">
        <v>27477</v>
      </c>
      <c r="AG124">
        <v>27477</v>
      </c>
      <c r="AH124">
        <v>86843</v>
      </c>
      <c r="AI124">
        <v>86843</v>
      </c>
      <c r="AJ124">
        <v>236429</v>
      </c>
      <c r="AK124">
        <v>236429</v>
      </c>
      <c r="AL124">
        <v>75612</v>
      </c>
      <c r="AM124">
        <v>75612</v>
      </c>
      <c r="AN124">
        <v>13208</v>
      </c>
      <c r="AO124">
        <v>13208</v>
      </c>
      <c r="AP124" s="3395">
        <v>2145</v>
      </c>
      <c r="AQ124" s="3131">
        <v>2145</v>
      </c>
      <c r="AR124">
        <v>413</v>
      </c>
      <c r="AS124">
        <v>413</v>
      </c>
      <c r="AT124">
        <v>520</v>
      </c>
      <c r="AU124">
        <v>520</v>
      </c>
      <c r="AV124">
        <v>16897</v>
      </c>
      <c r="AW124">
        <v>16897</v>
      </c>
      <c r="AX124">
        <v>75612</v>
      </c>
      <c r="AY124">
        <v>75612</v>
      </c>
      <c r="AZ124" s="3395">
        <v>2</v>
      </c>
      <c r="BA124">
        <f>SUM(X124:X126)</f>
        <v>223124000</v>
      </c>
      <c r="BB124">
        <f>SUM(Y124:Y126)</f>
        <v>223124000</v>
      </c>
      <c r="BC124" s="3403">
        <f>BB124/BA124</f>
        <v>1</v>
      </c>
      <c r="BD124" s="3395" t="s">
        <v>1348</v>
      </c>
      <c r="BE124" s="3395" t="s">
        <v>1320</v>
      </c>
      <c r="BF124">
        <v>42583</v>
      </c>
      <c r="BG124">
        <v>42583</v>
      </c>
      <c r="BH124">
        <v>42735</v>
      </c>
      <c r="BI124">
        <v>42735</v>
      </c>
      <c r="BJ124" t="s">
        <v>1100</v>
      </c>
    </row>
    <row r="125" spans="1:62" ht="69.75" customHeight="1">
      <c r="A125" s="1217"/>
      <c r="B125" s="1224"/>
      <c r="C125" s="852"/>
      <c r="D125" s="852"/>
      <c r="E125" s="852"/>
      <c r="F125" s="1225"/>
      <c r="G125" s="1224"/>
      <c r="H125" s="852"/>
      <c r="I125" s="1225"/>
      <c r="J125" s="3014"/>
      <c r="K125"/>
      <c r="L125" s="3014"/>
      <c r="M125" s="3014"/>
      <c r="N125" s="3127"/>
      <c r="O125" s="3292"/>
      <c r="P125" s="2906"/>
      <c r="Q125"/>
      <c r="R125" s="3404"/>
      <c r="S125"/>
      <c r="T125" s="3292"/>
      <c r="U125" s="3359" t="s">
        <v>1396</v>
      </c>
      <c r="V125" s="1338" t="s">
        <v>1397</v>
      </c>
      <c r="W125" s="1288">
        <v>23124000</v>
      </c>
      <c r="X125" s="1289">
        <v>23124000</v>
      </c>
      <c r="Y125" s="1289">
        <v>23124000</v>
      </c>
      <c r="Z125"/>
      <c r="AA125" s="3292"/>
      <c r="AB125"/>
      <c r="AC125"/>
      <c r="AD125"/>
      <c r="AE125"/>
      <c r="AF125"/>
      <c r="AG125"/>
      <c r="AH125"/>
      <c r="AI125"/>
      <c r="AJ125"/>
      <c r="AK125"/>
      <c r="AL125"/>
      <c r="AM125"/>
      <c r="AN125"/>
      <c r="AO125"/>
      <c r="AP125"/>
      <c r="AQ125" s="3132"/>
      <c r="AR125"/>
      <c r="AS125"/>
      <c r="AT125"/>
      <c r="AU125"/>
      <c r="AV125"/>
      <c r="AW125"/>
      <c r="AX125"/>
      <c r="AY125"/>
      <c r="AZ125"/>
      <c r="BA125"/>
      <c r="BB125"/>
      <c r="BC125" s="3544"/>
      <c r="BD125"/>
      <c r="BE125"/>
      <c r="BF125"/>
      <c r="BG125"/>
      <c r="BH125"/>
      <c r="BI125"/>
      <c r="BJ125"/>
    </row>
    <row r="126" spans="1:62" ht="73.5" customHeight="1">
      <c r="A126" s="1964"/>
      <c r="B126" s="2000"/>
      <c r="C126" s="1990"/>
      <c r="D126" s="1990"/>
      <c r="E126" s="1990"/>
      <c r="F126" s="2001"/>
      <c r="G126" s="2000"/>
      <c r="H126" s="1990"/>
      <c r="I126" s="2001"/>
      <c r="J126" s="2824">
        <v>176</v>
      </c>
      <c r="K126" s="2013" t="s">
        <v>1398</v>
      </c>
      <c r="L126" s="1965" t="s">
        <v>248</v>
      </c>
      <c r="M126" s="1965">
        <v>2</v>
      </c>
      <c r="N126" s="2827">
        <v>2</v>
      </c>
      <c r="O126" s="3293"/>
      <c r="P126" s="2941"/>
      <c r="Q126"/>
      <c r="R126" s="2004">
        <v>0.25</v>
      </c>
      <c r="S126"/>
      <c r="T126" s="3293"/>
      <c r="U126" s="3361"/>
      <c r="V126" s="1338" t="s">
        <v>1399</v>
      </c>
      <c r="W126" s="1288">
        <v>0</v>
      </c>
      <c r="X126" s="1289">
        <v>0</v>
      </c>
      <c r="Y126" s="1289">
        <v>0</v>
      </c>
      <c r="Z126"/>
      <c r="AA126" s="3293"/>
      <c r="AB126"/>
      <c r="AC126"/>
      <c r="AD126"/>
      <c r="AE126"/>
      <c r="AF126"/>
      <c r="AG126"/>
      <c r="AH126"/>
      <c r="AI126"/>
      <c r="AJ126"/>
      <c r="AK126"/>
      <c r="AL126"/>
      <c r="AM126"/>
      <c r="AN126"/>
      <c r="AO126"/>
      <c r="AP126" s="3396"/>
      <c r="AQ126" s="3167"/>
      <c r="AR126"/>
      <c r="AS126"/>
      <c r="AT126"/>
      <c r="AU126"/>
      <c r="AV126"/>
      <c r="AW126"/>
      <c r="AX126"/>
      <c r="AY126"/>
      <c r="AZ126" s="3396"/>
      <c r="BA126"/>
      <c r="BB126"/>
      <c r="BC126" s="3404"/>
      <c r="BD126" s="3396"/>
      <c r="BE126" s="3396"/>
      <c r="BF126"/>
      <c r="BG126"/>
      <c r="BH126"/>
      <c r="BI126"/>
      <c r="BJ126"/>
    </row>
    <row r="127" spans="1:68" ht="33.75" customHeight="1">
      <c r="A127" s="1208"/>
      <c r="B127" s="1341">
        <v>15</v>
      </c>
      <c r="C127" s="547" t="s">
        <v>1400</v>
      </c>
      <c r="D127" s="547"/>
      <c r="E127" s="547"/>
      <c r="F127" s="547"/>
      <c r="G127" s="48"/>
      <c r="H127" s="48"/>
      <c r="I127" s="48"/>
      <c r="J127" s="769"/>
      <c r="K127" s="49"/>
      <c r="L127" s="50"/>
      <c r="M127" s="50"/>
      <c r="N127" s="796"/>
      <c r="O127" s="49"/>
      <c r="P127" s="50"/>
      <c r="Q127" s="49"/>
      <c r="R127" s="50"/>
      <c r="S127" s="49"/>
      <c r="T127" s="49"/>
      <c r="U127" s="49"/>
      <c r="V127" s="49"/>
      <c r="W127" s="1232"/>
      <c r="X127" s="1233"/>
      <c r="Y127" s="1377"/>
      <c r="Z127" s="1234"/>
      <c r="AA127" s="49"/>
      <c r="AB127" s="49"/>
      <c r="AC127" s="1206"/>
      <c r="AD127" s="49"/>
      <c r="AE127" s="1206"/>
      <c r="AF127" s="49"/>
      <c r="AG127" s="1206"/>
      <c r="AH127" s="49"/>
      <c r="AI127" s="1206"/>
      <c r="AJ127" s="49"/>
      <c r="AK127" s="1206"/>
      <c r="AL127" s="49"/>
      <c r="AM127" s="1206"/>
      <c r="AN127" s="49"/>
      <c r="AO127" s="1206"/>
      <c r="AP127" s="49"/>
      <c r="AQ127" s="1206"/>
      <c r="AR127" s="49"/>
      <c r="AS127" s="1206"/>
      <c r="AT127" s="49"/>
      <c r="AU127" s="1206"/>
      <c r="AV127" s="49"/>
      <c r="AW127" s="1206"/>
      <c r="AX127" s="49"/>
      <c r="AY127" s="1206"/>
      <c r="AZ127" s="49"/>
      <c r="BA127" s="2051"/>
      <c r="BB127" s="2051"/>
      <c r="BC127" s="1235"/>
      <c r="BD127" s="49"/>
      <c r="BE127" s="49"/>
      <c r="BF127" s="48"/>
      <c r="BG127" s="170"/>
      <c r="BH127" s="48"/>
      <c r="BI127" s="170"/>
      <c r="BJ127" s="828"/>
      <c r="BK127" s="1"/>
      <c r="BL127" s="1"/>
      <c r="BM127" s="1"/>
      <c r="BN127" s="1"/>
      <c r="BO127" s="1"/>
      <c r="BP127" s="1"/>
    </row>
    <row r="128" spans="1:68" ht="34.5" customHeight="1">
      <c r="A128" s="1208"/>
      <c r="B128" s="1209"/>
      <c r="C128" s="1210"/>
      <c r="D128" s="1210"/>
      <c r="E128" s="1210"/>
      <c r="F128" s="1211"/>
      <c r="G128" s="1212">
        <v>55</v>
      </c>
      <c r="H128" s="51" t="s">
        <v>1401</v>
      </c>
      <c r="I128" s="51"/>
      <c r="J128" s="1759"/>
      <c r="K128" s="476"/>
      <c r="L128" s="2030"/>
      <c r="M128" s="2030"/>
      <c r="N128" s="799"/>
      <c r="O128" s="476"/>
      <c r="P128" s="2030"/>
      <c r="Q128" s="476"/>
      <c r="R128" s="2030"/>
      <c r="S128" s="476"/>
      <c r="T128" s="476"/>
      <c r="U128" s="476"/>
      <c r="V128" s="476"/>
      <c r="W128" s="476"/>
      <c r="X128" s="1213"/>
      <c r="Y128" s="1213"/>
      <c r="Z128" s="2029"/>
      <c r="AA128" s="476"/>
      <c r="AB128" s="476"/>
      <c r="AC128" s="1213"/>
      <c r="AD128" s="476"/>
      <c r="AE128" s="1213"/>
      <c r="AF128" s="476"/>
      <c r="AG128" s="1213"/>
      <c r="AH128" s="476"/>
      <c r="AI128" s="1213"/>
      <c r="AJ128" s="476"/>
      <c r="AK128" s="1213"/>
      <c r="AL128" s="476"/>
      <c r="AM128" s="1213"/>
      <c r="AN128" s="476"/>
      <c r="AO128" s="1213"/>
      <c r="AP128" s="476"/>
      <c r="AQ128" s="1213"/>
      <c r="AR128" s="476"/>
      <c r="AS128" s="1213"/>
      <c r="AT128" s="476"/>
      <c r="AU128" s="1213"/>
      <c r="AV128" s="476"/>
      <c r="AW128" s="1213"/>
      <c r="AX128" s="476"/>
      <c r="AY128" s="1213"/>
      <c r="AZ128" s="476"/>
      <c r="BA128" s="2052"/>
      <c r="BB128" s="2052"/>
      <c r="BC128" s="1236"/>
      <c r="BD128" s="476"/>
      <c r="BE128" s="476"/>
      <c r="BF128" s="476"/>
      <c r="BG128" s="1213"/>
      <c r="BH128" s="51"/>
      <c r="BI128" s="475"/>
      <c r="BJ128" s="819"/>
      <c r="BK128" s="1"/>
      <c r="BL128" s="1"/>
      <c r="BM128" s="1"/>
      <c r="BN128" s="1"/>
      <c r="BO128" s="1"/>
      <c r="BP128" s="1"/>
    </row>
    <row r="129" spans="1:68" ht="92.25" customHeight="1">
      <c r="A129" s="546"/>
      <c r="B129" s="1241"/>
      <c r="C129" s="545"/>
      <c r="D129" s="545"/>
      <c r="E129" s="545"/>
      <c r="F129" s="1242"/>
      <c r="G129" s="1243"/>
      <c r="H129" s="1243"/>
      <c r="I129" s="1244"/>
      <c r="J129" s="2823">
        <v>177</v>
      </c>
      <c r="K129" s="1959" t="s">
        <v>1402</v>
      </c>
      <c r="L129" s="1970" t="s">
        <v>248</v>
      </c>
      <c r="M129" s="1970">
        <v>2</v>
      </c>
      <c r="N129" s="2827">
        <v>2</v>
      </c>
      <c r="O129" s="2910" t="s">
        <v>1403</v>
      </c>
      <c r="P129" s="2905">
        <v>160</v>
      </c>
      <c r="Q129" s="3359" t="s">
        <v>1404</v>
      </c>
      <c r="R129" s="1993">
        <v>0.1</v>
      </c>
      <c r="S129">
        <v>160772000</v>
      </c>
      <c r="T129" s="2910" t="s">
        <v>1405</v>
      </c>
      <c r="U129" s="3359" t="s">
        <v>1406</v>
      </c>
      <c r="V129" s="837" t="s">
        <v>1407</v>
      </c>
      <c r="W129" s="1378">
        <v>0</v>
      </c>
      <c r="X129" s="1379">
        <v>0</v>
      </c>
      <c r="Y129" s="1379">
        <v>0</v>
      </c>
      <c r="Z129" t="s">
        <v>1408</v>
      </c>
      <c r="AA129" s="2910" t="s">
        <v>1342</v>
      </c>
      <c r="AB129" s="3395">
        <v>64149</v>
      </c>
      <c r="AC129" s="3131">
        <f>SUM(AB129*0.9)</f>
        <v>57734.1</v>
      </c>
      <c r="AD129" s="3395">
        <v>72224</v>
      </c>
      <c r="AE129" s="3131">
        <f>SUM(AD129*0.9)</f>
        <v>65001.6</v>
      </c>
      <c r="AF129" s="3395">
        <v>27477</v>
      </c>
      <c r="AG129" s="3131">
        <f>SUM(AF129*0.9)</f>
        <v>24729.3</v>
      </c>
      <c r="AH129" s="3395">
        <v>86843</v>
      </c>
      <c r="AI129" s="3131">
        <f>SUM(AH129*0.9)</f>
        <v>78158.7</v>
      </c>
      <c r="AJ129" s="3395">
        <v>236429</v>
      </c>
      <c r="AK129" s="3131">
        <f>SUM(AJ129*0.9)</f>
        <v>212786.1</v>
      </c>
      <c r="AL129" s="3395">
        <v>75612</v>
      </c>
      <c r="AM129" s="3131">
        <f>SUM(AL129*0.9)</f>
        <v>68050.8</v>
      </c>
      <c r="AN129" s="3395">
        <v>13208</v>
      </c>
      <c r="AO129" s="3131">
        <f>SUM(AN129*0.9)</f>
        <v>11887.2</v>
      </c>
      <c r="AP129" s="3395">
        <v>2145</v>
      </c>
      <c r="AQ129" s="3131">
        <f>SUM(AP129*0.9)</f>
        <v>1930.5</v>
      </c>
      <c r="AR129" s="3395">
        <v>413</v>
      </c>
      <c r="AS129" s="3131">
        <f>SUM(AR129*0.9)</f>
        <v>371.7</v>
      </c>
      <c r="AT129" s="3395">
        <v>520</v>
      </c>
      <c r="AU129" s="3131">
        <f>SUM(AT129*0.9)</f>
        <v>468</v>
      </c>
      <c r="AV129" s="3395">
        <v>16897</v>
      </c>
      <c r="AW129" s="3131">
        <f>SUM(AV129*0.9)</f>
        <v>15207.300000000001</v>
      </c>
      <c r="AX129" s="3395">
        <v>75612</v>
      </c>
      <c r="AY129" s="3131">
        <f>SUM(AX129*0.9)</f>
        <v>68050.8</v>
      </c>
      <c r="AZ129" s="3395">
        <v>17</v>
      </c>
      <c r="BA129">
        <f>SUM(X129:X135)</f>
        <v>144268662</v>
      </c>
      <c r="BB129">
        <f>SUM(Y129:Y135)</f>
        <v>144268662</v>
      </c>
      <c r="BC129" s="3403">
        <f>BB129/BA129</f>
        <v>1</v>
      </c>
      <c r="BD129" s="3395" t="s">
        <v>1408</v>
      </c>
      <c r="BE129" t="s">
        <v>1409</v>
      </c>
      <c r="BF129" s="3385">
        <v>42583</v>
      </c>
      <c r="BG129" s="2883">
        <v>42583</v>
      </c>
      <c r="BH129" s="3385">
        <v>42735</v>
      </c>
      <c r="BI129">
        <v>42735</v>
      </c>
      <c r="BJ129" t="s">
        <v>1100</v>
      </c>
      <c r="BK129" s="1"/>
      <c r="BL129" s="1"/>
      <c r="BM129" s="1"/>
      <c r="BN129" s="1"/>
      <c r="BO129" s="1"/>
      <c r="BP129" s="1"/>
    </row>
    <row r="130" spans="1:62" ht="84.75" customHeight="1">
      <c r="A130" s="546"/>
      <c r="B130" s="1241"/>
      <c r="C130" s="545"/>
      <c r="D130" s="545"/>
      <c r="E130" s="545"/>
      <c r="F130" s="1242"/>
      <c r="G130" s="545"/>
      <c r="H130" s="545"/>
      <c r="I130" s="1242"/>
      <c r="J130" s="3012">
        <v>178</v>
      </c>
      <c r="K130" s="3359" t="s">
        <v>1410</v>
      </c>
      <c r="L130" s="3012" t="s">
        <v>248</v>
      </c>
      <c r="M130" s="3012">
        <v>3</v>
      </c>
      <c r="N130">
        <v>3</v>
      </c>
      <c r="O130" s="3292"/>
      <c r="P130" s="2906"/>
      <c r="Q130" s="3360"/>
      <c r="R130" s="3403">
        <v>0.8</v>
      </c>
      <c r="S130"/>
      <c r="T130" s="3292"/>
      <c r="U130" s="3360"/>
      <c r="V130" s="2090" t="s">
        <v>1411</v>
      </c>
      <c r="W130" s="2023">
        <v>95000000</v>
      </c>
      <c r="X130" s="1223">
        <v>86763333</v>
      </c>
      <c r="Y130" s="1223">
        <v>86763333</v>
      </c>
      <c r="Z130"/>
      <c r="AA130" s="3292"/>
      <c r="AB130"/>
      <c r="AC130" s="3132"/>
      <c r="AD130"/>
      <c r="AE130" s="3132"/>
      <c r="AF130"/>
      <c r="AG130" s="3132"/>
      <c r="AH130"/>
      <c r="AI130" s="3132"/>
      <c r="AJ130"/>
      <c r="AK130" s="3132"/>
      <c r="AL130"/>
      <c r="AM130" s="3132"/>
      <c r="AN130"/>
      <c r="AO130" s="3132"/>
      <c r="AP130"/>
      <c r="AQ130" s="3132"/>
      <c r="AR130"/>
      <c r="AS130" s="3132"/>
      <c r="AT130"/>
      <c r="AU130" s="3132"/>
      <c r="AV130"/>
      <c r="AW130" s="3132"/>
      <c r="AX130"/>
      <c r="AY130" s="3132"/>
      <c r="AZ130"/>
      <c r="BA130"/>
      <c r="BB130"/>
      <c r="BC130" s="3544"/>
      <c r="BD130"/>
      <c r="BE130"/>
      <c r="BF130" s="3386"/>
      <c r="BG130" s="2884"/>
      <c r="BH130" s="3386"/>
      <c r="BI130"/>
      <c r="BJ130"/>
    </row>
    <row r="131" spans="1:62" ht="69" customHeight="1">
      <c r="A131" s="546"/>
      <c r="B131" s="1241"/>
      <c r="C131" s="545"/>
      <c r="D131" s="545"/>
      <c r="E131" s="545"/>
      <c r="F131" s="1242"/>
      <c r="G131" s="545"/>
      <c r="H131" s="545"/>
      <c r="I131" s="1242"/>
      <c r="J131" s="3013"/>
      <c r="K131" s="3360"/>
      <c r="L131" s="3013"/>
      <c r="M131" s="3013"/>
      <c r="N131"/>
      <c r="O131" s="3292"/>
      <c r="P131" s="2906"/>
      <c r="Q131" s="3360"/>
      <c r="R131" s="3544"/>
      <c r="S131"/>
      <c r="T131" s="3292"/>
      <c r="U131" s="3360"/>
      <c r="V131" s="2094" t="s">
        <v>1412</v>
      </c>
      <c r="W131" s="1297">
        <v>9600000</v>
      </c>
      <c r="X131" s="1223">
        <v>6250000</v>
      </c>
      <c r="Y131" s="1223">
        <v>6250000</v>
      </c>
      <c r="Z131"/>
      <c r="AA131" s="3292"/>
      <c r="AB131"/>
      <c r="AC131" s="3132"/>
      <c r="AD131"/>
      <c r="AE131" s="3132"/>
      <c r="AF131"/>
      <c r="AG131" s="3132"/>
      <c r="AH131"/>
      <c r="AI131" s="3132"/>
      <c r="AJ131"/>
      <c r="AK131" s="3132"/>
      <c r="AL131"/>
      <c r="AM131" s="3132"/>
      <c r="AN131"/>
      <c r="AO131" s="3132"/>
      <c r="AP131"/>
      <c r="AQ131" s="3132"/>
      <c r="AR131"/>
      <c r="AS131" s="3132"/>
      <c r="AT131"/>
      <c r="AU131" s="3132"/>
      <c r="AV131"/>
      <c r="AW131" s="3132"/>
      <c r="AX131"/>
      <c r="AY131" s="3132"/>
      <c r="AZ131"/>
      <c r="BA131"/>
      <c r="BB131"/>
      <c r="BC131" s="3544"/>
      <c r="BD131"/>
      <c r="BE131"/>
      <c r="BF131" s="3386"/>
      <c r="BG131" s="2884"/>
      <c r="BH131" s="3386"/>
      <c r="BI131"/>
      <c r="BJ131"/>
    </row>
    <row r="132" spans="1:62" ht="134.25" customHeight="1">
      <c r="A132" s="546"/>
      <c r="B132" s="1241"/>
      <c r="C132" s="545"/>
      <c r="D132" s="545"/>
      <c r="E132" s="545"/>
      <c r="F132" s="1242"/>
      <c r="G132" s="545"/>
      <c r="H132" s="545"/>
      <c r="I132" s="1242"/>
      <c r="J132" s="3013"/>
      <c r="K132" s="3360"/>
      <c r="L132" s="3013"/>
      <c r="M132" s="3013"/>
      <c r="N132"/>
      <c r="O132" s="3292"/>
      <c r="P132" s="2906"/>
      <c r="Q132" s="3360"/>
      <c r="R132" s="3544"/>
      <c r="S132"/>
      <c r="T132" s="3292"/>
      <c r="U132" s="3360"/>
      <c r="V132" s="2094" t="s">
        <v>1413</v>
      </c>
      <c r="W132" s="1297">
        <v>9972000</v>
      </c>
      <c r="X132" s="1223">
        <v>9972000</v>
      </c>
      <c r="Y132" s="1223">
        <v>9972000</v>
      </c>
      <c r="Z132"/>
      <c r="AA132" s="3292"/>
      <c r="AB132"/>
      <c r="AC132" s="3132"/>
      <c r="AD132"/>
      <c r="AE132" s="3132"/>
      <c r="AF132"/>
      <c r="AG132" s="3132"/>
      <c r="AH132"/>
      <c r="AI132" s="3132"/>
      <c r="AJ132"/>
      <c r="AK132" s="3132"/>
      <c r="AL132"/>
      <c r="AM132" s="3132"/>
      <c r="AN132"/>
      <c r="AO132" s="3132"/>
      <c r="AP132"/>
      <c r="AQ132" s="3132"/>
      <c r="AR132"/>
      <c r="AS132" s="3132"/>
      <c r="AT132"/>
      <c r="AU132" s="3132"/>
      <c r="AV132"/>
      <c r="AW132" s="3132"/>
      <c r="AX132"/>
      <c r="AY132" s="3132"/>
      <c r="AZ132"/>
      <c r="BA132"/>
      <c r="BB132"/>
      <c r="BC132" s="3544"/>
      <c r="BD132"/>
      <c r="BE132"/>
      <c r="BF132" s="3386"/>
      <c r="BG132" s="2884"/>
      <c r="BH132" s="3386"/>
      <c r="BI132"/>
      <c r="BJ132"/>
    </row>
    <row r="133" spans="1:62" ht="90.75" customHeight="1">
      <c r="A133" s="546"/>
      <c r="B133" s="1241"/>
      <c r="C133" s="545"/>
      <c r="D133" s="545"/>
      <c r="E133" s="545"/>
      <c r="F133" s="1242"/>
      <c r="G133" s="545"/>
      <c r="H133" s="545"/>
      <c r="I133" s="1242"/>
      <c r="J133" s="3013"/>
      <c r="K133" s="3360"/>
      <c r="L133" s="3013"/>
      <c r="M133" s="3013"/>
      <c r="N133"/>
      <c r="O133" s="3292"/>
      <c r="P133" s="2906"/>
      <c r="Q133" s="3360"/>
      <c r="R133" s="3544"/>
      <c r="S133"/>
      <c r="T133" s="3292"/>
      <c r="U133" s="3360"/>
      <c r="V133" s="2094" t="s">
        <v>1414</v>
      </c>
      <c r="W133" s="1297">
        <v>19200000</v>
      </c>
      <c r="X133" s="1223">
        <v>18200000</v>
      </c>
      <c r="Y133" s="1223">
        <v>18200000</v>
      </c>
      <c r="Z133"/>
      <c r="AA133" s="3292"/>
      <c r="AB133"/>
      <c r="AC133" s="3132"/>
      <c r="AD133"/>
      <c r="AE133" s="3132"/>
      <c r="AF133"/>
      <c r="AG133" s="3132"/>
      <c r="AH133"/>
      <c r="AI133" s="3132"/>
      <c r="AJ133"/>
      <c r="AK133" s="3132"/>
      <c r="AL133"/>
      <c r="AM133" s="3132"/>
      <c r="AN133"/>
      <c r="AO133" s="3132"/>
      <c r="AP133"/>
      <c r="AQ133" s="3132"/>
      <c r="AR133"/>
      <c r="AS133" s="3132"/>
      <c r="AT133"/>
      <c r="AU133" s="3132"/>
      <c r="AV133"/>
      <c r="AW133" s="3132"/>
      <c r="AX133"/>
      <c r="AY133" s="3132"/>
      <c r="AZ133"/>
      <c r="BA133"/>
      <c r="BB133"/>
      <c r="BC133" s="3544"/>
      <c r="BD133"/>
      <c r="BE133"/>
      <c r="BF133" s="3386"/>
      <c r="BG133" s="2884"/>
      <c r="BH133" s="3386"/>
      <c r="BI133"/>
      <c r="BJ133"/>
    </row>
    <row r="134" spans="1:62" ht="86.25" customHeight="1">
      <c r="A134" s="546"/>
      <c r="B134" s="1241"/>
      <c r="C134" s="545"/>
      <c r="D134" s="545"/>
      <c r="E134" s="545"/>
      <c r="F134" s="1242"/>
      <c r="G134" s="545"/>
      <c r="H134" s="545"/>
      <c r="I134" s="1242"/>
      <c r="J134" s="3014"/>
      <c r="K134" s="3361"/>
      <c r="L134" s="3014"/>
      <c r="M134" s="3014"/>
      <c r="N134"/>
      <c r="O134" s="3292"/>
      <c r="P134" s="2906"/>
      <c r="Q134" s="3360"/>
      <c r="R134" s="3404"/>
      <c r="S134"/>
      <c r="T134" s="3292"/>
      <c r="U134" s="3360"/>
      <c r="V134" s="2089" t="s">
        <v>1415</v>
      </c>
      <c r="W134" s="2022">
        <v>27000000</v>
      </c>
      <c r="X134" s="1223">
        <v>23083329</v>
      </c>
      <c r="Y134" s="1223">
        <v>23083329</v>
      </c>
      <c r="Z134"/>
      <c r="AA134" s="3292"/>
      <c r="AB134"/>
      <c r="AC134" s="3132"/>
      <c r="AD134"/>
      <c r="AE134" s="3132"/>
      <c r="AF134"/>
      <c r="AG134" s="3132"/>
      <c r="AH134"/>
      <c r="AI134" s="3132"/>
      <c r="AJ134"/>
      <c r="AK134" s="3132"/>
      <c r="AL134"/>
      <c r="AM134" s="3132"/>
      <c r="AN134"/>
      <c r="AO134" s="3132"/>
      <c r="AP134"/>
      <c r="AQ134" s="3132"/>
      <c r="AR134"/>
      <c r="AS134" s="3132"/>
      <c r="AT134"/>
      <c r="AU134" s="3132"/>
      <c r="AV134"/>
      <c r="AW134" s="3132"/>
      <c r="AX134"/>
      <c r="AY134" s="3132"/>
      <c r="AZ134"/>
      <c r="BA134"/>
      <c r="BB134"/>
      <c r="BC134" s="3544"/>
      <c r="BD134"/>
      <c r="BE134"/>
      <c r="BF134" s="3386"/>
      <c r="BG134" s="2884"/>
      <c r="BH134" s="3386"/>
      <c r="BI134"/>
      <c r="BJ134"/>
    </row>
    <row r="135" spans="1:62" ht="64.5" customHeight="1" thickBot="1">
      <c r="A135" s="546"/>
      <c r="B135" s="1241"/>
      <c r="C135" s="545"/>
      <c r="D135" s="545"/>
      <c r="E135" s="545"/>
      <c r="F135" s="1242"/>
      <c r="G135" s="545"/>
      <c r="H135" s="545"/>
      <c r="I135" s="1242"/>
      <c r="J135" s="2822">
        <v>179</v>
      </c>
      <c r="K135" s="2605" t="s">
        <v>1416</v>
      </c>
      <c r="L135" s="2595" t="s">
        <v>248</v>
      </c>
      <c r="M135" s="2595">
        <v>4</v>
      </c>
      <c r="N135" s="2825">
        <v>4</v>
      </c>
      <c r="O135" s="3292"/>
      <c r="P135" s="2906"/>
      <c r="Q135" s="3360"/>
      <c r="R135" s="2606">
        <v>0.1</v>
      </c>
      <c r="S135"/>
      <c r="T135" s="3292"/>
      <c r="U135" s="3360"/>
      <c r="V135" s="2605" t="s">
        <v>1417</v>
      </c>
      <c r="W135" s="2619">
        <v>0</v>
      </c>
      <c r="X135" s="1374">
        <v>0</v>
      </c>
      <c r="Y135" s="1374">
        <v>0</v>
      </c>
      <c r="Z135"/>
      <c r="AA135" s="3292"/>
      <c r="AB135"/>
      <c r="AC135" s="3132"/>
      <c r="AD135"/>
      <c r="AE135" s="3132"/>
      <c r="AF135"/>
      <c r="AG135" s="3132"/>
      <c r="AH135"/>
      <c r="AI135" s="3132"/>
      <c r="AJ135"/>
      <c r="AK135" s="3132"/>
      <c r="AL135"/>
      <c r="AM135" s="3132"/>
      <c r="AN135"/>
      <c r="AO135" s="3132"/>
      <c r="AP135"/>
      <c r="AQ135" s="3132"/>
      <c r="AR135"/>
      <c r="AS135" s="3132"/>
      <c r="AT135"/>
      <c r="AU135" s="3132"/>
      <c r="AV135"/>
      <c r="AW135" s="3132"/>
      <c r="AX135"/>
      <c r="AY135" s="3132"/>
      <c r="AZ135"/>
      <c r="BA135"/>
      <c r="BB135"/>
      <c r="BC135" s="3544"/>
      <c r="BD135"/>
      <c r="BE135"/>
      <c r="BF135" s="3386"/>
      <c r="BG135" s="2884"/>
      <c r="BH135" s="3386"/>
      <c r="BI135"/>
      <c r="BJ135" s="3409"/>
    </row>
    <row r="136" spans="1:62" ht="3" customHeight="1">
      <c r="A136" s="2756"/>
      <c r="B136" s="2757"/>
      <c r="C136" s="2757"/>
      <c r="D136" s="2757"/>
      <c r="E136" s="2757"/>
      <c r="F136" s="2757"/>
      <c r="G136" s="2757"/>
      <c r="H136" s="2757"/>
      <c r="I136" s="2757"/>
      <c r="J136" s="2763"/>
      <c r="K136" s="2757"/>
      <c r="L136" s="2757"/>
      <c r="M136" s="2757"/>
      <c r="N136" s="2863"/>
      <c r="O136" s="2757"/>
      <c r="P136" s="2758"/>
      <c r="Q136" s="2759"/>
      <c r="R136" s="2757"/>
      <c r="S136" s="2757" t="s">
        <v>40</v>
      </c>
      <c r="T136" s="2757"/>
      <c r="U136" s="2757"/>
      <c r="V136" s="2760"/>
      <c r="W136" s="2759"/>
      <c r="X136" s="2761"/>
      <c r="Y136" s="2761"/>
      <c r="Z136" s="2762"/>
      <c r="AA136" s="2763"/>
      <c r="AB136" s="2764"/>
      <c r="AC136" s="2765"/>
      <c r="AD136" s="2764"/>
      <c r="AE136" s="2765"/>
      <c r="AF136" s="2764"/>
      <c r="AG136" s="2765"/>
      <c r="AH136" s="2764"/>
      <c r="AI136" s="2765"/>
      <c r="AJ136" s="2764"/>
      <c r="AK136" s="2765"/>
      <c r="AL136" s="2764"/>
      <c r="AM136" s="2765"/>
      <c r="AN136" s="2764"/>
      <c r="AO136" s="2765"/>
      <c r="AP136" s="2764"/>
      <c r="AQ136" s="2765"/>
      <c r="AR136" s="2764"/>
      <c r="AS136" s="2765"/>
      <c r="AT136" s="2764"/>
      <c r="AU136" s="2765"/>
      <c r="AV136" s="2764"/>
      <c r="AW136" s="2765"/>
      <c r="AX136" s="2764"/>
      <c r="AY136" s="2765"/>
      <c r="AZ136" s="2766"/>
      <c r="BA136" s="2767"/>
      <c r="BB136" s="2767"/>
      <c r="BC136" s="2768"/>
      <c r="BD136" s="2764"/>
      <c r="BE136" s="2764"/>
      <c r="BF136" s="2769"/>
      <c r="BG136" s="2770"/>
      <c r="BH136" s="2771"/>
      <c r="BI136" s="2772"/>
      <c r="BJ136" s="2773"/>
    </row>
    <row r="137" spans="1:62" ht="15.75" thickBot="1">
      <c r="A137" s="2774"/>
      <c r="B137" s="2775"/>
      <c r="C137" s="2775"/>
      <c r="D137" s="2775"/>
      <c r="E137" s="2775"/>
      <c r="F137" s="2775"/>
      <c r="G137" s="2775"/>
      <c r="H137" s="2775"/>
      <c r="I137" s="2775"/>
      <c r="J137" s="2869"/>
      <c r="K137" s="2775"/>
      <c r="L137" s="2775"/>
      <c r="M137" s="2775"/>
      <c r="N137" s="2864"/>
      <c r="O137" s="2775"/>
      <c r="P137" s="2776"/>
      <c r="Q137" s="2775"/>
      <c r="R137" s="2775"/>
      <c r="S137" s="2777">
        <f>SUM(S17:S135)</f>
        <v>43516923132</v>
      </c>
      <c r="T137" s="2526"/>
      <c r="U137" s="2526"/>
      <c r="V137" s="2526"/>
      <c r="W137" s="2778">
        <f>SUM(W17:W135)</f>
        <v>43516923041.4</v>
      </c>
      <c r="X137" s="2779">
        <f>SUM(X17:X135)</f>
        <v>32613937305</v>
      </c>
      <c r="Y137" s="2779">
        <f>SUM(Y17:Y135)</f>
        <v>29624369321</v>
      </c>
      <c r="Z137" s="1852"/>
      <c r="AA137" s="2526"/>
      <c r="AB137" s="2780"/>
      <c r="AC137" s="2781"/>
      <c r="AD137" s="2780"/>
      <c r="AE137" s="2781"/>
      <c r="AF137" s="2780"/>
      <c r="AG137" s="2781"/>
      <c r="AH137" s="2780"/>
      <c r="AI137" s="2781"/>
      <c r="AJ137" s="2780"/>
      <c r="AK137" s="2781"/>
      <c r="AL137" s="2780"/>
      <c r="AM137" s="2781"/>
      <c r="AN137" s="2780"/>
      <c r="AO137" s="2781"/>
      <c r="AP137" s="2780"/>
      <c r="AQ137" s="2781"/>
      <c r="AR137" s="2780"/>
      <c r="AS137" s="2781"/>
      <c r="AT137" s="2780"/>
      <c r="AU137" s="2781"/>
      <c r="AV137" s="2780"/>
      <c r="AW137" s="2781"/>
      <c r="AX137" s="2780"/>
      <c r="AY137" s="2781"/>
      <c r="AZ137" s="2527"/>
      <c r="BA137" s="2782">
        <f>SUM(BA17:BA136)</f>
        <v>32613937305</v>
      </c>
      <c r="BB137" s="2782">
        <f>SUM(BB17:BB136)</f>
        <v>29624369321</v>
      </c>
      <c r="BC137" s="2783"/>
      <c r="BD137" s="2780"/>
      <c r="BE137" s="2780"/>
      <c r="BF137" s="893"/>
      <c r="BG137" s="894"/>
      <c r="BH137" s="2528"/>
      <c r="BI137" s="2784"/>
      <c r="BJ137" s="2529"/>
    </row>
    <row r="138" spans="1:62" ht="14.25">
      <c r="A138" s="477"/>
      <c r="B138" s="477"/>
      <c r="C138" s="477"/>
      <c r="D138" s="477"/>
      <c r="E138" s="477"/>
      <c r="F138" s="477"/>
      <c r="G138" s="477"/>
      <c r="H138" s="477"/>
      <c r="I138" s="477"/>
      <c r="J138" s="477"/>
      <c r="K138" s="2737"/>
      <c r="L138" s="2738"/>
      <c r="M138" s="2738"/>
      <c r="N138" s="2739"/>
      <c r="O138" s="2737"/>
      <c r="P138" s="2738"/>
      <c r="Q138" s="2737"/>
      <c r="R138" s="2738"/>
      <c r="S138" s="2737"/>
      <c r="T138" s="2737"/>
      <c r="U138" s="2737"/>
      <c r="V138" s="2737"/>
      <c r="W138" s="2740"/>
      <c r="X138" s="2741"/>
      <c r="Y138" s="2741"/>
      <c r="Z138" s="2738"/>
      <c r="AA138" s="2737"/>
      <c r="AB138" s="2742"/>
      <c r="AC138" s="2743"/>
      <c r="AD138" s="2742"/>
      <c r="AE138" s="2743"/>
      <c r="AF138" s="2742"/>
      <c r="AG138" s="2743"/>
      <c r="AH138" s="2742"/>
      <c r="AI138" s="2743"/>
      <c r="AJ138" s="2742"/>
      <c r="AK138" s="2743"/>
      <c r="AL138" s="2742"/>
      <c r="AM138" s="2743"/>
      <c r="AN138" s="2742"/>
      <c r="AO138" s="2743"/>
      <c r="AP138" s="2742"/>
      <c r="AQ138" s="2743"/>
      <c r="AR138" s="2742"/>
      <c r="AS138" s="2743"/>
      <c r="AT138" s="2742"/>
      <c r="AU138" s="2743"/>
      <c r="AV138" s="2742"/>
      <c r="AW138" s="2743"/>
      <c r="AX138" s="2742"/>
      <c r="AY138" s="2743"/>
      <c r="AZ138" s="477"/>
      <c r="BA138" s="2744"/>
      <c r="BB138" s="2744"/>
      <c r="BC138" s="2745"/>
      <c r="BD138" s="2742"/>
      <c r="BE138" s="2742"/>
      <c r="BF138" s="577"/>
      <c r="BG138" s="578"/>
      <c r="BH138" s="2746"/>
      <c r="BI138" s="209"/>
      <c r="BJ138" s="2747"/>
    </row>
    <row r="139" spans="1:62" ht="14.25">
      <c r="A139" s="477"/>
      <c r="B139" s="477"/>
      <c r="C139" s="477"/>
      <c r="D139" s="477"/>
      <c r="E139" s="477"/>
      <c r="F139" s="477"/>
      <c r="G139" s="477"/>
      <c r="H139" s="477"/>
      <c r="I139" s="477"/>
      <c r="J139" s="477"/>
      <c r="K139" s="2737"/>
      <c r="L139" s="2738"/>
      <c r="M139" s="2738"/>
      <c r="N139" s="2739"/>
      <c r="O139" s="2737"/>
      <c r="P139" s="2738"/>
      <c r="Q139" s="2737"/>
      <c r="R139" s="2738"/>
      <c r="S139" s="2737"/>
      <c r="T139" s="2737"/>
      <c r="U139" s="2737"/>
      <c r="V139" s="2737"/>
      <c r="W139" s="2737"/>
      <c r="X139" s="2748"/>
      <c r="Y139" s="2748"/>
      <c r="Z139" s="2738"/>
      <c r="AA139" s="2737"/>
      <c r="AB139" s="2742"/>
      <c r="AC139" s="2743"/>
      <c r="AD139" s="2742"/>
      <c r="AE139" s="2743"/>
      <c r="AF139" s="2742"/>
      <c r="AG139" s="2743"/>
      <c r="AH139" s="2742"/>
      <c r="AI139" s="2743"/>
      <c r="AJ139" s="2742"/>
      <c r="AK139" s="2743"/>
      <c r="AL139" s="2742"/>
      <c r="AM139" s="2743"/>
      <c r="AN139" s="2742"/>
      <c r="AO139" s="2743"/>
      <c r="AP139" s="2742"/>
      <c r="AQ139" s="2743"/>
      <c r="AR139" s="2742"/>
      <c r="AS139" s="2743"/>
      <c r="AT139" s="2742"/>
      <c r="AU139" s="2743"/>
      <c r="AV139" s="2742"/>
      <c r="AW139" s="2743"/>
      <c r="AX139" s="2742"/>
      <c r="AY139" s="2743"/>
      <c r="AZ139" s="477"/>
      <c r="BA139" s="2744"/>
      <c r="BB139" s="2744"/>
      <c r="BC139" s="2745"/>
      <c r="BD139" s="2742"/>
      <c r="BE139" s="2742"/>
      <c r="BF139" s="577"/>
      <c r="BG139" s="578"/>
      <c r="BH139" s="2746"/>
      <c r="BI139" s="209"/>
      <c r="BJ139" s="2747"/>
    </row>
    <row r="140" spans="1:62" ht="26.25" customHeight="1">
      <c r="A140" s="477"/>
      <c r="B140" s="477"/>
      <c r="C140" s="477"/>
      <c r="D140" s="477"/>
      <c r="E140" s="477"/>
      <c r="F140" s="477"/>
      <c r="G140" s="477"/>
      <c r="H140" s="477"/>
      <c r="I140" s="477"/>
      <c r="J140" s="477"/>
      <c r="K140" s="2737"/>
      <c r="L140" s="2738"/>
      <c r="M140" s="2738"/>
      <c r="N140" s="2739"/>
      <c r="O140" s="2737"/>
      <c r="P140" s="2738"/>
      <c r="Q140" s="2753"/>
      <c r="R140" s="2738"/>
      <c r="S140" s="2754"/>
      <c r="T140" s="2737"/>
      <c r="U140" s="2737"/>
      <c r="V140" s="2737"/>
      <c r="W140" s="2728"/>
      <c r="X140" s="2729"/>
      <c r="Y140" s="2730"/>
      <c r="Z140" s="2738"/>
      <c r="AA140" s="2737"/>
      <c r="AB140" s="2742"/>
      <c r="AC140" s="2743"/>
      <c r="AD140" s="2742"/>
      <c r="AE140" s="2743"/>
      <c r="AF140" s="2742"/>
      <c r="AG140" s="2743"/>
      <c r="AH140"/>
      <c r="AI140"/>
      <c r="AJ140"/>
      <c r="AK140"/>
      <c r="AL140"/>
      <c r="AM140"/>
      <c r="AN140"/>
      <c r="AO140"/>
      <c r="AP140"/>
      <c r="AQ140"/>
      <c r="AR140"/>
      <c r="AS140" s="2749"/>
      <c r="AT140" s="2742"/>
      <c r="AU140" s="2743"/>
      <c r="AV140" s="2742"/>
      <c r="AW140" s="2743"/>
      <c r="AX140" s="2742"/>
      <c r="AY140" s="2743"/>
      <c r="AZ140" s="477"/>
      <c r="BA140" s="2755"/>
      <c r="BB140" s="2755"/>
      <c r="BC140" s="2745"/>
      <c r="BD140" s="2742"/>
      <c r="BE140" s="2742"/>
      <c r="BF140" s="577"/>
      <c r="BG140" s="578"/>
      <c r="BH140" s="2746"/>
      <c r="BI140" s="209"/>
      <c r="BJ140" s="2747"/>
    </row>
    <row r="141" spans="1:62" ht="15">
      <c r="A141" s="477"/>
      <c r="B141" s="477"/>
      <c r="C141" t="s">
        <v>1418</v>
      </c>
      <c r="D141"/>
      <c r="E141"/>
      <c r="F141"/>
      <c r="G141"/>
      <c r="H141"/>
      <c r="I141"/>
      <c r="J141"/>
      <c r="K141" s="2737"/>
      <c r="L141" s="2738"/>
      <c r="M141" s="2738"/>
      <c r="N141" s="2739"/>
      <c r="O141" s="2737"/>
      <c r="P141" s="2738"/>
      <c r="Q141" s="2737"/>
      <c r="R141" s="2738"/>
      <c r="S141" s="2737"/>
      <c r="T141" s="2737"/>
      <c r="U141" s="2737"/>
      <c r="V141" s="2737"/>
      <c r="W141" s="2731"/>
      <c r="X141" s="2732"/>
      <c r="Y141" s="2732"/>
      <c r="Z141" s="2738"/>
      <c r="AA141" s="2737"/>
      <c r="AB141" s="2742"/>
      <c r="AC141" s="2743"/>
      <c r="AD141" s="2742"/>
      <c r="AE141" s="2743"/>
      <c r="AF141" s="2742"/>
      <c r="AG141" s="2743"/>
      <c r="AH141" s="2742"/>
      <c r="AI141" s="2743"/>
      <c r="AJ141" s="2742"/>
      <c r="AK141" s="2743"/>
      <c r="AL141" s="2742"/>
      <c r="AM141" s="2743"/>
      <c r="AN141" s="2742"/>
      <c r="AO141" s="2743"/>
      <c r="AP141" s="2742"/>
      <c r="AQ141" s="2743"/>
      <c r="AR141" s="2742"/>
      <c r="AS141" s="2743"/>
      <c r="AT141" s="2742"/>
      <c r="AU141" s="2743"/>
      <c r="AV141" s="2742"/>
      <c r="AW141" s="2743"/>
      <c r="AX141" s="2742"/>
      <c r="AY141" s="2743"/>
      <c r="AZ141" s="477"/>
      <c r="BA141" s="2744"/>
      <c r="BB141" s="2744"/>
      <c r="BC141" s="2745"/>
      <c r="BD141" s="2742"/>
      <c r="BE141" s="2742"/>
      <c r="BF141" s="577"/>
      <c r="BG141" s="578"/>
      <c r="BH141" s="2746"/>
      <c r="BI141" s="209"/>
      <c r="BJ141" s="2747"/>
    </row>
    <row r="142" spans="1:62" ht="15">
      <c r="A142" s="477"/>
      <c r="B142" s="477"/>
      <c r="C142" t="s">
        <v>1419</v>
      </c>
      <c r="D142"/>
      <c r="E142"/>
      <c r="F142"/>
      <c r="G142"/>
      <c r="H142"/>
      <c r="I142"/>
      <c r="J142"/>
      <c r="K142" s="2737"/>
      <c r="L142" s="2738"/>
      <c r="M142" s="2738"/>
      <c r="N142" s="2739"/>
      <c r="O142" s="2737"/>
      <c r="P142" s="2738"/>
      <c r="Q142" s="2737"/>
      <c r="R142" s="2738"/>
      <c r="S142" s="2750"/>
      <c r="T142" s="2737"/>
      <c r="U142" s="2737"/>
      <c r="V142" s="2737"/>
      <c r="W142" s="2733"/>
      <c r="X142" s="2734"/>
      <c r="Y142" s="2734"/>
      <c r="Z142" s="2738"/>
      <c r="AA142" s="2737"/>
      <c r="AB142" s="2742"/>
      <c r="AC142" s="2743"/>
      <c r="AD142" s="2742"/>
      <c r="AE142" s="2751"/>
      <c r="AF142" s="2742"/>
      <c r="AG142" s="2743"/>
      <c r="AH142" s="2742"/>
      <c r="AI142" s="2743"/>
      <c r="AJ142" s="2752"/>
      <c r="AK142" s="2743"/>
      <c r="AL142" s="2742"/>
      <c r="AM142" s="2743"/>
      <c r="AN142" s="2742"/>
      <c r="AO142" s="2743"/>
      <c r="AP142" s="2742"/>
      <c r="AQ142" s="2743"/>
      <c r="AR142" s="2742"/>
      <c r="AS142" s="2743"/>
      <c r="AT142" s="2742"/>
      <c r="AU142" s="2743"/>
      <c r="AV142" s="2742"/>
      <c r="AW142" s="2743"/>
      <c r="AX142" s="2742"/>
      <c r="AY142" s="2743"/>
      <c r="AZ142" s="477"/>
      <c r="BA142" s="2744"/>
      <c r="BB142" s="2744"/>
      <c r="BC142" s="2745"/>
      <c r="BD142" s="2742"/>
      <c r="BE142" s="2742"/>
      <c r="BF142" s="577"/>
      <c r="BG142" s="578"/>
      <c r="BH142" s="2746"/>
      <c r="BI142" s="209"/>
      <c r="BJ142" s="2747"/>
    </row>
    <row r="143" spans="1:62" ht="30.75" customHeight="1">
      <c r="A143" s="477"/>
      <c r="B143" s="477"/>
      <c r="C143" s="477"/>
      <c r="D143" s="477"/>
      <c r="E143" s="477"/>
      <c r="F143" s="477"/>
      <c r="G143" s="477"/>
      <c r="H143" s="477"/>
      <c r="I143" s="477"/>
      <c r="J143" s="477"/>
      <c r="K143" s="2737"/>
      <c r="L143" s="2738"/>
      <c r="M143" s="2738"/>
      <c r="N143" s="2739"/>
      <c r="O143" s="2737"/>
      <c r="P143" s="2738"/>
      <c r="Q143" s="2753"/>
      <c r="R143" s="2738"/>
      <c r="S143" s="2289"/>
      <c r="T143" s="2737"/>
      <c r="U143" s="2737"/>
      <c r="V143" s="2737"/>
      <c r="W143" s="477"/>
      <c r="X143" s="1382"/>
      <c r="Y143" s="1382"/>
      <c r="Z143" s="477"/>
      <c r="AA143" s="477"/>
      <c r="AB143" s="2742"/>
      <c r="AC143" s="2743"/>
      <c r="AD143" s="2742"/>
      <c r="AE143" s="2743"/>
      <c r="AF143" s="2742"/>
      <c r="AG143" s="2743"/>
      <c r="AH143" s="2742"/>
      <c r="AI143" s="2743"/>
      <c r="AJ143" s="2742"/>
      <c r="AK143" s="2743"/>
      <c r="AL143" s="2742"/>
      <c r="AM143" s="2743"/>
      <c r="AN143" s="2742"/>
      <c r="AO143" s="2743"/>
      <c r="AP143" s="2742"/>
      <c r="AQ143" s="2743"/>
      <c r="AR143" s="2742"/>
      <c r="AS143" s="2743"/>
      <c r="AT143" s="2742"/>
      <c r="AU143" s="2743"/>
      <c r="AV143" s="2742"/>
      <c r="AW143" s="2743"/>
      <c r="AX143" s="2745"/>
      <c r="AY143" s="2743"/>
      <c r="AZ143" s="477"/>
      <c r="BA143" s="2744"/>
      <c r="BB143" s="2744"/>
      <c r="BC143" s="2746"/>
      <c r="BD143" s="2746"/>
      <c r="BE143" s="2747"/>
      <c r="BF143" s="477"/>
      <c r="BG143" s="1382"/>
      <c r="BH143" s="477"/>
      <c r="BI143" s="1382"/>
      <c r="BJ143" s="477"/>
    </row>
    <row r="144" spans="23:62" ht="14.25">
      <c r="W144" s="4"/>
      <c r="X144" s="125"/>
      <c r="Y144" s="125"/>
      <c r="Z144" s="4"/>
      <c r="AA144" s="4"/>
      <c r="AJ144" s="1383"/>
      <c r="AX144" s="1381"/>
      <c r="BC144" s="22"/>
      <c r="BD144" s="22"/>
      <c r="BE144" s="223"/>
      <c r="BF144" s="477"/>
      <c r="BG144" s="1382"/>
      <c r="BH144" s="2"/>
      <c r="BI144" s="574"/>
      <c r="BJ144" s="2"/>
    </row>
    <row r="145" spans="23:62" ht="14.25">
      <c r="W145" s="4"/>
      <c r="X145" s="125"/>
      <c r="Y145" s="125"/>
      <c r="Z145" s="4"/>
      <c r="AA145" s="4"/>
      <c r="AX145" s="1381"/>
      <c r="BC145" s="22"/>
      <c r="BD145" s="22"/>
      <c r="BE145" s="223"/>
      <c r="BF145" s="477"/>
      <c r="BG145" s="1382"/>
      <c r="BH145" s="2"/>
      <c r="BI145" s="574"/>
      <c r="BJ145" s="2"/>
    </row>
    <row r="146" spans="17:62" ht="14.25">
      <c r="Q146" s="2065"/>
      <c r="R146" s="1947"/>
      <c r="S146" s="2066"/>
      <c r="T146" s="1948"/>
      <c r="W146" s="4"/>
      <c r="X146" s="125"/>
      <c r="Y146" s="125"/>
      <c r="Z146" s="4"/>
      <c r="AA146" s="4"/>
      <c r="AX146" s="1381"/>
      <c r="BC146" s="22"/>
      <c r="BD146" s="22"/>
      <c r="BE146" s="223"/>
      <c r="BF146" s="477"/>
      <c r="BG146" s="1382"/>
      <c r="BH146" s="2"/>
      <c r="BI146" s="574"/>
      <c r="BJ146" s="2"/>
    </row>
  </sheetData>
  <sheetProtection/>
  <mergeCells count="1205">
    <mergeCell ref="Q5:BJ5"/>
    <mergeCell ref="C142:J142"/>
    <mergeCell ref="BF129:BF135"/>
    <mergeCell ref="BG129:BG135"/>
    <mergeCell ref="BH129:BH135"/>
    <mergeCell ref="BI129:BI135"/>
    <mergeCell ref="BJ129:BJ135"/>
    <mergeCell ref="J130:J134"/>
    <mergeCell ref="K130:K134"/>
    <mergeCell ref="L130:L134"/>
    <mergeCell ref="M130:M134"/>
    <mergeCell ref="N130:N134"/>
    <mergeCell ref="AZ129:AZ135"/>
    <mergeCell ref="BA129:BA135"/>
    <mergeCell ref="BB129:BB135"/>
    <mergeCell ref="BC129:BC135"/>
    <mergeCell ref="BD129:BD135"/>
    <mergeCell ref="BE129:BE135"/>
    <mergeCell ref="AT129:AT135"/>
    <mergeCell ref="AU129:AU135"/>
    <mergeCell ref="AV129:AV135"/>
    <mergeCell ref="AW129:AW135"/>
    <mergeCell ref="AX129:AX135"/>
    <mergeCell ref="AY129:AY135"/>
    <mergeCell ref="AN129:AN135"/>
    <mergeCell ref="AO129:AO135"/>
    <mergeCell ref="AP129:AP135"/>
    <mergeCell ref="AQ129:AQ135"/>
    <mergeCell ref="AR129:AR135"/>
    <mergeCell ref="AS129:AS135"/>
    <mergeCell ref="AB129:AB135"/>
    <mergeCell ref="AJ129:AJ135"/>
    <mergeCell ref="AK129:AK135"/>
    <mergeCell ref="AH140:AR140"/>
    <mergeCell ref="C141:J141"/>
    <mergeCell ref="O124:O126"/>
    <mergeCell ref="P124:P126"/>
    <mergeCell ref="Q124:Q126"/>
    <mergeCell ref="R124:R125"/>
    <mergeCell ref="S124:S126"/>
    <mergeCell ref="T124:T126"/>
    <mergeCell ref="U125:U126"/>
    <mergeCell ref="O129:O135"/>
    <mergeCell ref="P129:P135"/>
    <mergeCell ref="Q129:Q135"/>
    <mergeCell ref="S129:S135"/>
    <mergeCell ref="T129:T135"/>
    <mergeCell ref="U129:U135"/>
    <mergeCell ref="Z129:Z135"/>
    <mergeCell ref="AA129:AA135"/>
    <mergeCell ref="J124:J125"/>
    <mergeCell ref="K124:K125"/>
    <mergeCell ref="L124:L125"/>
    <mergeCell ref="M124:M125"/>
    <mergeCell ref="N124:N125"/>
    <mergeCell ref="BH119:BH122"/>
    <mergeCell ref="AX124:AX126"/>
    <mergeCell ref="AY124:AY126"/>
    <mergeCell ref="AZ124:AZ126"/>
    <mergeCell ref="BA124:BA126"/>
    <mergeCell ref="R130:R134"/>
    <mergeCell ref="AV124:AV126"/>
    <mergeCell ref="AW124:AW126"/>
    <mergeCell ref="AL124:AL126"/>
    <mergeCell ref="AM124:AM126"/>
    <mergeCell ref="AN124:AN126"/>
    <mergeCell ref="AO124:AO126"/>
    <mergeCell ref="AJ124:AJ126"/>
    <mergeCell ref="AK124:AK126"/>
    <mergeCell ref="AH129:AH135"/>
    <mergeCell ref="AI129:AI135"/>
    <mergeCell ref="AL129:AL135"/>
    <mergeCell ref="AM129:AM135"/>
    <mergeCell ref="Z124:Z126"/>
    <mergeCell ref="AA124:AA126"/>
    <mergeCell ref="AB124:AB126"/>
    <mergeCell ref="AC124:AC126"/>
    <mergeCell ref="AD124:AD126"/>
    <mergeCell ref="AE124:AE126"/>
    <mergeCell ref="AC129:AC135"/>
    <mergeCell ref="AD129:AD135"/>
    <mergeCell ref="AE129:AE135"/>
    <mergeCell ref="AF129:AF135"/>
    <mergeCell ref="AG129:AG135"/>
    <mergeCell ref="BA119:BA122"/>
    <mergeCell ref="BB119:BB122"/>
    <mergeCell ref="BC119:BC122"/>
    <mergeCell ref="BI119:BI122"/>
    <mergeCell ref="BJ119:BJ122"/>
    <mergeCell ref="U120:U122"/>
    <mergeCell ref="AF119:AF122"/>
    <mergeCell ref="AG119:AG122"/>
    <mergeCell ref="AH119:AH122"/>
    <mergeCell ref="R119:R121"/>
    <mergeCell ref="S119:S122"/>
    <mergeCell ref="T119:T122"/>
    <mergeCell ref="Z119:Z122"/>
    <mergeCell ref="AA119:AA122"/>
    <mergeCell ref="AB119:AB122"/>
    <mergeCell ref="BB124:BB126"/>
    <mergeCell ref="BC124:BC126"/>
    <mergeCell ref="AR124:AR126"/>
    <mergeCell ref="AS124:AS126"/>
    <mergeCell ref="AT124:AT126"/>
    <mergeCell ref="AU124:AU126"/>
    <mergeCell ref="AP124:AP126"/>
    <mergeCell ref="AQ124:AQ126"/>
    <mergeCell ref="AF124:AF126"/>
    <mergeCell ref="AG124:AG126"/>
    <mergeCell ref="AH124:AH126"/>
    <mergeCell ref="AI124:AI126"/>
    <mergeCell ref="BJ124:BJ126"/>
    <mergeCell ref="BD124:BD126"/>
    <mergeCell ref="BE124:BE126"/>
    <mergeCell ref="BF124:BF126"/>
    <mergeCell ref="BG124:BG126"/>
    <mergeCell ref="BH124:BH126"/>
    <mergeCell ref="BI124:BI126"/>
    <mergeCell ref="BG119:BG122"/>
    <mergeCell ref="BD119:BD122"/>
    <mergeCell ref="BE119:BE122"/>
    <mergeCell ref="BF119:BF122"/>
    <mergeCell ref="AU119:AU122"/>
    <mergeCell ref="AV119:AV122"/>
    <mergeCell ref="AW119:AW122"/>
    <mergeCell ref="AX119:AX122"/>
    <mergeCell ref="AY119:AY122"/>
    <mergeCell ref="AZ119:AZ122"/>
    <mergeCell ref="AO119:AO122"/>
    <mergeCell ref="AP119:AP122"/>
    <mergeCell ref="AQ119:AQ122"/>
    <mergeCell ref="AR119:AR122"/>
    <mergeCell ref="AS119:AS122"/>
    <mergeCell ref="AT119:AT122"/>
    <mergeCell ref="AI119:AI122"/>
    <mergeCell ref="AJ119:AJ122"/>
    <mergeCell ref="AK119:AK122"/>
    <mergeCell ref="AL119:AL122"/>
    <mergeCell ref="AM119:AM122"/>
    <mergeCell ref="AN119:AN122"/>
    <mergeCell ref="AC119:AC122"/>
    <mergeCell ref="AD119:AD122"/>
    <mergeCell ref="AE119:AE122"/>
    <mergeCell ref="BI116:BI117"/>
    <mergeCell ref="BJ116:BJ117"/>
    <mergeCell ref="J119:J121"/>
    <mergeCell ref="K119:K121"/>
    <mergeCell ref="L119:L121"/>
    <mergeCell ref="M119:M121"/>
    <mergeCell ref="N119:N121"/>
    <mergeCell ref="O119:O122"/>
    <mergeCell ref="P119:P122"/>
    <mergeCell ref="Q119:Q122"/>
    <mergeCell ref="BC116:BC117"/>
    <mergeCell ref="BD116:BD117"/>
    <mergeCell ref="BE116:BE117"/>
    <mergeCell ref="BF116:BF117"/>
    <mergeCell ref="BG116:BG117"/>
    <mergeCell ref="BH116:BH117"/>
    <mergeCell ref="AW116:AW117"/>
    <mergeCell ref="AX116:AX117"/>
    <mergeCell ref="AY116:AY117"/>
    <mergeCell ref="AZ116:AZ117"/>
    <mergeCell ref="BA116:BA117"/>
    <mergeCell ref="BB116:BB117"/>
    <mergeCell ref="AQ116:AQ117"/>
    <mergeCell ref="AR116:AR117"/>
    <mergeCell ref="AS116:AS117"/>
    <mergeCell ref="AT116:AT117"/>
    <mergeCell ref="AU116:AU117"/>
    <mergeCell ref="AV116:AV117"/>
    <mergeCell ref="AK116:AK117"/>
    <mergeCell ref="AL116:AL117"/>
    <mergeCell ref="AM116:AM117"/>
    <mergeCell ref="AN116:AN117"/>
    <mergeCell ref="AO116:AO117"/>
    <mergeCell ref="AP116:AP117"/>
    <mergeCell ref="AE116:AE117"/>
    <mergeCell ref="AF116:AF117"/>
    <mergeCell ref="AG116:AG117"/>
    <mergeCell ref="AH116:AH117"/>
    <mergeCell ref="AI116:AI117"/>
    <mergeCell ref="AJ116:AJ117"/>
    <mergeCell ref="Y116:Y117"/>
    <mergeCell ref="Z116:Z117"/>
    <mergeCell ref="AA116:AA117"/>
    <mergeCell ref="AB116:AB117"/>
    <mergeCell ref="AC116:AC117"/>
    <mergeCell ref="AD116:AD117"/>
    <mergeCell ref="R116:R117"/>
    <mergeCell ref="S116:S117"/>
    <mergeCell ref="T116:T117"/>
    <mergeCell ref="V116:V117"/>
    <mergeCell ref="W116:W117"/>
    <mergeCell ref="X116:X117"/>
    <mergeCell ref="BI113:BI115"/>
    <mergeCell ref="BJ113:BJ115"/>
    <mergeCell ref="J116:J117"/>
    <mergeCell ref="K116:K117"/>
    <mergeCell ref="L116:L117"/>
    <mergeCell ref="M116:M117"/>
    <mergeCell ref="N116:N117"/>
    <mergeCell ref="O116:O117"/>
    <mergeCell ref="P116:P117"/>
    <mergeCell ref="Q116:Q117"/>
    <mergeCell ref="BC113:BC115"/>
    <mergeCell ref="BD113:BD115"/>
    <mergeCell ref="BE113:BE115"/>
    <mergeCell ref="BF113:BF115"/>
    <mergeCell ref="BG113:BG115"/>
    <mergeCell ref="BH113:BH115"/>
    <mergeCell ref="AW113:AW115"/>
    <mergeCell ref="AX113:AX115"/>
    <mergeCell ref="AY113:AY115"/>
    <mergeCell ref="AZ113:AZ115"/>
    <mergeCell ref="BA113:BA115"/>
    <mergeCell ref="BB113:BB115"/>
    <mergeCell ref="AQ113:AQ115"/>
    <mergeCell ref="AR113:AR115"/>
    <mergeCell ref="AS113:AS115"/>
    <mergeCell ref="AT113:AT115"/>
    <mergeCell ref="AU113:AU115"/>
    <mergeCell ref="AV113:AV115"/>
    <mergeCell ref="AK113:AK115"/>
    <mergeCell ref="AL113:AL115"/>
    <mergeCell ref="AM113:AM115"/>
    <mergeCell ref="AN113:AN115"/>
    <mergeCell ref="AO113:AO115"/>
    <mergeCell ref="AP113:AP115"/>
    <mergeCell ref="AE113:AE115"/>
    <mergeCell ref="AF113:AF115"/>
    <mergeCell ref="AG113:AG115"/>
    <mergeCell ref="AH113:AH115"/>
    <mergeCell ref="AI113:AI115"/>
    <mergeCell ref="AJ113:AJ115"/>
    <mergeCell ref="U113:U114"/>
    <mergeCell ref="Z113:Z115"/>
    <mergeCell ref="AA113:AA115"/>
    <mergeCell ref="AB113:AB115"/>
    <mergeCell ref="AC113:AC115"/>
    <mergeCell ref="AD113:AD115"/>
    <mergeCell ref="O113:O115"/>
    <mergeCell ref="P113:P115"/>
    <mergeCell ref="Q113:Q115"/>
    <mergeCell ref="R113:R114"/>
    <mergeCell ref="S113:S115"/>
    <mergeCell ref="T113:T115"/>
    <mergeCell ref="BF110:BF111"/>
    <mergeCell ref="BG110:BG111"/>
    <mergeCell ref="BH110:BH111"/>
    <mergeCell ref="BI110:BI111"/>
    <mergeCell ref="BJ110:BJ111"/>
    <mergeCell ref="J113:J114"/>
    <mergeCell ref="K113:K114"/>
    <mergeCell ref="L113:L114"/>
    <mergeCell ref="M113:M114"/>
    <mergeCell ref="N113:N114"/>
    <mergeCell ref="AZ110:AZ111"/>
    <mergeCell ref="BA110:BA111"/>
    <mergeCell ref="BB110:BB111"/>
    <mergeCell ref="BC110:BC111"/>
    <mergeCell ref="BD110:BD111"/>
    <mergeCell ref="BE110:BE111"/>
    <mergeCell ref="AT110:AT111"/>
    <mergeCell ref="AU110:AU111"/>
    <mergeCell ref="AV110:AV111"/>
    <mergeCell ref="AW110:AW111"/>
    <mergeCell ref="AX110:AX111"/>
    <mergeCell ref="AY110:AY111"/>
    <mergeCell ref="AN110:AN111"/>
    <mergeCell ref="AO110:AO111"/>
    <mergeCell ref="AP110:AP111"/>
    <mergeCell ref="AQ110:AQ111"/>
    <mergeCell ref="AR110:AR111"/>
    <mergeCell ref="AS110:AS111"/>
    <mergeCell ref="AH110:AH111"/>
    <mergeCell ref="AI110:AI111"/>
    <mergeCell ref="AJ110:AJ111"/>
    <mergeCell ref="AK110:AK111"/>
    <mergeCell ref="AL110:AL111"/>
    <mergeCell ref="AM110:AM111"/>
    <mergeCell ref="AB110:AB111"/>
    <mergeCell ref="AC110:AC111"/>
    <mergeCell ref="AD110:AD111"/>
    <mergeCell ref="AE110:AE111"/>
    <mergeCell ref="AF110:AF111"/>
    <mergeCell ref="AG110:AG111"/>
    <mergeCell ref="R110:R111"/>
    <mergeCell ref="S110:S111"/>
    <mergeCell ref="T110:T111"/>
    <mergeCell ref="U110:U111"/>
    <mergeCell ref="Z110:Z111"/>
    <mergeCell ref="AA110:AA111"/>
    <mergeCell ref="BK107:CA107"/>
    <mergeCell ref="BK108:CA108"/>
    <mergeCell ref="J110:J111"/>
    <mergeCell ref="K110:K111"/>
    <mergeCell ref="L110:L111"/>
    <mergeCell ref="M110:M111"/>
    <mergeCell ref="N110:N111"/>
    <mergeCell ref="O110:O111"/>
    <mergeCell ref="P110:P111"/>
    <mergeCell ref="Q110:Q111"/>
    <mergeCell ref="AQ104:AQ107"/>
    <mergeCell ref="AR104:AR107"/>
    <mergeCell ref="AG104:AG107"/>
    <mergeCell ref="AH104:AH107"/>
    <mergeCell ref="AI104:AI107"/>
    <mergeCell ref="AJ104:AJ107"/>
    <mergeCell ref="AK104:AK107"/>
    <mergeCell ref="AL104:AL107"/>
    <mergeCell ref="BK104:CA104"/>
    <mergeCell ref="J105:J106"/>
    <mergeCell ref="K105:K106"/>
    <mergeCell ref="L105:L106"/>
    <mergeCell ref="M105:M106"/>
    <mergeCell ref="N105:N106"/>
    <mergeCell ref="R105:R106"/>
    <mergeCell ref="W105:W106"/>
    <mergeCell ref="X105:X106"/>
    <mergeCell ref="Y105:Y106"/>
    <mergeCell ref="BE104:BE107"/>
    <mergeCell ref="BF104:BF107"/>
    <mergeCell ref="BG104:BG107"/>
    <mergeCell ref="BH104:BH107"/>
    <mergeCell ref="BJ104:BJ107"/>
    <mergeCell ref="AY104:AY107"/>
    <mergeCell ref="AZ104:AZ107"/>
    <mergeCell ref="BA104:BA107"/>
    <mergeCell ref="BB104:BB107"/>
    <mergeCell ref="BC104:BC107"/>
    <mergeCell ref="BD104:BD107"/>
    <mergeCell ref="AS104:AS107"/>
    <mergeCell ref="AT104:AT107"/>
    <mergeCell ref="AU104:AU107"/>
    <mergeCell ref="AV104:AV107"/>
    <mergeCell ref="AW104:AW107"/>
    <mergeCell ref="AX104:AX107"/>
    <mergeCell ref="AM104:AM107"/>
    <mergeCell ref="AN104:AN107"/>
    <mergeCell ref="AO104:AO107"/>
    <mergeCell ref="AP104:AP107"/>
    <mergeCell ref="Z104:Z107"/>
    <mergeCell ref="AB104:AB107"/>
    <mergeCell ref="AC104:AC107"/>
    <mergeCell ref="AD104:AD107"/>
    <mergeCell ref="AE104:AE107"/>
    <mergeCell ref="AF104:AF107"/>
    <mergeCell ref="O104:O107"/>
    <mergeCell ref="P104:P107"/>
    <mergeCell ref="Q104:Q107"/>
    <mergeCell ref="S104:S107"/>
    <mergeCell ref="T104:T107"/>
    <mergeCell ref="U104:U105"/>
    <mergeCell ref="U106:U107"/>
    <mergeCell ref="BF97:BF101"/>
    <mergeCell ref="BG97:BG101"/>
    <mergeCell ref="BH97:BH101"/>
    <mergeCell ref="BI97:BI101"/>
    <mergeCell ref="AG97:AG101"/>
    <mergeCell ref="BI104:BI107"/>
    <mergeCell ref="BJ97:BJ101"/>
    <mergeCell ref="G99:I99"/>
    <mergeCell ref="G101:I101"/>
    <mergeCell ref="AZ97:AZ101"/>
    <mergeCell ref="BA97:BA101"/>
    <mergeCell ref="BB97:BB101"/>
    <mergeCell ref="BC97:BC101"/>
    <mergeCell ref="BD97:BD101"/>
    <mergeCell ref="BE97:BE101"/>
    <mergeCell ref="AT97:AT101"/>
    <mergeCell ref="AU97:AU101"/>
    <mergeCell ref="AV97:AV101"/>
    <mergeCell ref="AW97:AW101"/>
    <mergeCell ref="AX97:AX101"/>
    <mergeCell ref="AY97:AY101"/>
    <mergeCell ref="AN97:AN101"/>
    <mergeCell ref="AO97:AO101"/>
    <mergeCell ref="AP97:AP101"/>
    <mergeCell ref="AQ97:AQ101"/>
    <mergeCell ref="AR97:AR101"/>
    <mergeCell ref="AS97:AS101"/>
    <mergeCell ref="AH97:AH101"/>
    <mergeCell ref="AI97:AI101"/>
    <mergeCell ref="AJ97:AJ101"/>
    <mergeCell ref="AK97:AK101"/>
    <mergeCell ref="AL97:AL101"/>
    <mergeCell ref="AM97:AM101"/>
    <mergeCell ref="AB97:AB101"/>
    <mergeCell ref="AC97:AC101"/>
    <mergeCell ref="AD97:AD101"/>
    <mergeCell ref="AE97:AE101"/>
    <mergeCell ref="AF97:AF101"/>
    <mergeCell ref="G97:I97"/>
    <mergeCell ref="O97:O101"/>
    <mergeCell ref="P97:P101"/>
    <mergeCell ref="Q97:Q101"/>
    <mergeCell ref="S97:S101"/>
    <mergeCell ref="T97:T101"/>
    <mergeCell ref="BJ82:BJ94"/>
    <mergeCell ref="J85:J94"/>
    <mergeCell ref="K85:K94"/>
    <mergeCell ref="L85:L94"/>
    <mergeCell ref="M85:M94"/>
    <mergeCell ref="N85:N94"/>
    <mergeCell ref="R85:R94"/>
    <mergeCell ref="U85:U94"/>
    <mergeCell ref="BD82:BD94"/>
    <mergeCell ref="BE82:BE94"/>
    <mergeCell ref="BF82:BF94"/>
    <mergeCell ref="BG82:BG94"/>
    <mergeCell ref="BH82:BH94"/>
    <mergeCell ref="BI82:BI94"/>
    <mergeCell ref="AX82:AX94"/>
    <mergeCell ref="AY82:AY94"/>
    <mergeCell ref="AZ82:AZ94"/>
    <mergeCell ref="BA82:BA94"/>
    <mergeCell ref="BB82:BB94"/>
    <mergeCell ref="BC82:BC94"/>
    <mergeCell ref="AR82:AR94"/>
    <mergeCell ref="AS82:AS94"/>
    <mergeCell ref="AT82:AT94"/>
    <mergeCell ref="AU82:AU94"/>
    <mergeCell ref="AV82:AV94"/>
    <mergeCell ref="AW82:AW94"/>
    <mergeCell ref="AL82:AL94"/>
    <mergeCell ref="AM82:AM94"/>
    <mergeCell ref="AN82:AN94"/>
    <mergeCell ref="AO82:AO94"/>
    <mergeCell ref="AP82:AP94"/>
    <mergeCell ref="AQ82:AQ94"/>
    <mergeCell ref="AF82:AF94"/>
    <mergeCell ref="AG82:AG94"/>
    <mergeCell ref="AH82:AH94"/>
    <mergeCell ref="AI82:AI94"/>
    <mergeCell ref="AJ82:AJ94"/>
    <mergeCell ref="AK82:AK94"/>
    <mergeCell ref="Z82:Z94"/>
    <mergeCell ref="AA82:AA94"/>
    <mergeCell ref="AB82:AB94"/>
    <mergeCell ref="AC82:AC94"/>
    <mergeCell ref="AD82:AD94"/>
    <mergeCell ref="AE82:AE94"/>
    <mergeCell ref="P82:P94"/>
    <mergeCell ref="Q82:Q94"/>
    <mergeCell ref="R82:R84"/>
    <mergeCell ref="S82:S94"/>
    <mergeCell ref="T82:T94"/>
    <mergeCell ref="U82:U84"/>
    <mergeCell ref="J82:J84"/>
    <mergeCell ref="K82:K84"/>
    <mergeCell ref="L82:L84"/>
    <mergeCell ref="M82:M84"/>
    <mergeCell ref="N82:N84"/>
    <mergeCell ref="O82:O94"/>
    <mergeCell ref="BG77:BG80"/>
    <mergeCell ref="BH77:BH80"/>
    <mergeCell ref="BI77:BI80"/>
    <mergeCell ref="BJ77:BJ80"/>
    <mergeCell ref="V79:V80"/>
    <mergeCell ref="W79:W80"/>
    <mergeCell ref="X79:X80"/>
    <mergeCell ref="Y79:Y80"/>
    <mergeCell ref="BA77:BA80"/>
    <mergeCell ref="BB77:BB80"/>
    <mergeCell ref="BC77:BC80"/>
    <mergeCell ref="BD77:BD80"/>
    <mergeCell ref="BE77:BE80"/>
    <mergeCell ref="BF77:BF80"/>
    <mergeCell ref="AU77:AU80"/>
    <mergeCell ref="AV77:AV80"/>
    <mergeCell ref="AW77:AW80"/>
    <mergeCell ref="AX77:AX80"/>
    <mergeCell ref="AY77:AY80"/>
    <mergeCell ref="AZ77:AZ80"/>
    <mergeCell ref="AO77:AO80"/>
    <mergeCell ref="AP77:AP80"/>
    <mergeCell ref="AQ77:AQ80"/>
    <mergeCell ref="AR77:AR80"/>
    <mergeCell ref="AS77:AS80"/>
    <mergeCell ref="AT77:AT80"/>
    <mergeCell ref="AI77:AI80"/>
    <mergeCell ref="AJ77:AJ80"/>
    <mergeCell ref="AK77:AK80"/>
    <mergeCell ref="AL77:AL80"/>
    <mergeCell ref="AM77:AM80"/>
    <mergeCell ref="AN77:AN80"/>
    <mergeCell ref="AC77:AC80"/>
    <mergeCell ref="AD77:AD80"/>
    <mergeCell ref="AE77:AE80"/>
    <mergeCell ref="AF77:AF80"/>
    <mergeCell ref="AG77:AG80"/>
    <mergeCell ref="AH77:AH80"/>
    <mergeCell ref="W77:W78"/>
    <mergeCell ref="X77:X78"/>
    <mergeCell ref="Y77:Y78"/>
    <mergeCell ref="Z77:Z80"/>
    <mergeCell ref="AA77:AA80"/>
    <mergeCell ref="AB77:AB80"/>
    <mergeCell ref="P77:P80"/>
    <mergeCell ref="Q77:Q80"/>
    <mergeCell ref="R77:R80"/>
    <mergeCell ref="S77:S80"/>
    <mergeCell ref="T77:T80"/>
    <mergeCell ref="V77:V78"/>
    <mergeCell ref="J77:J80"/>
    <mergeCell ref="K77:K80"/>
    <mergeCell ref="L77:L80"/>
    <mergeCell ref="M77:M80"/>
    <mergeCell ref="N77:N80"/>
    <mergeCell ref="O77:O80"/>
    <mergeCell ref="BE74:BE75"/>
    <mergeCell ref="BF74:BF75"/>
    <mergeCell ref="BG74:BG75"/>
    <mergeCell ref="BH74:BH75"/>
    <mergeCell ref="BI74:BI75"/>
    <mergeCell ref="BJ74:BJ75"/>
    <mergeCell ref="AY74:AY75"/>
    <mergeCell ref="AZ74:AZ75"/>
    <mergeCell ref="BA74:BA75"/>
    <mergeCell ref="BB74:BB75"/>
    <mergeCell ref="BC74:BC75"/>
    <mergeCell ref="BD74:BD75"/>
    <mergeCell ref="AS74:AS75"/>
    <mergeCell ref="AT74:AT75"/>
    <mergeCell ref="AU74:AU75"/>
    <mergeCell ref="AV74:AV75"/>
    <mergeCell ref="AW74:AW75"/>
    <mergeCell ref="AX74:AX75"/>
    <mergeCell ref="AM74:AM75"/>
    <mergeCell ref="AN74:AN75"/>
    <mergeCell ref="AO74:AO75"/>
    <mergeCell ref="AP74:AP75"/>
    <mergeCell ref="AQ74:AQ75"/>
    <mergeCell ref="AR74:AR75"/>
    <mergeCell ref="AG74:AG75"/>
    <mergeCell ref="AH74:AH75"/>
    <mergeCell ref="AI74:AI75"/>
    <mergeCell ref="AJ74:AJ75"/>
    <mergeCell ref="AK74:AK75"/>
    <mergeCell ref="AL74:AL75"/>
    <mergeCell ref="AA74:AA75"/>
    <mergeCell ref="AB74:AB75"/>
    <mergeCell ref="AC74:AC75"/>
    <mergeCell ref="AD74:AD75"/>
    <mergeCell ref="AE74:AE75"/>
    <mergeCell ref="AF74:AF75"/>
    <mergeCell ref="O74:O75"/>
    <mergeCell ref="P74:P75"/>
    <mergeCell ref="Q74:Q75"/>
    <mergeCell ref="S74:S75"/>
    <mergeCell ref="T74:T75"/>
    <mergeCell ref="Z74:Z75"/>
    <mergeCell ref="BE68:BE71"/>
    <mergeCell ref="BF68:BF71"/>
    <mergeCell ref="BG68:BG71"/>
    <mergeCell ref="BH68:BH71"/>
    <mergeCell ref="BI68:BI71"/>
    <mergeCell ref="BJ68:BJ71"/>
    <mergeCell ref="AY68:AY71"/>
    <mergeCell ref="AZ68:AZ71"/>
    <mergeCell ref="BA68:BA71"/>
    <mergeCell ref="BB68:BB71"/>
    <mergeCell ref="BC68:BC71"/>
    <mergeCell ref="BD68:BD71"/>
    <mergeCell ref="AS68:AS71"/>
    <mergeCell ref="AT68:AT71"/>
    <mergeCell ref="AU68:AU71"/>
    <mergeCell ref="AV68:AV71"/>
    <mergeCell ref="AW68:AW71"/>
    <mergeCell ref="AX68:AX71"/>
    <mergeCell ref="AM68:AM71"/>
    <mergeCell ref="AN68:AN71"/>
    <mergeCell ref="AO68:AO71"/>
    <mergeCell ref="AP68:AP71"/>
    <mergeCell ref="AQ68:AQ71"/>
    <mergeCell ref="AR68:AR71"/>
    <mergeCell ref="AG68:AG71"/>
    <mergeCell ref="AH68:AH71"/>
    <mergeCell ref="AI68:AI71"/>
    <mergeCell ref="AJ68:AJ71"/>
    <mergeCell ref="AK68:AK71"/>
    <mergeCell ref="AL68:AL71"/>
    <mergeCell ref="AA68:AA71"/>
    <mergeCell ref="AB68:AB71"/>
    <mergeCell ref="AC68:AC71"/>
    <mergeCell ref="AD68:AD71"/>
    <mergeCell ref="AE68:AE71"/>
    <mergeCell ref="AF68:AF71"/>
    <mergeCell ref="BJ61:BJ66"/>
    <mergeCell ref="AJ67:AK67"/>
    <mergeCell ref="AL67:AM67"/>
    <mergeCell ref="AO67:AP67"/>
    <mergeCell ref="O68:O71"/>
    <mergeCell ref="P68:P71"/>
    <mergeCell ref="Q68:Q71"/>
    <mergeCell ref="S68:S71"/>
    <mergeCell ref="T68:T71"/>
    <mergeCell ref="Z68:Z71"/>
    <mergeCell ref="BD61:BD66"/>
    <mergeCell ref="BE61:BE66"/>
    <mergeCell ref="BF61:BF66"/>
    <mergeCell ref="BG61:BG66"/>
    <mergeCell ref="BH61:BH66"/>
    <mergeCell ref="BI61:BI66"/>
    <mergeCell ref="AX61:AX66"/>
    <mergeCell ref="AY61:AY66"/>
    <mergeCell ref="AZ61:AZ66"/>
    <mergeCell ref="BA61:BA66"/>
    <mergeCell ref="BB61:BB66"/>
    <mergeCell ref="BC61:BC66"/>
    <mergeCell ref="AR61:AR66"/>
    <mergeCell ref="AS61:AS66"/>
    <mergeCell ref="AT61:AT66"/>
    <mergeCell ref="AU61:AU66"/>
    <mergeCell ref="AV61:AV66"/>
    <mergeCell ref="AW61:AW66"/>
    <mergeCell ref="AL61:AL66"/>
    <mergeCell ref="AM61:AM66"/>
    <mergeCell ref="AN61:AN66"/>
    <mergeCell ref="AO61:AO66"/>
    <mergeCell ref="AP61:AP66"/>
    <mergeCell ref="AQ61:AQ66"/>
    <mergeCell ref="AF61:AF66"/>
    <mergeCell ref="AG61:AG66"/>
    <mergeCell ref="AH61:AH66"/>
    <mergeCell ref="AI61:AI66"/>
    <mergeCell ref="AJ61:AJ66"/>
    <mergeCell ref="AK61:AK66"/>
    <mergeCell ref="Z61:Z66"/>
    <mergeCell ref="AA61:AA66"/>
    <mergeCell ref="AB61:AB66"/>
    <mergeCell ref="AC61:AC66"/>
    <mergeCell ref="AD61:AD66"/>
    <mergeCell ref="AE61:AE66"/>
    <mergeCell ref="P61:P66"/>
    <mergeCell ref="Q61:Q66"/>
    <mergeCell ref="R61:R66"/>
    <mergeCell ref="S61:S66"/>
    <mergeCell ref="T61:T66"/>
    <mergeCell ref="U61:U66"/>
    <mergeCell ref="J61:J66"/>
    <mergeCell ref="K61:K66"/>
    <mergeCell ref="L61:L66"/>
    <mergeCell ref="M61:M66"/>
    <mergeCell ref="N61:N66"/>
    <mergeCell ref="O61:O66"/>
    <mergeCell ref="BH58:BH60"/>
    <mergeCell ref="BI58:BI60"/>
    <mergeCell ref="BJ58:BJ60"/>
    <mergeCell ref="J59:J60"/>
    <mergeCell ref="K59:K60"/>
    <mergeCell ref="L59:L60"/>
    <mergeCell ref="M59:M60"/>
    <mergeCell ref="N59:N60"/>
    <mergeCell ref="R59:R60"/>
    <mergeCell ref="AA59:AA60"/>
    <mergeCell ref="BB58:BB60"/>
    <mergeCell ref="BC58:BC60"/>
    <mergeCell ref="BD58:BD60"/>
    <mergeCell ref="BE58:BE60"/>
    <mergeCell ref="BF58:BF60"/>
    <mergeCell ref="BG58:BG60"/>
    <mergeCell ref="AV58:AV60"/>
    <mergeCell ref="AW58:AW60"/>
    <mergeCell ref="AX58:AX60"/>
    <mergeCell ref="AY58:AY60"/>
    <mergeCell ref="AZ58:AZ60"/>
    <mergeCell ref="BA58:BA60"/>
    <mergeCell ref="AP58:AP60"/>
    <mergeCell ref="AQ58:AQ60"/>
    <mergeCell ref="AR58:AR60"/>
    <mergeCell ref="AS58:AS60"/>
    <mergeCell ref="AT58:AT60"/>
    <mergeCell ref="AU58:AU60"/>
    <mergeCell ref="AJ58:AJ60"/>
    <mergeCell ref="AK58:AK60"/>
    <mergeCell ref="AL58:AL60"/>
    <mergeCell ref="AM58:AM60"/>
    <mergeCell ref="AN58:AN60"/>
    <mergeCell ref="AO58:AO60"/>
    <mergeCell ref="AD58:AD60"/>
    <mergeCell ref="AE58:AE60"/>
    <mergeCell ref="AF58:AF60"/>
    <mergeCell ref="AG58:AG60"/>
    <mergeCell ref="AH58:AH60"/>
    <mergeCell ref="AI58:AI60"/>
    <mergeCell ref="AI57:AJ57"/>
    <mergeCell ref="AN57:AO57"/>
    <mergeCell ref="O58:O60"/>
    <mergeCell ref="P58:P60"/>
    <mergeCell ref="Q58:Q60"/>
    <mergeCell ref="S58:S60"/>
    <mergeCell ref="T58:T60"/>
    <mergeCell ref="Z58:Z60"/>
    <mergeCell ref="AB58:AB60"/>
    <mergeCell ref="AC58:AC60"/>
    <mergeCell ref="BE55:BE56"/>
    <mergeCell ref="BF55:BF56"/>
    <mergeCell ref="BG55:BG56"/>
    <mergeCell ref="BH55:BH56"/>
    <mergeCell ref="BI55:BI56"/>
    <mergeCell ref="BJ55:BJ56"/>
    <mergeCell ref="AY55:AY56"/>
    <mergeCell ref="AZ55:AZ56"/>
    <mergeCell ref="BA55:BA56"/>
    <mergeCell ref="BB55:BB56"/>
    <mergeCell ref="BC55:BC56"/>
    <mergeCell ref="BD55:BD56"/>
    <mergeCell ref="AS55:AS56"/>
    <mergeCell ref="AT55:AT56"/>
    <mergeCell ref="AU55:AU56"/>
    <mergeCell ref="AV55:AV56"/>
    <mergeCell ref="AW55:AW56"/>
    <mergeCell ref="AX55:AX56"/>
    <mergeCell ref="AM55:AM56"/>
    <mergeCell ref="AN55:AN56"/>
    <mergeCell ref="AO55:AO56"/>
    <mergeCell ref="AP55:AP56"/>
    <mergeCell ref="AQ55:AQ56"/>
    <mergeCell ref="AR55:AR56"/>
    <mergeCell ref="AG55:AG56"/>
    <mergeCell ref="AH55:AH56"/>
    <mergeCell ref="AI55:AI56"/>
    <mergeCell ref="AJ55:AJ56"/>
    <mergeCell ref="AK55:AK56"/>
    <mergeCell ref="AL55:AL56"/>
    <mergeCell ref="AA55:AA56"/>
    <mergeCell ref="AB55:AB56"/>
    <mergeCell ref="AC55:AC56"/>
    <mergeCell ref="AD55:AD56"/>
    <mergeCell ref="AE55:AE56"/>
    <mergeCell ref="AF55:AF56"/>
    <mergeCell ref="O55:O56"/>
    <mergeCell ref="P55:P56"/>
    <mergeCell ref="Q55:Q56"/>
    <mergeCell ref="S55:S56"/>
    <mergeCell ref="T55:T56"/>
    <mergeCell ref="Z55:Z56"/>
    <mergeCell ref="BE51:BE52"/>
    <mergeCell ref="BF51:BF52"/>
    <mergeCell ref="BG51:BG52"/>
    <mergeCell ref="BH51:BH52"/>
    <mergeCell ref="BI51:BI52"/>
    <mergeCell ref="BJ51:BJ52"/>
    <mergeCell ref="AY51:AY52"/>
    <mergeCell ref="AZ51:AZ52"/>
    <mergeCell ref="BA51:BA52"/>
    <mergeCell ref="BB51:BB52"/>
    <mergeCell ref="BC51:BC52"/>
    <mergeCell ref="BD51:BD52"/>
    <mergeCell ref="AS51:AS52"/>
    <mergeCell ref="AT51:AT52"/>
    <mergeCell ref="AU51:AU52"/>
    <mergeCell ref="AV51:AV52"/>
    <mergeCell ref="AW51:AW52"/>
    <mergeCell ref="AX51:AX52"/>
    <mergeCell ref="AM51:AM52"/>
    <mergeCell ref="AN51:AN52"/>
    <mergeCell ref="AO51:AO52"/>
    <mergeCell ref="AP51:AP52"/>
    <mergeCell ref="AQ51:AQ52"/>
    <mergeCell ref="AR51:AR52"/>
    <mergeCell ref="AG51:AG52"/>
    <mergeCell ref="AH51:AH52"/>
    <mergeCell ref="AI51:AI52"/>
    <mergeCell ref="AJ51:AJ52"/>
    <mergeCell ref="AK51:AK52"/>
    <mergeCell ref="AL51:AL52"/>
    <mergeCell ref="AA51:AA52"/>
    <mergeCell ref="AB51:AB52"/>
    <mergeCell ref="AC51:AC52"/>
    <mergeCell ref="AD51:AD52"/>
    <mergeCell ref="AE51:AE52"/>
    <mergeCell ref="AF51:AF52"/>
    <mergeCell ref="BJ47:BJ49"/>
    <mergeCell ref="AI50:AJ50"/>
    <mergeCell ref="AL50:AM50"/>
    <mergeCell ref="AN50:AO50"/>
    <mergeCell ref="O51:O52"/>
    <mergeCell ref="P51:P52"/>
    <mergeCell ref="Q51:Q52"/>
    <mergeCell ref="S51:S52"/>
    <mergeCell ref="T51:T52"/>
    <mergeCell ref="Z51:Z52"/>
    <mergeCell ref="BD47:BD49"/>
    <mergeCell ref="BE47:BE49"/>
    <mergeCell ref="BF47:BF49"/>
    <mergeCell ref="BG47:BG49"/>
    <mergeCell ref="BH47:BH49"/>
    <mergeCell ref="BI47:BI49"/>
    <mergeCell ref="AX47:AX49"/>
    <mergeCell ref="AY47:AY49"/>
    <mergeCell ref="AZ47:AZ49"/>
    <mergeCell ref="BA47:BA49"/>
    <mergeCell ref="BB47:BB49"/>
    <mergeCell ref="BC47:BC49"/>
    <mergeCell ref="AR47:AR49"/>
    <mergeCell ref="AS47:AS49"/>
    <mergeCell ref="AT47:AT49"/>
    <mergeCell ref="AU47:AU49"/>
    <mergeCell ref="AV47:AV49"/>
    <mergeCell ref="AW47:AW49"/>
    <mergeCell ref="AL47:AL49"/>
    <mergeCell ref="AM47:AM49"/>
    <mergeCell ref="AN47:AN49"/>
    <mergeCell ref="AO47:AO49"/>
    <mergeCell ref="AP47:AP49"/>
    <mergeCell ref="AQ47:AQ49"/>
    <mergeCell ref="AF47:AF49"/>
    <mergeCell ref="AG47:AG49"/>
    <mergeCell ref="AH47:AH49"/>
    <mergeCell ref="AI47:AI49"/>
    <mergeCell ref="AJ47:AJ49"/>
    <mergeCell ref="AK47:AK49"/>
    <mergeCell ref="Z47:Z49"/>
    <mergeCell ref="AA47:AA49"/>
    <mergeCell ref="AB47:AB49"/>
    <mergeCell ref="AC47:AC49"/>
    <mergeCell ref="AD47:AD49"/>
    <mergeCell ref="AE47:AE49"/>
    <mergeCell ref="P47:P49"/>
    <mergeCell ref="Q47:Q49"/>
    <mergeCell ref="R47:R49"/>
    <mergeCell ref="S47:S49"/>
    <mergeCell ref="T47:T49"/>
    <mergeCell ref="U47:U49"/>
    <mergeCell ref="J47:J49"/>
    <mergeCell ref="K47:K49"/>
    <mergeCell ref="L47:L49"/>
    <mergeCell ref="M47:M49"/>
    <mergeCell ref="N47:N49"/>
    <mergeCell ref="O47:O49"/>
    <mergeCell ref="BI43:BI46"/>
    <mergeCell ref="BJ43:BJ46"/>
    <mergeCell ref="J45:J46"/>
    <mergeCell ref="K45:K46"/>
    <mergeCell ref="L45:L46"/>
    <mergeCell ref="M45:M46"/>
    <mergeCell ref="N45:N46"/>
    <mergeCell ref="R45:R46"/>
    <mergeCell ref="U45:U46"/>
    <mergeCell ref="Z45:Z46"/>
    <mergeCell ref="BC43:BC46"/>
    <mergeCell ref="BD43:BD46"/>
    <mergeCell ref="BE43:BE46"/>
    <mergeCell ref="BF43:BF46"/>
    <mergeCell ref="BG43:BG46"/>
    <mergeCell ref="BH43:BH46"/>
    <mergeCell ref="AW43:AW46"/>
    <mergeCell ref="AX43:AX46"/>
    <mergeCell ref="AY43:AY46"/>
    <mergeCell ref="AZ43:AZ46"/>
    <mergeCell ref="BA43:BA46"/>
    <mergeCell ref="BB43:BB46"/>
    <mergeCell ref="AQ43:AQ46"/>
    <mergeCell ref="AR43:AR46"/>
    <mergeCell ref="AS43:AS46"/>
    <mergeCell ref="AT43:AT46"/>
    <mergeCell ref="AU43:AU46"/>
    <mergeCell ref="AV43:AV46"/>
    <mergeCell ref="AK43:AK46"/>
    <mergeCell ref="AL43:AL46"/>
    <mergeCell ref="AM43:AM46"/>
    <mergeCell ref="AN43:AN46"/>
    <mergeCell ref="AO43:AO46"/>
    <mergeCell ref="AP43:AP46"/>
    <mergeCell ref="AE43:AE46"/>
    <mergeCell ref="AF43:AF46"/>
    <mergeCell ref="AG43:AG46"/>
    <mergeCell ref="AH43:AH46"/>
    <mergeCell ref="AI43:AI46"/>
    <mergeCell ref="AJ43:AJ46"/>
    <mergeCell ref="U43:U44"/>
    <mergeCell ref="Z43:Z44"/>
    <mergeCell ref="AA43:AA46"/>
    <mergeCell ref="AB43:AB46"/>
    <mergeCell ref="AC43:AC46"/>
    <mergeCell ref="AD43:AD46"/>
    <mergeCell ref="O43:O46"/>
    <mergeCell ref="P43:P46"/>
    <mergeCell ref="Q43:Q46"/>
    <mergeCell ref="R43:R44"/>
    <mergeCell ref="S43:S46"/>
    <mergeCell ref="T43:T46"/>
    <mergeCell ref="BF40:BF41"/>
    <mergeCell ref="BG40:BG41"/>
    <mergeCell ref="BH40:BH41"/>
    <mergeCell ref="BI40:BI41"/>
    <mergeCell ref="BJ40:BJ41"/>
    <mergeCell ref="J43:J44"/>
    <mergeCell ref="K43:K44"/>
    <mergeCell ref="L43:L44"/>
    <mergeCell ref="M43:M44"/>
    <mergeCell ref="N43:N44"/>
    <mergeCell ref="AZ40:AZ41"/>
    <mergeCell ref="BA40:BA41"/>
    <mergeCell ref="BB40:BB41"/>
    <mergeCell ref="BC40:BC41"/>
    <mergeCell ref="BD40:BD41"/>
    <mergeCell ref="BE40:BE41"/>
    <mergeCell ref="AT40:AT41"/>
    <mergeCell ref="AU40:AU41"/>
    <mergeCell ref="AV40:AV41"/>
    <mergeCell ref="AW40:AW41"/>
    <mergeCell ref="AX40:AX41"/>
    <mergeCell ref="AY40:AY41"/>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G39:AH39"/>
    <mergeCell ref="AJ39:AK39"/>
    <mergeCell ref="AM39:AN39"/>
    <mergeCell ref="O40:O41"/>
    <mergeCell ref="P40:P41"/>
    <mergeCell ref="Q40:Q41"/>
    <mergeCell ref="S40:S41"/>
    <mergeCell ref="T40:T41"/>
    <mergeCell ref="Z40:Z41"/>
    <mergeCell ref="AA40:AA41"/>
    <mergeCell ref="AI36:AI38"/>
    <mergeCell ref="AJ36:AJ38"/>
    <mergeCell ref="AK36:AK38"/>
    <mergeCell ref="AL36:AL38"/>
    <mergeCell ref="AA36:AA38"/>
    <mergeCell ref="AB36:AB38"/>
    <mergeCell ref="AC36:AC38"/>
    <mergeCell ref="AD36:AD38"/>
    <mergeCell ref="AE36:AE38"/>
    <mergeCell ref="AF36:AF38"/>
    <mergeCell ref="BE36:BE38"/>
    <mergeCell ref="BF36:BF38"/>
    <mergeCell ref="BG36:BG38"/>
    <mergeCell ref="BH36:BH38"/>
    <mergeCell ref="BI36:BI38"/>
    <mergeCell ref="BJ36:BJ38"/>
    <mergeCell ref="AY36:AY38"/>
    <mergeCell ref="AZ36:AZ38"/>
    <mergeCell ref="BA36:BA38"/>
    <mergeCell ref="BB36:BB38"/>
    <mergeCell ref="BC36:BC38"/>
    <mergeCell ref="BD36:BD38"/>
    <mergeCell ref="AS36:AS38"/>
    <mergeCell ref="AT36:AT38"/>
    <mergeCell ref="AU36:AU38"/>
    <mergeCell ref="AV36:AV38"/>
    <mergeCell ref="AW36:AW38"/>
    <mergeCell ref="AX36:AX38"/>
    <mergeCell ref="BG30:BG32"/>
    <mergeCell ref="BH30:BH32"/>
    <mergeCell ref="BI30:BI32"/>
    <mergeCell ref="BJ30:BJ32"/>
    <mergeCell ref="AY30:AY32"/>
    <mergeCell ref="AZ30:AZ32"/>
    <mergeCell ref="BA30:BA32"/>
    <mergeCell ref="BB30:BB32"/>
    <mergeCell ref="BC30:BC32"/>
    <mergeCell ref="BD30:BD32"/>
    <mergeCell ref="AS30:AS32"/>
    <mergeCell ref="AT30:AT32"/>
    <mergeCell ref="AU30:AU32"/>
    <mergeCell ref="AV30:AV32"/>
    <mergeCell ref="AW30:AW32"/>
    <mergeCell ref="AX30:AX32"/>
    <mergeCell ref="AM30:AM32"/>
    <mergeCell ref="AN30:AN32"/>
    <mergeCell ref="AO30:AO32"/>
    <mergeCell ref="AP30:AP32"/>
    <mergeCell ref="AQ30:AQ32"/>
    <mergeCell ref="AR30:AR32"/>
    <mergeCell ref="O30:O32"/>
    <mergeCell ref="P30:P32"/>
    <mergeCell ref="Q30:Q32"/>
    <mergeCell ref="S30:S32"/>
    <mergeCell ref="T30:T32"/>
    <mergeCell ref="Z30:Z32"/>
    <mergeCell ref="BF25:BF28"/>
    <mergeCell ref="AH25:AH28"/>
    <mergeCell ref="AB25:AB28"/>
    <mergeCell ref="AC25:AC28"/>
    <mergeCell ref="AD25:AD28"/>
    <mergeCell ref="AE25:AE28"/>
    <mergeCell ref="AF25:AF28"/>
    <mergeCell ref="AG25:AG28"/>
    <mergeCell ref="O36:O38"/>
    <mergeCell ref="P36:P38"/>
    <mergeCell ref="Q36:Q38"/>
    <mergeCell ref="S36:S38"/>
    <mergeCell ref="T36:T38"/>
    <mergeCell ref="Z36:Z38"/>
    <mergeCell ref="BE30:BE32"/>
    <mergeCell ref="BF30:BF32"/>
    <mergeCell ref="AG30:AG32"/>
    <mergeCell ref="AH30:AH32"/>
    <mergeCell ref="AM36:AM38"/>
    <mergeCell ref="AN36:AN38"/>
    <mergeCell ref="AO36:AO38"/>
    <mergeCell ref="AP36:AP38"/>
    <mergeCell ref="AQ36:AQ38"/>
    <mergeCell ref="AR36:AR38"/>
    <mergeCell ref="AG36:AG38"/>
    <mergeCell ref="AH36:AH38"/>
    <mergeCell ref="AO25:AO28"/>
    <mergeCell ref="AP25:AP28"/>
    <mergeCell ref="AQ25:AQ28"/>
    <mergeCell ref="AR25:AR28"/>
    <mergeCell ref="AS25:AS28"/>
    <mergeCell ref="AI25:AI28"/>
    <mergeCell ref="AJ25:AJ28"/>
    <mergeCell ref="AK25:AK28"/>
    <mergeCell ref="AL25:AL28"/>
    <mergeCell ref="AM25:AM28"/>
    <mergeCell ref="AI30:AI32"/>
    <mergeCell ref="AJ30:AJ32"/>
    <mergeCell ref="AK30:AK32"/>
    <mergeCell ref="AL30:AL32"/>
    <mergeCell ref="AA30:AA32"/>
    <mergeCell ref="AB30:AB32"/>
    <mergeCell ref="AC30:AC32"/>
    <mergeCell ref="AD30:AD32"/>
    <mergeCell ref="AE30:AE32"/>
    <mergeCell ref="AF30:AF32"/>
    <mergeCell ref="BC22:BC23"/>
    <mergeCell ref="BD22:BD23"/>
    <mergeCell ref="AS22:AS23"/>
    <mergeCell ref="AT22:AT23"/>
    <mergeCell ref="AU22:AU23"/>
    <mergeCell ref="AV22:AV23"/>
    <mergeCell ref="AW22:AW23"/>
    <mergeCell ref="AX22:AX23"/>
    <mergeCell ref="AM22:AM23"/>
    <mergeCell ref="AN22:AN23"/>
    <mergeCell ref="AO22:AO23"/>
    <mergeCell ref="AP22:AP23"/>
    <mergeCell ref="BG25:BG28"/>
    <mergeCell ref="BH25:BH28"/>
    <mergeCell ref="BI25:BI28"/>
    <mergeCell ref="BJ25:BJ28"/>
    <mergeCell ref="AI29:AJ29"/>
    <mergeCell ref="AL29:AM29"/>
    <mergeCell ref="AN29:AO29"/>
    <mergeCell ref="AQ29:AR29"/>
    <mergeCell ref="AZ25:AZ28"/>
    <mergeCell ref="BA25:BA28"/>
    <mergeCell ref="BB25:BB28"/>
    <mergeCell ref="BC25:BC28"/>
    <mergeCell ref="BD25:BD28"/>
    <mergeCell ref="BE25:BE28"/>
    <mergeCell ref="AT25:AT28"/>
    <mergeCell ref="AU25:AU28"/>
    <mergeCell ref="AV25:AV28"/>
    <mergeCell ref="AW25:AW28"/>
    <mergeCell ref="AX25:AX28"/>
    <mergeCell ref="AY25:AY28"/>
    <mergeCell ref="AA22:AA23"/>
    <mergeCell ref="AB22:AB23"/>
    <mergeCell ref="AC22:AC23"/>
    <mergeCell ref="AD22:AD23"/>
    <mergeCell ref="AE22:AE23"/>
    <mergeCell ref="AF22:AF23"/>
    <mergeCell ref="O22:O23"/>
    <mergeCell ref="P22:P23"/>
    <mergeCell ref="Q22:Q23"/>
    <mergeCell ref="S22:S23"/>
    <mergeCell ref="T22:T23"/>
    <mergeCell ref="Z22:Z23"/>
    <mergeCell ref="AH24:AI24"/>
    <mergeCell ref="AK24:AL24"/>
    <mergeCell ref="AM24:AN24"/>
    <mergeCell ref="O25:O28"/>
    <mergeCell ref="P25:P28"/>
    <mergeCell ref="Q25:Q28"/>
    <mergeCell ref="S25:S28"/>
    <mergeCell ref="T25:T28"/>
    <mergeCell ref="Z25:Z28"/>
    <mergeCell ref="AA25:AA28"/>
    <mergeCell ref="AN25:AN28"/>
    <mergeCell ref="BI17:BI19"/>
    <mergeCell ref="BJ17:BJ19"/>
    <mergeCell ref="AY17:AY19"/>
    <mergeCell ref="AZ17:AZ19"/>
    <mergeCell ref="BA17:BA19"/>
    <mergeCell ref="BB17:BB19"/>
    <mergeCell ref="BC17:BC19"/>
    <mergeCell ref="BD17:BD19"/>
    <mergeCell ref="AS17:AS19"/>
    <mergeCell ref="AT17:AT19"/>
    <mergeCell ref="AU17:AU19"/>
    <mergeCell ref="AV17:AV19"/>
    <mergeCell ref="AW17:AW19"/>
    <mergeCell ref="AX17:AX19"/>
    <mergeCell ref="AQ22:AQ23"/>
    <mergeCell ref="AR22:AR23"/>
    <mergeCell ref="AG22:AG23"/>
    <mergeCell ref="AH22:AH23"/>
    <mergeCell ref="AI22:AI23"/>
    <mergeCell ref="AJ22:AJ23"/>
    <mergeCell ref="AK22:AK23"/>
    <mergeCell ref="AL22:AL23"/>
    <mergeCell ref="BE22:BE23"/>
    <mergeCell ref="BF22:BF23"/>
    <mergeCell ref="BG22:BG23"/>
    <mergeCell ref="BH22:BH23"/>
    <mergeCell ref="BI22:BI23"/>
    <mergeCell ref="BJ22:BJ23"/>
    <mergeCell ref="AY22:AY23"/>
    <mergeCell ref="AZ22:AZ23"/>
    <mergeCell ref="BA22:BA23"/>
    <mergeCell ref="BB22:BB23"/>
    <mergeCell ref="AB17:AB19"/>
    <mergeCell ref="AC17:AC19"/>
    <mergeCell ref="AD17:AD19"/>
    <mergeCell ref="AE17:AE19"/>
    <mergeCell ref="AF17:AF19"/>
    <mergeCell ref="BE17:BE19"/>
    <mergeCell ref="BF17:BF19"/>
    <mergeCell ref="BG17:BG19"/>
    <mergeCell ref="AB7:AM7"/>
    <mergeCell ref="AN7:AY7"/>
    <mergeCell ref="AZ7:BE7"/>
    <mergeCell ref="AP8:AQ8"/>
    <mergeCell ref="BH17:BH19"/>
    <mergeCell ref="BE8:BE9"/>
    <mergeCell ref="AJ16:AK16"/>
    <mergeCell ref="AM16:AN16"/>
    <mergeCell ref="AO16:AP16"/>
    <mergeCell ref="O17:O19"/>
    <mergeCell ref="P17:P19"/>
    <mergeCell ref="Q17:Q19"/>
    <mergeCell ref="S17:S19"/>
    <mergeCell ref="T17:T19"/>
    <mergeCell ref="Z17:Z19"/>
    <mergeCell ref="AX8:AY8"/>
    <mergeCell ref="AZ8:AZ9"/>
    <mergeCell ref="BA8:BA9"/>
    <mergeCell ref="BB8:BB9"/>
    <mergeCell ref="BC8:BC9"/>
    <mergeCell ref="BD8:BD9"/>
    <mergeCell ref="BF7:BG8"/>
    <mergeCell ref="Q7:Q9"/>
    <mergeCell ref="R7:R9"/>
    <mergeCell ref="S7:S9"/>
    <mergeCell ref="T7:T9"/>
    <mergeCell ref="U7:U9"/>
    <mergeCell ref="V7:V9"/>
    <mergeCell ref="AM17:AM19"/>
    <mergeCell ref="AN17:AN19"/>
    <mergeCell ref="AO17:AO19"/>
    <mergeCell ref="AP17:AP19"/>
    <mergeCell ref="AQ17:AQ19"/>
    <mergeCell ref="AR17:AR19"/>
    <mergeCell ref="AG17:AG19"/>
    <mergeCell ref="AH17:AH19"/>
    <mergeCell ref="AI17:AI19"/>
    <mergeCell ref="AJ17:AJ19"/>
    <mergeCell ref="AK17:AK19"/>
    <mergeCell ref="AL17:AL19"/>
    <mergeCell ref="AA17:AA19"/>
    <mergeCell ref="J7:J9"/>
    <mergeCell ref="K7:K9"/>
    <mergeCell ref="L7:L9"/>
    <mergeCell ref="M7:N8"/>
    <mergeCell ref="O7:O9"/>
    <mergeCell ref="P7:P9"/>
    <mergeCell ref="A7:A9"/>
    <mergeCell ref="B7:C9"/>
    <mergeCell ref="D7:D9"/>
    <mergeCell ref="E7:F9"/>
    <mergeCell ref="G7:G9"/>
    <mergeCell ref="H7:I9"/>
    <mergeCell ref="A1:BF4"/>
    <mergeCell ref="A5:M6"/>
    <mergeCell ref="Q6:AA6"/>
    <mergeCell ref="AB6:AY6"/>
    <mergeCell ref="BF6:BJ6"/>
    <mergeCell ref="BH7:BI8"/>
    <mergeCell ref="BJ7:BJ9"/>
    <mergeCell ref="AB8:AC8"/>
    <mergeCell ref="AD8:AE8"/>
    <mergeCell ref="AF8:AG8"/>
    <mergeCell ref="AH8:AI8"/>
    <mergeCell ref="AJ8:AK8"/>
    <mergeCell ref="AL8:AM8"/>
    <mergeCell ref="AN8:AO8"/>
    <mergeCell ref="W7:Y8"/>
    <mergeCell ref="Z7:Z9"/>
    <mergeCell ref="AA7:AA9"/>
    <mergeCell ref="AR8:AS8"/>
    <mergeCell ref="AT8:AU8"/>
    <mergeCell ref="AV8:AW8"/>
  </mergeCell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BJ68"/>
  <sheetViews>
    <sheetView zoomScale="70" zoomScaleNormal="70" zoomScalePageLayoutView="59" workbookViewId="0" topLeftCell="L1">
      <selection activeCell="W8" sqref="U8:W8"/>
    </sheetView>
  </sheetViews>
  <sheetFormatPr defaultColWidth="11.421875" defaultRowHeight="15"/>
  <cols>
    <col min="1" max="1" width="17.8515625" style="20" customWidth="1"/>
    <col min="2" max="2" width="14.7109375" style="20" customWidth="1"/>
    <col min="3" max="3" width="9.57421875" style="20" customWidth="1"/>
    <col min="4" max="4" width="16.00390625" style="20" customWidth="1"/>
    <col min="5" max="5" width="10.421875" style="20" customWidth="1"/>
    <col min="6" max="6" width="18.57421875" style="20" customWidth="1"/>
    <col min="7" max="7" width="11.57421875" style="20" customWidth="1"/>
    <col min="8" max="8" width="26.421875" style="20" customWidth="1"/>
    <col min="9" max="9" width="14.57421875" style="20" customWidth="1"/>
    <col min="10" max="10" width="11.28125" style="20" customWidth="1"/>
    <col min="11" max="11" width="11.28125" style="2144" customWidth="1"/>
    <col min="12" max="12" width="17.421875" style="20" bestFit="1" customWidth="1"/>
    <col min="13" max="13" width="9.57421875" style="20" bestFit="1" customWidth="1"/>
    <col min="14" max="14" width="23.421875" style="20" customWidth="1"/>
    <col min="15" max="15" width="11.7109375" style="20" customWidth="1"/>
    <col min="16" max="16" width="24.421875" style="2127" hidden="1" customWidth="1"/>
    <col min="17" max="17" width="21.00390625" style="2127" customWidth="1"/>
    <col min="18" max="18" width="31.8515625" style="2122" customWidth="1"/>
    <col min="19" max="19" width="30.57421875" style="2122" customWidth="1"/>
    <col min="20" max="20" width="25.00390625" style="2122" customWidth="1"/>
    <col min="21" max="22" width="21.7109375" style="20" customWidth="1"/>
    <col min="23" max="23" width="19.8515625" style="2144" bestFit="1" customWidth="1"/>
    <col min="24" max="24" width="9.57421875" style="2618" bestFit="1" customWidth="1"/>
    <col min="25" max="25" width="17.28125" style="20" customWidth="1"/>
    <col min="26" max="26" width="10.8515625" style="20" customWidth="1"/>
    <col min="27" max="27" width="7.140625" style="2144" bestFit="1" customWidth="1"/>
    <col min="28" max="28" width="11.421875" style="20" customWidth="1"/>
    <col min="29" max="29" width="7.421875" style="2144" bestFit="1" customWidth="1"/>
    <col min="30" max="30" width="6.7109375" style="20" customWidth="1"/>
    <col min="31" max="31" width="7.421875" style="2144" bestFit="1" customWidth="1"/>
    <col min="32" max="32" width="9.28125" style="20" customWidth="1"/>
    <col min="33" max="33" width="9.28125" style="2144" customWidth="1"/>
    <col min="34" max="34" width="9.7109375" style="20" customWidth="1"/>
    <col min="35" max="35" width="9.7109375" style="2144" customWidth="1"/>
    <col min="36" max="36" width="9.140625" style="20" customWidth="1"/>
    <col min="37" max="37" width="9.140625" style="2144" customWidth="1"/>
    <col min="38" max="38" width="9.140625" style="20" customWidth="1"/>
    <col min="39" max="39" width="9.140625" style="2144" customWidth="1"/>
    <col min="40" max="40" width="9.140625" style="20" customWidth="1"/>
    <col min="41" max="41" width="9.140625" style="2144" customWidth="1"/>
    <col min="42" max="42" width="9.140625" style="20" customWidth="1"/>
    <col min="43" max="43" width="9.140625" style="2144" customWidth="1"/>
    <col min="44" max="44" width="9.140625" style="20" customWidth="1"/>
    <col min="45" max="45" width="9.140625" style="2144" customWidth="1"/>
    <col min="46" max="46" width="9.140625" style="20" customWidth="1"/>
    <col min="47" max="47" width="9.140625" style="2144" customWidth="1"/>
    <col min="48" max="48" width="9.140625" style="20" customWidth="1"/>
    <col min="49" max="49" width="9.140625" style="2144" customWidth="1"/>
    <col min="50" max="50" width="9.140625" style="20" customWidth="1"/>
    <col min="51" max="51" width="9.140625" style="2144" customWidth="1"/>
    <col min="52" max="52" width="15.28125" style="1947" customWidth="1"/>
    <col min="53" max="53" width="23.8515625" style="20" customWidth="1"/>
    <col min="54" max="54" width="22.57421875" style="20" customWidth="1"/>
    <col min="55" max="56" width="23.8515625" style="2618" customWidth="1"/>
    <col min="57" max="57" width="23.8515625" style="2122" customWidth="1"/>
    <col min="58" max="58" width="19.8515625" style="2618" customWidth="1"/>
    <col min="59" max="59" width="19.8515625" style="178" customWidth="1"/>
    <col min="60" max="60" width="19.8515625" style="2618" customWidth="1"/>
    <col min="61" max="61" width="19.8515625" style="178" customWidth="1"/>
    <col min="62" max="62" width="24.421875" style="20" customWidth="1"/>
    <col min="63" max="16384" width="11.421875" style="20" customWidth="1"/>
  </cols>
  <sheetData>
    <row r="1" spans="1:62" s="4" customFormat="1" ht="15" customHeight="1">
      <c r="A1" s="3047" t="s">
        <v>111</v>
      </c>
      <c r="B1" s="3047"/>
      <c r="C1" s="3047"/>
      <c r="D1" s="3047"/>
      <c r="E1" s="3047"/>
      <c r="F1" s="3047"/>
      <c r="G1" s="3047"/>
      <c r="H1" s="3047"/>
      <c r="I1" s="3047"/>
      <c r="J1" s="3047"/>
      <c r="K1" s="3047"/>
      <c r="L1" s="3047"/>
      <c r="M1" s="3047"/>
      <c r="N1" s="3047"/>
      <c r="O1" s="3047"/>
      <c r="P1" s="3047"/>
      <c r="Q1" s="3047"/>
      <c r="R1" s="3047"/>
      <c r="S1" s="3047"/>
      <c r="T1" s="3047"/>
      <c r="U1" s="3047"/>
      <c r="V1" s="3047"/>
      <c r="W1" s="3047"/>
      <c r="X1" s="3047"/>
      <c r="Y1" s="3047"/>
      <c r="Z1" s="3047"/>
      <c r="AA1" s="3047"/>
      <c r="AB1" s="3047"/>
      <c r="AC1" s="3047"/>
      <c r="AD1" s="3047"/>
      <c r="AE1" s="3047"/>
      <c r="AF1" s="3047"/>
      <c r="AG1" s="3047"/>
      <c r="AH1" s="3047"/>
      <c r="AI1" s="3047"/>
      <c r="AJ1" s="3047"/>
      <c r="AK1" s="3047"/>
      <c r="AL1" s="3047"/>
      <c r="AM1" s="3047"/>
      <c r="AN1" s="3047"/>
      <c r="AO1" s="3047"/>
      <c r="AP1" s="3047"/>
      <c r="AQ1" s="3047"/>
      <c r="AR1" s="3047"/>
      <c r="AS1" s="3047"/>
      <c r="AT1" s="3047"/>
      <c r="AU1" s="3047"/>
      <c r="AV1" s="3047"/>
      <c r="AW1" s="3047"/>
      <c r="AX1" s="3047"/>
      <c r="AY1" s="3047"/>
      <c r="AZ1" s="3047"/>
      <c r="BA1" s="3047"/>
      <c r="BB1" s="3047"/>
      <c r="BC1" s="3047"/>
      <c r="BD1" s="3047"/>
      <c r="BE1" s="3047"/>
      <c r="BF1" s="3047"/>
      <c r="BG1" s="3047"/>
      <c r="BH1" s="2875"/>
      <c r="BI1" s="2633" t="s">
        <v>97</v>
      </c>
      <c r="BJ1" s="2633" t="s">
        <v>112</v>
      </c>
    </row>
    <row r="2" spans="1:62" s="4" customFormat="1" ht="15">
      <c r="A2" s="3047"/>
      <c r="B2" s="3047"/>
      <c r="C2" s="3047"/>
      <c r="D2" s="3047"/>
      <c r="E2" s="3047"/>
      <c r="F2" s="3047"/>
      <c r="G2" s="3047"/>
      <c r="H2" s="3047"/>
      <c r="I2" s="3047"/>
      <c r="J2" s="3047"/>
      <c r="K2" s="3047"/>
      <c r="L2" s="3047"/>
      <c r="M2" s="3047"/>
      <c r="N2" s="3047"/>
      <c r="O2" s="3047"/>
      <c r="P2" s="3047"/>
      <c r="Q2" s="3047"/>
      <c r="R2" s="3047"/>
      <c r="S2" s="3047"/>
      <c r="T2" s="3047"/>
      <c r="U2" s="3047"/>
      <c r="V2" s="3047"/>
      <c r="W2" s="3047"/>
      <c r="X2" s="3047"/>
      <c r="Y2" s="3047"/>
      <c r="Z2" s="3047"/>
      <c r="AA2" s="3047"/>
      <c r="AB2" s="3047"/>
      <c r="AC2" s="3047"/>
      <c r="AD2" s="3047"/>
      <c r="AE2" s="3047"/>
      <c r="AF2" s="3047"/>
      <c r="AG2" s="3047"/>
      <c r="AH2" s="3047"/>
      <c r="AI2" s="3047"/>
      <c r="AJ2" s="3047"/>
      <c r="AK2" s="3047"/>
      <c r="AL2" s="3047"/>
      <c r="AM2" s="3047"/>
      <c r="AN2" s="3047"/>
      <c r="AO2" s="3047"/>
      <c r="AP2" s="3047"/>
      <c r="AQ2" s="3047"/>
      <c r="AR2" s="3047"/>
      <c r="AS2" s="3047"/>
      <c r="AT2" s="3047"/>
      <c r="AU2" s="3047"/>
      <c r="AV2" s="3047"/>
      <c r="AW2" s="3047"/>
      <c r="AX2" s="3047"/>
      <c r="AY2" s="3047"/>
      <c r="AZ2" s="3047"/>
      <c r="BA2" s="3047"/>
      <c r="BB2" s="3047"/>
      <c r="BC2" s="3047"/>
      <c r="BD2" s="3047"/>
      <c r="BE2" s="3047"/>
      <c r="BF2" s="3047"/>
      <c r="BG2" s="3047"/>
      <c r="BH2" s="2875"/>
      <c r="BI2" s="2634" t="s">
        <v>98</v>
      </c>
      <c r="BJ2" s="2635">
        <v>5</v>
      </c>
    </row>
    <row r="3" spans="1:62" s="4" customFormat="1" ht="15">
      <c r="A3" s="3047"/>
      <c r="B3" s="3047"/>
      <c r="C3" s="3047"/>
      <c r="D3" s="3047"/>
      <c r="E3" s="3047"/>
      <c r="F3" s="3047"/>
      <c r="G3" s="3047"/>
      <c r="H3" s="3047"/>
      <c r="I3" s="3047"/>
      <c r="J3" s="3047"/>
      <c r="K3" s="3047"/>
      <c r="L3" s="3047"/>
      <c r="M3" s="3047"/>
      <c r="N3" s="3047"/>
      <c r="O3" s="3047"/>
      <c r="P3" s="3047"/>
      <c r="Q3" s="3047"/>
      <c r="R3" s="3047"/>
      <c r="S3" s="3047"/>
      <c r="T3" s="3047"/>
      <c r="U3" s="3047"/>
      <c r="V3" s="3047"/>
      <c r="W3" s="3047"/>
      <c r="X3" s="3047"/>
      <c r="Y3" s="3047"/>
      <c r="Z3" s="3047"/>
      <c r="AA3" s="3047"/>
      <c r="AB3" s="3047"/>
      <c r="AC3" s="3047"/>
      <c r="AD3" s="3047"/>
      <c r="AE3" s="3047"/>
      <c r="AF3" s="3047"/>
      <c r="AG3" s="3047"/>
      <c r="AH3" s="3047"/>
      <c r="AI3" s="3047"/>
      <c r="AJ3" s="3047"/>
      <c r="AK3" s="3047"/>
      <c r="AL3" s="3047"/>
      <c r="AM3" s="3047"/>
      <c r="AN3" s="3047"/>
      <c r="AO3" s="3047"/>
      <c r="AP3" s="3047"/>
      <c r="AQ3" s="3047"/>
      <c r="AR3" s="3047"/>
      <c r="AS3" s="3047"/>
      <c r="AT3" s="3047"/>
      <c r="AU3" s="3047"/>
      <c r="AV3" s="3047"/>
      <c r="AW3" s="3047"/>
      <c r="AX3" s="3047"/>
      <c r="AY3" s="3047"/>
      <c r="AZ3" s="3047"/>
      <c r="BA3" s="3047"/>
      <c r="BB3" s="3047"/>
      <c r="BC3" s="3047"/>
      <c r="BD3" s="3047"/>
      <c r="BE3" s="3047"/>
      <c r="BF3" s="3047"/>
      <c r="BG3" s="3047"/>
      <c r="BH3" s="2875"/>
      <c r="BI3" s="2633" t="s">
        <v>99</v>
      </c>
      <c r="BJ3" s="2636" t="s">
        <v>2156</v>
      </c>
    </row>
    <row r="4" spans="1:62" s="24" customFormat="1" ht="21" customHeight="1">
      <c r="A4" s="3048"/>
      <c r="B4" s="3048"/>
      <c r="C4" s="3048"/>
      <c r="D4" s="3048"/>
      <c r="E4" s="3048"/>
      <c r="F4" s="3048"/>
      <c r="G4" s="3048"/>
      <c r="H4" s="3048"/>
      <c r="I4" s="3048"/>
      <c r="J4" s="3048"/>
      <c r="K4" s="3048"/>
      <c r="L4" s="3048"/>
      <c r="M4" s="3048"/>
      <c r="N4" s="3048"/>
      <c r="O4" s="3048"/>
      <c r="P4" s="3048"/>
      <c r="Q4" s="3048"/>
      <c r="R4" s="3048"/>
      <c r="S4" s="3048"/>
      <c r="T4" s="3048"/>
      <c r="U4" s="3048"/>
      <c r="V4" s="3048"/>
      <c r="W4" s="3048"/>
      <c r="X4" s="3048"/>
      <c r="Y4" s="3048"/>
      <c r="Z4" s="3048"/>
      <c r="AA4" s="3048"/>
      <c r="AB4" s="3048"/>
      <c r="AC4" s="3048"/>
      <c r="AD4" s="3048"/>
      <c r="AE4" s="3048"/>
      <c r="AF4" s="3048"/>
      <c r="AG4" s="3048"/>
      <c r="AH4" s="3048"/>
      <c r="AI4" s="3048"/>
      <c r="AJ4" s="3048"/>
      <c r="AK4" s="3048"/>
      <c r="AL4" s="3048"/>
      <c r="AM4" s="3048"/>
      <c r="AN4" s="3048"/>
      <c r="AO4" s="3048"/>
      <c r="AP4" s="3048"/>
      <c r="AQ4" s="3048"/>
      <c r="AR4" s="3048"/>
      <c r="AS4" s="3048"/>
      <c r="AT4" s="3048"/>
      <c r="AU4" s="3048"/>
      <c r="AV4" s="3048"/>
      <c r="AW4" s="3048"/>
      <c r="AX4" s="3048"/>
      <c r="AY4" s="3048"/>
      <c r="AZ4" s="3048"/>
      <c r="BA4" s="3048"/>
      <c r="BB4" s="3048"/>
      <c r="BC4" s="3048"/>
      <c r="BD4" s="3048"/>
      <c r="BE4" s="3048"/>
      <c r="BF4" s="3048"/>
      <c r="BG4" s="3048"/>
      <c r="BH4" s="2876"/>
      <c r="BI4" s="842" t="s">
        <v>100</v>
      </c>
      <c r="BJ4" s="2637" t="s">
        <v>113</v>
      </c>
    </row>
    <row r="5" spans="1:62" s="4" customFormat="1" ht="15">
      <c r="A5" s="3049" t="s">
        <v>0</v>
      </c>
      <c r="B5" s="3049"/>
      <c r="C5" s="3049"/>
      <c r="D5" s="3049"/>
      <c r="E5" s="3049"/>
      <c r="F5" s="3049"/>
      <c r="G5" s="3049"/>
      <c r="H5" s="3049"/>
      <c r="I5" s="3049"/>
      <c r="J5" s="3049"/>
      <c r="K5" s="3049"/>
      <c r="L5" s="3049"/>
      <c r="M5" s="3049"/>
      <c r="N5" s="2877"/>
      <c r="O5" s="2877"/>
      <c r="P5" s="2877"/>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c r="BH5" s="3049"/>
      <c r="BI5" s="3049"/>
      <c r="BJ5" s="3049"/>
    </row>
    <row r="6" spans="1:62" s="4" customFormat="1" ht="14.25" customHeight="1">
      <c r="A6" s="3049"/>
      <c r="B6" s="3049"/>
      <c r="C6" s="3049"/>
      <c r="D6" s="3049"/>
      <c r="E6" s="3049"/>
      <c r="F6" s="3049"/>
      <c r="G6" s="3049"/>
      <c r="H6" s="3049"/>
      <c r="I6" s="3049"/>
      <c r="J6" s="3049"/>
      <c r="K6" s="3049"/>
      <c r="L6" s="3049"/>
      <c r="M6" s="3049"/>
      <c r="N6" s="2877"/>
      <c r="O6" s="2877"/>
      <c r="P6" s="2878"/>
      <c r="Q6" s="3050"/>
      <c r="R6" s="3051"/>
      <c r="S6" s="3051"/>
      <c r="T6" s="3051"/>
      <c r="U6" s="3051"/>
      <c r="V6" s="3051"/>
      <c r="W6" s="3051"/>
      <c r="X6" s="3051"/>
      <c r="Y6" s="3051"/>
      <c r="Z6" s="3051"/>
      <c r="AA6" s="3051"/>
      <c r="AB6" s="3052"/>
      <c r="AC6" s="3050" t="s">
        <v>2</v>
      </c>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1"/>
      <c r="AZ6" s="3052"/>
      <c r="BA6" s="2879"/>
      <c r="BB6" s="2879"/>
      <c r="BC6" s="2879"/>
      <c r="BD6" s="2879"/>
      <c r="BE6" s="2879"/>
      <c r="BF6" s="2879"/>
      <c r="BG6" s="3050"/>
      <c r="BH6" s="3051"/>
      <c r="BI6" s="3051"/>
      <c r="BJ6" s="3051"/>
    </row>
    <row r="7" spans="1:62" s="2638" customFormat="1" ht="36.75" customHeight="1">
      <c r="A7" t="s">
        <v>3</v>
      </c>
      <c r="B7" t="s">
        <v>503</v>
      </c>
      <c r="C7" t="s">
        <v>3</v>
      </c>
      <c r="D7" t="s">
        <v>504</v>
      </c>
      <c r="E7" t="s">
        <v>3</v>
      </c>
      <c r="F7" t="s">
        <v>505</v>
      </c>
      <c r="G7" t="s">
        <v>3</v>
      </c>
      <c r="H7" t="s">
        <v>1832</v>
      </c>
      <c r="I7" t="s">
        <v>8</v>
      </c>
      <c r="J7" t="s">
        <v>1833</v>
      </c>
      <c r="K7"/>
      <c r="L7" t="s">
        <v>10</v>
      </c>
      <c r="M7" t="s">
        <v>3</v>
      </c>
      <c r="N7" t="s">
        <v>1834</v>
      </c>
      <c r="O7" t="s">
        <v>11</v>
      </c>
      <c r="P7" t="s">
        <v>1835</v>
      </c>
      <c r="Q7" t="s">
        <v>506</v>
      </c>
      <c r="R7" t="s">
        <v>13</v>
      </c>
      <c r="S7" t="s">
        <v>14</v>
      </c>
      <c r="T7" t="s">
        <v>15</v>
      </c>
      <c r="U7" t="s">
        <v>1836</v>
      </c>
      <c r="V7"/>
      <c r="W7"/>
      <c r="X7" t="s">
        <v>3</v>
      </c>
      <c r="Y7" t="s">
        <v>16</v>
      </c>
      <c r="Z7" t="s">
        <v>1088</v>
      </c>
      <c r="AA7"/>
      <c r="AB7" t="s">
        <v>23</v>
      </c>
      <c r="AC7"/>
      <c r="AD7" t="s">
        <v>24</v>
      </c>
      <c r="AE7"/>
      <c r="AF7" t="s">
        <v>1837</v>
      </c>
      <c r="AG7"/>
      <c r="AH7" t="s">
        <v>25</v>
      </c>
      <c r="AI7"/>
      <c r="AJ7" t="s">
        <v>26</v>
      </c>
      <c r="AK7"/>
      <c r="AL7" t="s">
        <v>27</v>
      </c>
      <c r="AM7"/>
      <c r="AN7" t="s">
        <v>28</v>
      </c>
      <c r="AO7"/>
      <c r="AP7" t="s">
        <v>29</v>
      </c>
      <c r="AQ7"/>
      <c r="AR7" t="s">
        <v>30</v>
      </c>
      <c r="AS7"/>
      <c r="AT7" t="s">
        <v>31</v>
      </c>
      <c r="AU7"/>
      <c r="AV7" t="s">
        <v>32</v>
      </c>
      <c r="AW7"/>
      <c r="AX7" t="s">
        <v>33</v>
      </c>
      <c r="AY7"/>
      <c r="AZ7" s="3279" t="s">
        <v>116</v>
      </c>
      <c r="BA7" t="s">
        <v>120</v>
      </c>
      <c r="BB7" s="3279" t="s">
        <v>121</v>
      </c>
      <c r="BC7" s="3299" t="s">
        <v>117</v>
      </c>
      <c r="BD7" s="3279" t="s">
        <v>118</v>
      </c>
      <c r="BE7" t="s">
        <v>122</v>
      </c>
      <c r="BF7" t="s">
        <v>19</v>
      </c>
      <c r="BG7"/>
      <c r="BH7" t="s">
        <v>20</v>
      </c>
      <c r="BI7"/>
      <c r="BJ7" s="2159" t="s">
        <v>21</v>
      </c>
    </row>
    <row r="8" spans="1:62" s="2639" customFormat="1" ht="30" customHeight="1">
      <c r="A8"/>
      <c r="B8"/>
      <c r="C8"/>
      <c r="D8"/>
      <c r="E8"/>
      <c r="F8"/>
      <c r="G8"/>
      <c r="H8"/>
      <c r="I8"/>
      <c r="J8" s="2160" t="s">
        <v>108</v>
      </c>
      <c r="K8" s="2161" t="s">
        <v>107</v>
      </c>
      <c r="L8"/>
      <c r="M8"/>
      <c r="N8"/>
      <c r="O8"/>
      <c r="P8"/>
      <c r="Q8"/>
      <c r="R8"/>
      <c r="S8"/>
      <c r="T8"/>
      <c r="U8" s="1188" t="s">
        <v>105</v>
      </c>
      <c r="V8" s="1189" t="s">
        <v>115</v>
      </c>
      <c r="W8" s="1189" t="s">
        <v>114</v>
      </c>
      <c r="X8"/>
      <c r="Y8"/>
      <c r="Z8" s="2162" t="s">
        <v>106</v>
      </c>
      <c r="AA8" s="2163" t="s">
        <v>107</v>
      </c>
      <c r="AB8" s="2162" t="s">
        <v>106</v>
      </c>
      <c r="AC8" s="2163" t="s">
        <v>107</v>
      </c>
      <c r="AD8" s="2162" t="s">
        <v>106</v>
      </c>
      <c r="AE8" s="2163" t="s">
        <v>107</v>
      </c>
      <c r="AF8" s="2162" t="s">
        <v>106</v>
      </c>
      <c r="AG8" s="2163" t="s">
        <v>107</v>
      </c>
      <c r="AH8" s="2162" t="s">
        <v>106</v>
      </c>
      <c r="AI8" s="2163" t="s">
        <v>107</v>
      </c>
      <c r="AJ8" s="2162" t="s">
        <v>106</v>
      </c>
      <c r="AK8" s="2163" t="s">
        <v>107</v>
      </c>
      <c r="AL8" s="2162" t="s">
        <v>106</v>
      </c>
      <c r="AM8" s="2163" t="s">
        <v>107</v>
      </c>
      <c r="AN8" s="2162" t="s">
        <v>106</v>
      </c>
      <c r="AO8" s="2163" t="s">
        <v>107</v>
      </c>
      <c r="AP8" s="2162" t="s">
        <v>106</v>
      </c>
      <c r="AQ8" s="2163" t="s">
        <v>107</v>
      </c>
      <c r="AR8" s="2162" t="s">
        <v>106</v>
      </c>
      <c r="AS8" s="2163" t="s">
        <v>107</v>
      </c>
      <c r="AT8" s="2162" t="s">
        <v>106</v>
      </c>
      <c r="AU8" s="2163" t="s">
        <v>107</v>
      </c>
      <c r="AV8" s="2162" t="s">
        <v>106</v>
      </c>
      <c r="AW8" s="2163" t="s">
        <v>107</v>
      </c>
      <c r="AX8" s="2162" t="s">
        <v>106</v>
      </c>
      <c r="AY8" s="2163" t="s">
        <v>107</v>
      </c>
      <c r="AZ8" s="3280"/>
      <c r="BA8"/>
      <c r="BB8" s="3280"/>
      <c r="BC8"/>
      <c r="BD8" s="3280"/>
      <c r="BE8"/>
      <c r="BF8" s="2164" t="s">
        <v>106</v>
      </c>
      <c r="BG8" s="2165" t="s">
        <v>107</v>
      </c>
      <c r="BH8" s="2164" t="s">
        <v>106</v>
      </c>
      <c r="BI8" s="2165" t="s">
        <v>107</v>
      </c>
      <c r="BJ8" s="2159"/>
    </row>
    <row r="9" spans="1:62" ht="20.25" customHeight="1">
      <c r="A9" s="41">
        <v>3</v>
      </c>
      <c r="B9" s="2098" t="s">
        <v>507</v>
      </c>
      <c r="C9" s="2099"/>
      <c r="D9" s="2099"/>
      <c r="E9" s="2099"/>
      <c r="F9" s="249"/>
      <c r="G9" s="249"/>
      <c r="H9" s="249"/>
      <c r="I9" s="249"/>
      <c r="J9" s="249"/>
      <c r="K9" s="249"/>
      <c r="L9" s="249"/>
      <c r="M9" s="249"/>
      <c r="N9" s="250"/>
      <c r="O9" s="249"/>
      <c r="P9" s="249"/>
      <c r="Q9" s="249"/>
      <c r="R9" s="249"/>
      <c r="S9" s="249"/>
      <c r="T9" s="249"/>
      <c r="U9" s="249"/>
      <c r="V9" s="249"/>
      <c r="W9" s="249"/>
      <c r="X9" s="251"/>
      <c r="Y9" s="252"/>
      <c r="Z9" s="252"/>
      <c r="AA9" s="250"/>
      <c r="AB9" s="249"/>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2"/>
      <c r="BA9" s="249"/>
      <c r="BB9" s="249"/>
      <c r="BC9" s="251"/>
      <c r="BD9" s="251"/>
      <c r="BE9" s="2871"/>
      <c r="BF9" s="251"/>
      <c r="BG9" s="252"/>
      <c r="BH9" s="252"/>
      <c r="BI9" s="252"/>
      <c r="BJ9" s="252"/>
    </row>
    <row r="10" spans="1:62" s="847" customFormat="1" ht="15">
      <c r="A10"/>
      <c r="B10"/>
      <c r="C10" s="254">
        <v>20</v>
      </c>
      <c r="D10" s="2091" t="s">
        <v>1838</v>
      </c>
      <c r="E10" s="255"/>
      <c r="F10" s="256"/>
      <c r="G10" s="255"/>
      <c r="H10" s="255"/>
      <c r="I10" s="255"/>
      <c r="J10" s="255"/>
      <c r="K10" s="255"/>
      <c r="L10" s="255"/>
      <c r="M10" s="257"/>
      <c r="N10" s="255"/>
      <c r="O10" s="255"/>
      <c r="P10" s="255"/>
      <c r="Q10" s="255"/>
      <c r="R10" s="255"/>
      <c r="S10" s="255"/>
      <c r="T10" s="255"/>
      <c r="U10" s="255"/>
      <c r="V10" s="258"/>
      <c r="W10" s="258"/>
      <c r="X10" s="259"/>
      <c r="Y10" s="259"/>
      <c r="Z10" s="255"/>
      <c r="AA10" s="257"/>
      <c r="AB10" s="255"/>
      <c r="AC10" s="257"/>
      <c r="AD10" s="255"/>
      <c r="AE10" s="257"/>
      <c r="AF10" s="255"/>
      <c r="AG10" s="257"/>
      <c r="AH10" s="255"/>
      <c r="AI10" s="257"/>
      <c r="AJ10" s="255"/>
      <c r="AK10" s="257"/>
      <c r="AL10" s="255"/>
      <c r="AM10" s="257"/>
      <c r="AN10" s="255"/>
      <c r="AO10" s="257"/>
      <c r="AP10" s="255"/>
      <c r="AQ10" s="257"/>
      <c r="AR10" s="255"/>
      <c r="AS10" s="257"/>
      <c r="AT10" s="255"/>
      <c r="AU10" s="257"/>
      <c r="AV10" s="255"/>
      <c r="AW10" s="257"/>
      <c r="AX10" s="255"/>
      <c r="AY10" s="257"/>
      <c r="AZ10" s="258"/>
      <c r="BA10" s="255"/>
      <c r="BB10" s="255"/>
      <c r="BC10" s="258"/>
      <c r="BD10" s="258"/>
      <c r="BE10" s="2103"/>
      <c r="BF10" s="258"/>
      <c r="BG10" s="259"/>
      <c r="BH10" s="258"/>
      <c r="BI10" s="259"/>
      <c r="BJ10" s="260"/>
    </row>
    <row r="11" spans="1:62" s="847" customFormat="1" ht="15">
      <c r="A11"/>
      <c r="B11"/>
      <c r="C11" s="2931"/>
      <c r="D11" s="2931"/>
      <c r="E11" s="261">
        <v>68</v>
      </c>
      <c r="F11" s="51" t="s">
        <v>1839</v>
      </c>
      <c r="G11" s="51"/>
      <c r="H11" s="51"/>
      <c r="I11" s="51"/>
      <c r="J11" s="51"/>
      <c r="K11" s="51"/>
      <c r="L11" s="51"/>
      <c r="M11" s="51"/>
      <c r="N11" s="51"/>
      <c r="O11" s="51"/>
      <c r="P11" s="51"/>
      <c r="Q11" s="51"/>
      <c r="R11" s="51"/>
      <c r="S11" s="51"/>
      <c r="T11" s="51"/>
      <c r="U11" s="51"/>
      <c r="V11" s="51"/>
      <c r="W11" s="51"/>
      <c r="X11" s="2853"/>
      <c r="Y11" s="51"/>
      <c r="Z11" s="51"/>
      <c r="AA11" s="475"/>
      <c r="AB11" s="51"/>
      <c r="AC11" s="475"/>
      <c r="AD11" s="51"/>
      <c r="AE11" s="475"/>
      <c r="AF11" s="51"/>
      <c r="AG11" s="475"/>
      <c r="AH11" s="51"/>
      <c r="AI11" s="475"/>
      <c r="AJ11" s="51"/>
      <c r="AK11" s="475"/>
      <c r="AL11" s="51"/>
      <c r="AM11" s="475"/>
      <c r="AN11" s="51"/>
      <c r="AO11" s="475"/>
      <c r="AP11" s="51"/>
      <c r="AQ11" s="475"/>
      <c r="AR11" s="51"/>
      <c r="AS11" s="475"/>
      <c r="AT11" s="51"/>
      <c r="AU11" s="475"/>
      <c r="AV11" s="51"/>
      <c r="AW11" s="475"/>
      <c r="AX11" s="51"/>
      <c r="AY11" s="475"/>
      <c r="AZ11" s="2853"/>
      <c r="BA11" s="51"/>
      <c r="BB11" s="51"/>
      <c r="BC11" s="2853"/>
      <c r="BD11" s="2853"/>
      <c r="BE11" s="476"/>
      <c r="BF11" s="2853"/>
      <c r="BG11" s="799"/>
      <c r="BH11" s="2853"/>
      <c r="BI11" s="799"/>
      <c r="BJ11" s="51"/>
    </row>
    <row r="12" spans="1:62" s="847" customFormat="1" ht="21" customHeight="1">
      <c r="A12"/>
      <c r="B12"/>
      <c r="C12" s="2931"/>
      <c r="D12" s="2931"/>
      <c r="E12" t="s">
        <v>40</v>
      </c>
      <c r="F12"/>
      <c r="G12" s="2988">
        <v>202</v>
      </c>
      <c r="H12" s="2982" t="s">
        <v>1840</v>
      </c>
      <c r="I12" s="2988" t="s">
        <v>873</v>
      </c>
      <c r="J12" s="2988">
        <v>23</v>
      </c>
      <c r="K12" s="2977">
        <v>23</v>
      </c>
      <c r="L12" t="s">
        <v>1841</v>
      </c>
      <c r="M12" s="2988">
        <v>161</v>
      </c>
      <c r="N12" t="s">
        <v>1842</v>
      </c>
      <c r="O12" s="3025">
        <f>P12/Q12</f>
        <v>0.7970326056237337</v>
      </c>
      <c r="P12">
        <v>216263553</v>
      </c>
      <c r="Q12">
        <f>SUM(P12:P16)</f>
        <v>271335892</v>
      </c>
      <c r="R12" s="3021" t="s">
        <v>1843</v>
      </c>
      <c r="S12" s="3021" t="s">
        <v>1844</v>
      </c>
      <c r="T12" s="2982" t="s">
        <v>1845</v>
      </c>
      <c r="U12">
        <v>214386753</v>
      </c>
      <c r="V12">
        <v>121396000</v>
      </c>
      <c r="W12">
        <v>121396000</v>
      </c>
      <c r="X12" s="2983">
        <v>54</v>
      </c>
      <c r="Y12" s="2988" t="s">
        <v>2151</v>
      </c>
      <c r="Z12"/>
      <c r="AA12"/>
      <c r="AB12" s="2931">
        <v>4164</v>
      </c>
      <c r="AC12" s="2977">
        <v>4164</v>
      </c>
      <c r="AD12" s="2931">
        <v>4491</v>
      </c>
      <c r="AE12" s="2977">
        <v>4491</v>
      </c>
      <c r="AF12" s="2931"/>
      <c r="AG12" s="2977"/>
      <c r="AH12"/>
      <c r="AI12"/>
      <c r="AJ12"/>
      <c r="AK12"/>
      <c r="AL12"/>
      <c r="AM12"/>
      <c r="AN12"/>
      <c r="AO12"/>
      <c r="AP12"/>
      <c r="AQ12"/>
      <c r="AR12"/>
      <c r="AS12"/>
      <c r="AT12"/>
      <c r="AU12"/>
      <c r="AV12"/>
      <c r="AW12"/>
      <c r="AX12"/>
      <c r="AY12"/>
      <c r="AZ12" s="2905">
        <v>23</v>
      </c>
      <c r="BA12">
        <v>121396000</v>
      </c>
      <c r="BB12">
        <v>121396000</v>
      </c>
      <c r="BC12" s="2905">
        <v>100</v>
      </c>
      <c r="BD12" s="2905" t="s">
        <v>2152</v>
      </c>
      <c r="BE12" s="2910" t="s">
        <v>1846</v>
      </c>
      <c r="BF12">
        <v>42598</v>
      </c>
      <c r="BG12">
        <v>42499</v>
      </c>
      <c r="BH12">
        <v>42735</v>
      </c>
      <c r="BI12">
        <v>42735</v>
      </c>
      <c r="BJ12" t="s">
        <v>1847</v>
      </c>
    </row>
    <row r="13" spans="1:62" s="847" customFormat="1" ht="6" customHeight="1">
      <c r="A13"/>
      <c r="B13"/>
      <c r="C13" s="2931"/>
      <c r="D13" s="2931"/>
      <c r="E13"/>
      <c r="F13"/>
      <c r="G13" s="2988"/>
      <c r="H13" s="2982"/>
      <c r="I13" s="2988"/>
      <c r="J13" s="2988"/>
      <c r="K13" s="2978"/>
      <c r="L13"/>
      <c r="M13" s="2988"/>
      <c r="N13"/>
      <c r="O13" s="3025"/>
      <c r="P13"/>
      <c r="Q13"/>
      <c r="R13" s="3021"/>
      <c r="S13" s="3021"/>
      <c r="T13" s="2982"/>
      <c r="U13"/>
      <c r="V13"/>
      <c r="W13"/>
      <c r="X13" s="2983"/>
      <c r="Y13" s="2988"/>
      <c r="Z13"/>
      <c r="AA13"/>
      <c r="AB13" s="2931"/>
      <c r="AC13" s="2978"/>
      <c r="AD13" s="2931"/>
      <c r="AE13" s="2978"/>
      <c r="AF13" s="2931"/>
      <c r="AG13" s="2978"/>
      <c r="AH13"/>
      <c r="AI13"/>
      <c r="AJ13"/>
      <c r="AK13"/>
      <c r="AL13"/>
      <c r="AM13"/>
      <c r="AN13"/>
      <c r="AO13"/>
      <c r="AP13"/>
      <c r="AQ13"/>
      <c r="AR13"/>
      <c r="AS13"/>
      <c r="AT13"/>
      <c r="AU13"/>
      <c r="AV13"/>
      <c r="AW13"/>
      <c r="AX13"/>
      <c r="AY13"/>
      <c r="AZ13" s="2906"/>
      <c r="BA13"/>
      <c r="BB13"/>
      <c r="BC13" s="2906"/>
      <c r="BD13" s="2906"/>
      <c r="BE13" s="3292"/>
      <c r="BF13"/>
      <c r="BG13"/>
      <c r="BH13"/>
      <c r="BI13"/>
      <c r="BJ13"/>
    </row>
    <row r="14" spans="1:62" ht="9.75" customHeight="1">
      <c r="A14"/>
      <c r="B14"/>
      <c r="C14" s="2931"/>
      <c r="D14" s="2931"/>
      <c r="E14"/>
      <c r="F14"/>
      <c r="G14" s="2988"/>
      <c r="H14" s="2982"/>
      <c r="I14" s="2988"/>
      <c r="J14" s="2988"/>
      <c r="K14" s="2978"/>
      <c r="L14"/>
      <c r="M14" s="2988"/>
      <c r="N14"/>
      <c r="O14" s="3025"/>
      <c r="P14"/>
      <c r="Q14"/>
      <c r="R14" s="3021"/>
      <c r="S14" s="3021"/>
      <c r="T14" s="2982"/>
      <c r="U14"/>
      <c r="V14"/>
      <c r="W14"/>
      <c r="X14" s="2983"/>
      <c r="Y14" s="2988"/>
      <c r="Z14"/>
      <c r="AA14"/>
      <c r="AB14" s="2931"/>
      <c r="AC14" s="2978"/>
      <c r="AD14" s="2931"/>
      <c r="AE14" s="2978"/>
      <c r="AF14" s="2931"/>
      <c r="AG14" s="2978"/>
      <c r="AH14"/>
      <c r="AI14"/>
      <c r="AJ14"/>
      <c r="AK14"/>
      <c r="AL14"/>
      <c r="AM14"/>
      <c r="AN14"/>
      <c r="AO14"/>
      <c r="AP14"/>
      <c r="AQ14"/>
      <c r="AR14"/>
      <c r="AS14"/>
      <c r="AT14"/>
      <c r="AU14"/>
      <c r="AV14"/>
      <c r="AW14"/>
      <c r="AX14"/>
      <c r="AY14"/>
      <c r="AZ14" s="2906"/>
      <c r="BA14"/>
      <c r="BB14"/>
      <c r="BC14" s="2906"/>
      <c r="BD14" s="2906"/>
      <c r="BE14" s="3292"/>
      <c r="BF14"/>
      <c r="BG14"/>
      <c r="BH14"/>
      <c r="BI14"/>
      <c r="BJ14"/>
    </row>
    <row r="15" spans="1:62" ht="33" customHeight="1">
      <c r="A15"/>
      <c r="B15"/>
      <c r="C15" s="2931"/>
      <c r="D15" s="2931"/>
      <c r="E15"/>
      <c r="F15"/>
      <c r="G15" s="2988"/>
      <c r="H15" s="2982"/>
      <c r="I15" s="2988"/>
      <c r="J15" s="2988"/>
      <c r="K15" s="2979"/>
      <c r="L15"/>
      <c r="M15" s="2988"/>
      <c r="N15"/>
      <c r="O15" s="3025"/>
      <c r="P15"/>
      <c r="Q15"/>
      <c r="R15" s="3021"/>
      <c r="S15" s="3021"/>
      <c r="T15" s="2982"/>
      <c r="U15" s="2472">
        <v>1876800</v>
      </c>
      <c r="V15" s="2473"/>
      <c r="W15" s="2473"/>
      <c r="X15" s="2841">
        <v>20</v>
      </c>
      <c r="Y15" s="2077" t="s">
        <v>1054</v>
      </c>
      <c r="Z15"/>
      <c r="AA15"/>
      <c r="AB15" s="2931"/>
      <c r="AC15" s="2978"/>
      <c r="AD15" s="2931"/>
      <c r="AE15" s="2978"/>
      <c r="AF15" s="2931"/>
      <c r="AG15" s="2978"/>
      <c r="AH15"/>
      <c r="AI15"/>
      <c r="AJ15"/>
      <c r="AK15"/>
      <c r="AL15"/>
      <c r="AM15"/>
      <c r="AN15"/>
      <c r="AO15"/>
      <c r="AP15"/>
      <c r="AQ15"/>
      <c r="AR15"/>
      <c r="AS15"/>
      <c r="AT15"/>
      <c r="AU15"/>
      <c r="AV15"/>
      <c r="AW15"/>
      <c r="AX15"/>
      <c r="AY15"/>
      <c r="AZ15" s="2906"/>
      <c r="BA15" s="2465">
        <f>W15</f>
        <v>0</v>
      </c>
      <c r="BB15" s="2465">
        <f>BA15</f>
        <v>0</v>
      </c>
      <c r="BC15" s="2906"/>
      <c r="BD15" s="2906"/>
      <c r="BE15" s="3292"/>
      <c r="BF15"/>
      <c r="BG15"/>
      <c r="BH15"/>
      <c r="BI15"/>
      <c r="BJ15"/>
    </row>
    <row r="16" spans="1:62" ht="54.75" customHeight="1">
      <c r="A16"/>
      <c r="B16"/>
      <c r="C16" s="2931"/>
      <c r="D16" s="2931"/>
      <c r="E16"/>
      <c r="F16"/>
      <c r="G16" s="2079">
        <v>203</v>
      </c>
      <c r="H16" s="2077" t="s">
        <v>1848</v>
      </c>
      <c r="I16" s="2079" t="s">
        <v>873</v>
      </c>
      <c r="J16" s="2079">
        <v>20</v>
      </c>
      <c r="K16" s="222">
        <v>20</v>
      </c>
      <c r="L16" s="2852" t="s">
        <v>1849</v>
      </c>
      <c r="M16" s="2988"/>
      <c r="N16"/>
      <c r="O16" s="2081">
        <f>P16/Q12</f>
        <v>0.2029673943762663</v>
      </c>
      <c r="P16" s="2479">
        <v>55072339</v>
      </c>
      <c r="Q16"/>
      <c r="R16" s="3021"/>
      <c r="S16" s="2080" t="s">
        <v>1850</v>
      </c>
      <c r="T16" s="2077" t="s">
        <v>1851</v>
      </c>
      <c r="U16" s="2474">
        <v>55072339</v>
      </c>
      <c r="V16" s="2475">
        <v>20940000</v>
      </c>
      <c r="W16" s="2475">
        <v>20940000</v>
      </c>
      <c r="X16" s="2841">
        <v>20</v>
      </c>
      <c r="Y16" s="2077" t="s">
        <v>1054</v>
      </c>
      <c r="Z16"/>
      <c r="AA16"/>
      <c r="AB16" s="2931"/>
      <c r="AC16" s="2979"/>
      <c r="AD16" s="2931"/>
      <c r="AE16" s="2979"/>
      <c r="AF16" s="2931"/>
      <c r="AG16" s="2979"/>
      <c r="AH16"/>
      <c r="AI16"/>
      <c r="AJ16"/>
      <c r="AK16"/>
      <c r="AL16"/>
      <c r="AM16"/>
      <c r="AN16"/>
      <c r="AO16"/>
      <c r="AP16"/>
      <c r="AQ16"/>
      <c r="AR16"/>
      <c r="AS16"/>
      <c r="AT16"/>
      <c r="AU16"/>
      <c r="AV16"/>
      <c r="AW16"/>
      <c r="AX16"/>
      <c r="AY16"/>
      <c r="AZ16" s="2941"/>
      <c r="BA16" s="2465">
        <f aca="true" t="shared" si="0" ref="BA16:BA21">W16</f>
        <v>20940000</v>
      </c>
      <c r="BB16" s="2465">
        <f aca="true" t="shared" si="1" ref="BB16:BB21">BA16</f>
        <v>20940000</v>
      </c>
      <c r="BC16" s="2941"/>
      <c r="BD16" s="2941"/>
      <c r="BE16" s="3293"/>
      <c r="BF16"/>
      <c r="BG16"/>
      <c r="BH16"/>
      <c r="BI16"/>
      <c r="BJ16"/>
    </row>
    <row r="17" spans="1:62" ht="43.5" customHeight="1">
      <c r="A17"/>
      <c r="B17"/>
      <c r="C17" s="2931"/>
      <c r="D17" s="2931"/>
      <c r="E17"/>
      <c r="F17"/>
      <c r="G17" s="2931">
        <v>203</v>
      </c>
      <c r="H17" s="2909" t="s">
        <v>1848</v>
      </c>
      <c r="I17" s="2931" t="s">
        <v>873</v>
      </c>
      <c r="J17" s="2931">
        <v>20</v>
      </c>
      <c r="K17" s="2977">
        <v>20</v>
      </c>
      <c r="L17" s="2837" t="s">
        <v>1852</v>
      </c>
      <c r="M17" s="2931">
        <v>167</v>
      </c>
      <c r="N17" t="s">
        <v>1853</v>
      </c>
      <c r="O17" s="3769">
        <v>1</v>
      </c>
      <c r="P17">
        <v>81450000</v>
      </c>
      <c r="Q17">
        <f>P17</f>
        <v>81450000</v>
      </c>
      <c r="R17" s="2909" t="s">
        <v>1854</v>
      </c>
      <c r="S17" s="2909" t="s">
        <v>1855</v>
      </c>
      <c r="T17" s="2909" t="s">
        <v>1848</v>
      </c>
      <c r="U17" s="2476">
        <v>3450000</v>
      </c>
      <c r="V17" s="2477">
        <v>3450000</v>
      </c>
      <c r="W17" s="2477">
        <v>3450000</v>
      </c>
      <c r="X17" s="2850">
        <v>54</v>
      </c>
      <c r="Y17" s="2072" t="s">
        <v>2151</v>
      </c>
      <c r="Z17"/>
      <c r="AA17"/>
      <c r="AB17" s="2905">
        <v>4164</v>
      </c>
      <c r="AC17" s="2977">
        <v>4164</v>
      </c>
      <c r="AD17" s="2905">
        <v>4491</v>
      </c>
      <c r="AE17" s="2977">
        <v>4491</v>
      </c>
      <c r="AF17" s="2905"/>
      <c r="AG17" s="2977"/>
      <c r="AH17"/>
      <c r="AI17"/>
      <c r="AJ17"/>
      <c r="AK17"/>
      <c r="AL17"/>
      <c r="AM17"/>
      <c r="AN17"/>
      <c r="AO17"/>
      <c r="AP17"/>
      <c r="AQ17"/>
      <c r="AR17"/>
      <c r="AS17"/>
      <c r="AT17"/>
      <c r="AU17"/>
      <c r="AV17"/>
      <c r="AW17"/>
      <c r="AX17"/>
      <c r="AY17"/>
      <c r="AZ17" s="2907">
        <v>20</v>
      </c>
      <c r="BA17" s="2465">
        <f t="shared" si="0"/>
        <v>3450000</v>
      </c>
      <c r="BB17" s="2465">
        <f t="shared" si="1"/>
        <v>3450000</v>
      </c>
      <c r="BC17" s="2905">
        <v>100</v>
      </c>
      <c r="BD17" s="2905" t="s">
        <v>2154</v>
      </c>
      <c r="BE17" s="2910"/>
      <c r="BF17">
        <v>42370</v>
      </c>
      <c r="BG17">
        <v>42439</v>
      </c>
      <c r="BH17">
        <v>42735</v>
      </c>
      <c r="BI17">
        <v>42735</v>
      </c>
      <c r="BJ17" t="s">
        <v>1847</v>
      </c>
    </row>
    <row r="18" spans="1:62" ht="77.25" customHeight="1">
      <c r="A18"/>
      <c r="B18"/>
      <c r="C18" s="2931"/>
      <c r="D18" s="2931"/>
      <c r="E18"/>
      <c r="F18"/>
      <c r="G18" s="2931"/>
      <c r="H18" s="2909"/>
      <c r="I18" s="2931"/>
      <c r="J18" s="2931"/>
      <c r="K18" s="2979"/>
      <c r="L18" s="2837" t="s">
        <v>1856</v>
      </c>
      <c r="M18" s="2931"/>
      <c r="N18"/>
      <c r="O18" s="3769"/>
      <c r="P18"/>
      <c r="Q18"/>
      <c r="R18" s="2909"/>
      <c r="S18" s="2909"/>
      <c r="T18" s="2909"/>
      <c r="U18" s="2460">
        <v>78000000</v>
      </c>
      <c r="V18" s="2473">
        <v>78000000</v>
      </c>
      <c r="W18" s="2473">
        <v>78000000</v>
      </c>
      <c r="X18" s="2850">
        <v>20</v>
      </c>
      <c r="Y18" s="2072" t="s">
        <v>1054</v>
      </c>
      <c r="Z18"/>
      <c r="AA18"/>
      <c r="AB18" s="2941"/>
      <c r="AC18" s="2979"/>
      <c r="AD18" s="2941"/>
      <c r="AE18" s="2979"/>
      <c r="AF18" s="2941"/>
      <c r="AG18" s="2979"/>
      <c r="AH18"/>
      <c r="AI18"/>
      <c r="AJ18"/>
      <c r="AK18"/>
      <c r="AL18"/>
      <c r="AM18"/>
      <c r="AN18"/>
      <c r="AO18"/>
      <c r="AP18"/>
      <c r="AQ18"/>
      <c r="AR18"/>
      <c r="AS18"/>
      <c r="AT18"/>
      <c r="AU18"/>
      <c r="AV18"/>
      <c r="AW18"/>
      <c r="AX18"/>
      <c r="AY18"/>
      <c r="AZ18" s="3756"/>
      <c r="BA18" s="2465">
        <f t="shared" si="0"/>
        <v>78000000</v>
      </c>
      <c r="BB18" s="2465">
        <f t="shared" si="1"/>
        <v>78000000</v>
      </c>
      <c r="BC18" s="2941"/>
      <c r="BD18" s="2941"/>
      <c r="BE18" s="3293"/>
      <c r="BF18"/>
      <c r="BG18"/>
      <c r="BH18"/>
      <c r="BI18"/>
      <c r="BJ18" s="2931"/>
    </row>
    <row r="19" spans="1:62" ht="29.25" customHeight="1">
      <c r="A19"/>
      <c r="B19"/>
      <c r="C19" s="2931"/>
      <c r="D19" s="2931"/>
      <c r="E19"/>
      <c r="F19"/>
      <c r="G19" s="2931">
        <v>202</v>
      </c>
      <c r="H19" s="2909" t="s">
        <v>1840</v>
      </c>
      <c r="I19" s="2931" t="s">
        <v>873</v>
      </c>
      <c r="J19" s="2931">
        <v>23</v>
      </c>
      <c r="K19" s="2977">
        <v>23</v>
      </c>
      <c r="L19" s="2837" t="s">
        <v>1852</v>
      </c>
      <c r="M19" s="2931">
        <v>168</v>
      </c>
      <c r="N19" t="s">
        <v>1857</v>
      </c>
      <c r="O19" s="3769">
        <v>1</v>
      </c>
      <c r="P19">
        <v>183411612</v>
      </c>
      <c r="Q19">
        <v>183411612</v>
      </c>
      <c r="R19" s="2909"/>
      <c r="S19" s="2909"/>
      <c r="T19" s="2909" t="s">
        <v>1840</v>
      </c>
      <c r="U19" s="2285">
        <v>80206279</v>
      </c>
      <c r="V19" s="2478">
        <v>79109584</v>
      </c>
      <c r="W19" s="2478">
        <v>79109584</v>
      </c>
      <c r="X19" s="2850">
        <v>54</v>
      </c>
      <c r="Y19" s="2072" t="s">
        <v>2151</v>
      </c>
      <c r="Z19" t="s">
        <v>40</v>
      </c>
      <c r="AA19"/>
      <c r="AB19" s="2905">
        <v>4164</v>
      </c>
      <c r="AC19" s="2977">
        <v>4164</v>
      </c>
      <c r="AD19" s="2905">
        <v>4491</v>
      </c>
      <c r="AE19" s="2977">
        <v>4491</v>
      </c>
      <c r="AF19" s="2905"/>
      <c r="AG19" s="2977"/>
      <c r="AH19"/>
      <c r="AI19"/>
      <c r="AJ19"/>
      <c r="AK19"/>
      <c r="AL19"/>
      <c r="AM19"/>
      <c r="AN19"/>
      <c r="AO19"/>
      <c r="AP19"/>
      <c r="AQ19"/>
      <c r="AR19"/>
      <c r="AS19"/>
      <c r="AT19"/>
      <c r="AU19"/>
      <c r="AV19"/>
      <c r="AW19"/>
      <c r="AX19"/>
      <c r="AY19"/>
      <c r="AZ19" s="2846">
        <v>23</v>
      </c>
      <c r="BA19" s="2465">
        <f t="shared" si="0"/>
        <v>79109584</v>
      </c>
      <c r="BB19" s="2465">
        <f t="shared" si="1"/>
        <v>79109584</v>
      </c>
      <c r="BC19" s="2905">
        <v>100</v>
      </c>
      <c r="BD19" s="2846" t="s">
        <v>2151</v>
      </c>
      <c r="BE19" s="2910" t="s">
        <v>1846</v>
      </c>
      <c r="BF19">
        <v>42370</v>
      </c>
      <c r="BG19">
        <v>42439</v>
      </c>
      <c r="BH19">
        <v>42735</v>
      </c>
      <c r="BI19">
        <v>42735</v>
      </c>
      <c r="BJ19" t="s">
        <v>1847</v>
      </c>
    </row>
    <row r="20" spans="1:62" ht="30" customHeight="1">
      <c r="A20"/>
      <c r="B20"/>
      <c r="C20" s="2931"/>
      <c r="D20" s="2931"/>
      <c r="E20"/>
      <c r="F20"/>
      <c r="G20" s="2931"/>
      <c r="H20" s="2909"/>
      <c r="I20" s="2931"/>
      <c r="J20" s="2931"/>
      <c r="K20" s="2979"/>
      <c r="L20" s="2837" t="s">
        <v>1856</v>
      </c>
      <c r="M20" s="2931"/>
      <c r="N20"/>
      <c r="O20" s="3769"/>
      <c r="P20"/>
      <c r="Q20"/>
      <c r="R20" s="2909"/>
      <c r="S20" s="2909"/>
      <c r="T20" s="2909"/>
      <c r="U20" s="2465">
        <v>103205333</v>
      </c>
      <c r="V20" s="2478">
        <v>97746333</v>
      </c>
      <c r="W20" s="2478">
        <v>97746333</v>
      </c>
      <c r="X20" s="2850">
        <v>20</v>
      </c>
      <c r="Y20" s="2072" t="s">
        <v>1054</v>
      </c>
      <c r="Z20"/>
      <c r="AA20"/>
      <c r="AB20" s="2941"/>
      <c r="AC20" s="2979"/>
      <c r="AD20" s="2941"/>
      <c r="AE20" s="2979"/>
      <c r="AF20" s="2941"/>
      <c r="AG20" s="2979"/>
      <c r="AH20"/>
      <c r="AI20"/>
      <c r="AJ20"/>
      <c r="AK20"/>
      <c r="AL20"/>
      <c r="AM20"/>
      <c r="AN20"/>
      <c r="AO20"/>
      <c r="AP20"/>
      <c r="AQ20"/>
      <c r="AR20"/>
      <c r="AS20"/>
      <c r="AT20"/>
      <c r="AU20"/>
      <c r="AV20"/>
      <c r="AW20"/>
      <c r="AX20"/>
      <c r="AY20"/>
      <c r="AZ20" s="2840">
        <v>23</v>
      </c>
      <c r="BA20" s="2465">
        <f t="shared" si="0"/>
        <v>97746333</v>
      </c>
      <c r="BB20" s="2465">
        <f t="shared" si="1"/>
        <v>97746333</v>
      </c>
      <c r="BC20" s="2941"/>
      <c r="BD20" s="2840" t="s">
        <v>232</v>
      </c>
      <c r="BE20" s="3293"/>
      <c r="BF20"/>
      <c r="BG20"/>
      <c r="BH20"/>
      <c r="BI20"/>
      <c r="BJ20" s="2931"/>
    </row>
    <row r="21" spans="1:62" ht="57.75" customHeight="1">
      <c r="A21"/>
      <c r="B21"/>
      <c r="C21" s="2931"/>
      <c r="D21" s="2931"/>
      <c r="E21"/>
      <c r="F21"/>
      <c r="G21" s="2074">
        <v>202</v>
      </c>
      <c r="H21" s="2072" t="s">
        <v>1840</v>
      </c>
      <c r="I21" s="2074" t="s">
        <v>873</v>
      </c>
      <c r="J21" s="2074">
        <v>23</v>
      </c>
      <c r="K21" s="222">
        <v>23</v>
      </c>
      <c r="L21" s="2837" t="s">
        <v>1858</v>
      </c>
      <c r="M21" s="2074">
        <v>173</v>
      </c>
      <c r="N21" s="2123" t="s">
        <v>1859</v>
      </c>
      <c r="O21" s="2092">
        <v>1</v>
      </c>
      <c r="P21" s="2466">
        <v>13500000</v>
      </c>
      <c r="Q21" s="2466">
        <f>P21</f>
        <v>13500000</v>
      </c>
      <c r="R21" s="2909"/>
      <c r="S21" s="2124" t="s">
        <v>1860</v>
      </c>
      <c r="T21" s="2072" t="s">
        <v>1840</v>
      </c>
      <c r="U21" s="2479">
        <v>13500000</v>
      </c>
      <c r="V21" s="2470">
        <v>13500000</v>
      </c>
      <c r="W21" s="2470">
        <v>13500000</v>
      </c>
      <c r="X21" s="2850">
        <v>54</v>
      </c>
      <c r="Y21" s="2072" t="s">
        <v>2153</v>
      </c>
      <c r="Z21" s="2115"/>
      <c r="AA21" s="2147"/>
      <c r="AB21" s="2846">
        <v>4164</v>
      </c>
      <c r="AC21" s="2854">
        <v>4164</v>
      </c>
      <c r="AD21" s="2846">
        <v>4491</v>
      </c>
      <c r="AE21" s="2854">
        <v>4491</v>
      </c>
      <c r="AF21" s="2074"/>
      <c r="AG21" s="2854"/>
      <c r="AH21" s="2115"/>
      <c r="AI21" s="2147"/>
      <c r="AJ21" s="2115"/>
      <c r="AK21" s="2147"/>
      <c r="AL21" s="2115"/>
      <c r="AM21" s="2147"/>
      <c r="AN21" s="2115"/>
      <c r="AO21" s="2147"/>
      <c r="AP21" s="2115"/>
      <c r="AQ21" s="2147"/>
      <c r="AR21" s="2115"/>
      <c r="AS21" s="2147"/>
      <c r="AT21" s="2115"/>
      <c r="AU21" s="2147"/>
      <c r="AV21" s="2115"/>
      <c r="AW21" s="2147"/>
      <c r="AX21" s="2115"/>
      <c r="AY21" s="2147"/>
      <c r="AZ21" s="2846">
        <v>23</v>
      </c>
      <c r="BA21" s="2465">
        <f t="shared" si="0"/>
        <v>13500000</v>
      </c>
      <c r="BB21" s="2465">
        <f t="shared" si="1"/>
        <v>13500000</v>
      </c>
      <c r="BC21" s="2861">
        <f>BB21/BA21*100</f>
        <v>100</v>
      </c>
      <c r="BD21" s="2861" t="s">
        <v>2151</v>
      </c>
      <c r="BE21" s="2843" t="s">
        <v>1846</v>
      </c>
      <c r="BF21" s="2856">
        <v>42370</v>
      </c>
      <c r="BG21" s="2150">
        <v>42439</v>
      </c>
      <c r="BH21" s="2856">
        <v>42582</v>
      </c>
      <c r="BI21" s="2150">
        <v>42560</v>
      </c>
      <c r="BJ21" s="2125" t="s">
        <v>1847</v>
      </c>
    </row>
    <row r="22" spans="1:62" ht="15">
      <c r="A22"/>
      <c r="B22"/>
      <c r="C22" s="2931"/>
      <c r="D22" s="2931"/>
      <c r="E22" s="261">
        <v>68</v>
      </c>
      <c r="F22" s="51" t="s">
        <v>1861</v>
      </c>
      <c r="G22" s="51"/>
      <c r="H22" s="51"/>
      <c r="I22" s="51"/>
      <c r="J22" s="51"/>
      <c r="K22" s="51"/>
      <c r="L22" s="51"/>
      <c r="M22" s="51"/>
      <c r="N22" s="51"/>
      <c r="O22" s="51"/>
      <c r="P22" s="1901"/>
      <c r="Q22" s="1901"/>
      <c r="R22" s="51"/>
      <c r="S22" s="51"/>
      <c r="T22" s="51" t="s">
        <v>40</v>
      </c>
      <c r="U22" s="1901"/>
      <c r="V22" s="1901"/>
      <c r="W22" s="1901"/>
      <c r="X22" s="2853"/>
      <c r="Y22" s="51"/>
      <c r="Z22" s="51"/>
      <c r="AA22" s="475"/>
      <c r="AB22" s="51"/>
      <c r="AC22" s="475"/>
      <c r="AD22" s="51"/>
      <c r="AE22" s="475"/>
      <c r="AF22" s="51"/>
      <c r="AG22" s="475"/>
      <c r="AH22" s="51"/>
      <c r="AI22" s="475"/>
      <c r="AJ22" s="51"/>
      <c r="AK22" s="475"/>
      <c r="AL22" s="51"/>
      <c r="AM22" s="475"/>
      <c r="AN22" s="51"/>
      <c r="AO22" s="475"/>
      <c r="AP22" s="51"/>
      <c r="AQ22" s="475"/>
      <c r="AR22" s="51"/>
      <c r="AS22" s="475"/>
      <c r="AT22" s="51"/>
      <c r="AU22" s="475"/>
      <c r="AV22" s="51"/>
      <c r="AW22" s="475"/>
      <c r="AX22" s="51"/>
      <c r="AY22" s="475"/>
      <c r="AZ22" s="2853"/>
      <c r="BA22" s="1901" t="s">
        <v>40</v>
      </c>
      <c r="BB22" s="1901" t="s">
        <v>40</v>
      </c>
      <c r="BC22" s="2853"/>
      <c r="BD22" s="2853" t="s">
        <v>40</v>
      </c>
      <c r="BE22" s="476" t="s">
        <v>40</v>
      </c>
      <c r="BF22" s="2853"/>
      <c r="BG22" s="799"/>
      <c r="BH22" s="2853"/>
      <c r="BI22" s="799"/>
      <c r="BJ22" s="51"/>
    </row>
    <row r="23" spans="1:62" ht="59.25" customHeight="1">
      <c r="A23"/>
      <c r="B23"/>
      <c r="C23" s="2931"/>
      <c r="D23" s="2931"/>
      <c r="E23" s="2931"/>
      <c r="F23" s="2931"/>
      <c r="G23" s="2074">
        <v>204</v>
      </c>
      <c r="H23" s="2072" t="s">
        <v>1862</v>
      </c>
      <c r="I23" s="2074" t="s">
        <v>873</v>
      </c>
      <c r="J23" s="2074">
        <v>13</v>
      </c>
      <c r="K23" s="222">
        <v>13</v>
      </c>
      <c r="L23" s="2846" t="s">
        <v>1863</v>
      </c>
      <c r="M23" s="2074">
        <v>161</v>
      </c>
      <c r="N23" s="2072" t="s">
        <v>1842</v>
      </c>
      <c r="O23" s="2092">
        <v>1</v>
      </c>
      <c r="P23" s="2466">
        <v>30000000</v>
      </c>
      <c r="Q23" s="2466">
        <f>P23</f>
        <v>30000000</v>
      </c>
      <c r="R23" s="2072" t="s">
        <v>1864</v>
      </c>
      <c r="S23" s="2072" t="s">
        <v>1865</v>
      </c>
      <c r="T23" s="2072" t="s">
        <v>1862</v>
      </c>
      <c r="U23" s="2471">
        <v>30000000</v>
      </c>
      <c r="V23" s="2880">
        <v>8000000</v>
      </c>
      <c r="W23" s="2461">
        <v>8000000</v>
      </c>
      <c r="X23" s="2850">
        <v>20</v>
      </c>
      <c r="Y23" s="671" t="s">
        <v>1054</v>
      </c>
      <c r="Z23" s="2115"/>
      <c r="AA23" s="2147"/>
      <c r="AB23" s="2846">
        <v>4164</v>
      </c>
      <c r="AC23" s="2854">
        <v>4164</v>
      </c>
      <c r="AD23" s="2846">
        <v>4491</v>
      </c>
      <c r="AE23" s="2854">
        <v>4491</v>
      </c>
      <c r="AF23" s="2074"/>
      <c r="AG23" s="2854"/>
      <c r="AH23" s="2115"/>
      <c r="AI23" s="2147"/>
      <c r="AJ23" s="2115"/>
      <c r="AK23" s="2147"/>
      <c r="AL23" s="2115"/>
      <c r="AM23" s="2147"/>
      <c r="AN23" s="2115"/>
      <c r="AO23" s="2147"/>
      <c r="AP23" s="2115"/>
      <c r="AQ23" s="2147"/>
      <c r="AR23" s="2115"/>
      <c r="AS23" s="2147"/>
      <c r="AT23" s="2115"/>
      <c r="AU23" s="2147"/>
      <c r="AV23" s="2115"/>
      <c r="AW23" s="2147"/>
      <c r="AX23" s="2115"/>
      <c r="AY23" s="2147"/>
      <c r="AZ23" s="2846">
        <v>13</v>
      </c>
      <c r="BA23" s="2465">
        <v>8000000</v>
      </c>
      <c r="BB23" s="2465">
        <v>8000000</v>
      </c>
      <c r="BC23" s="2846">
        <f>BB23/BA23*100</f>
        <v>100</v>
      </c>
      <c r="BD23" s="2846" t="s">
        <v>232</v>
      </c>
      <c r="BE23" s="2843" t="s">
        <v>1846</v>
      </c>
      <c r="BF23" s="2856">
        <v>42370</v>
      </c>
      <c r="BG23" s="2150">
        <v>42439</v>
      </c>
      <c r="BH23" s="2856">
        <v>42735</v>
      </c>
      <c r="BI23" s="2150">
        <v>42735</v>
      </c>
      <c r="BJ23" s="2125" t="s">
        <v>1866</v>
      </c>
    </row>
    <row r="24" spans="1:62" ht="15">
      <c r="A24"/>
      <c r="B24"/>
      <c r="C24" s="2931"/>
      <c r="D24" s="2931"/>
      <c r="E24" s="261">
        <v>70</v>
      </c>
      <c r="F24" s="51" t="s">
        <v>1867</v>
      </c>
      <c r="G24" s="51"/>
      <c r="H24" s="51"/>
      <c r="I24" s="51"/>
      <c r="J24" s="51"/>
      <c r="K24" s="51"/>
      <c r="L24" s="51"/>
      <c r="M24" s="51"/>
      <c r="N24" s="51"/>
      <c r="O24" s="51"/>
      <c r="P24" s="1901"/>
      <c r="Q24" s="1901"/>
      <c r="R24" s="51"/>
      <c r="S24" s="51"/>
      <c r="T24" s="51"/>
      <c r="U24" s="1901"/>
      <c r="V24" s="1901"/>
      <c r="W24" s="1901"/>
      <c r="X24" s="2853"/>
      <c r="Y24" s="51"/>
      <c r="Z24" s="51"/>
      <c r="AA24" s="475"/>
      <c r="AB24" s="51"/>
      <c r="AC24" s="475"/>
      <c r="AD24" s="51"/>
      <c r="AE24" s="475"/>
      <c r="AF24" s="51"/>
      <c r="AG24" s="475"/>
      <c r="AH24" s="51"/>
      <c r="AI24" s="475"/>
      <c r="AJ24" s="51"/>
      <c r="AK24" s="475"/>
      <c r="AL24" s="51"/>
      <c r="AM24" s="475"/>
      <c r="AN24" s="51"/>
      <c r="AO24" s="475"/>
      <c r="AP24" s="51"/>
      <c r="AQ24" s="475"/>
      <c r="AR24" s="51"/>
      <c r="AS24" s="475"/>
      <c r="AT24" s="51"/>
      <c r="AU24" s="475"/>
      <c r="AV24" s="51"/>
      <c r="AW24" s="475"/>
      <c r="AX24" s="51"/>
      <c r="AY24" s="475"/>
      <c r="AZ24" s="2853"/>
      <c r="BA24" s="1901"/>
      <c r="BB24" s="1901"/>
      <c r="BC24" s="2853"/>
      <c r="BD24" s="2853"/>
      <c r="BE24" s="476"/>
      <c r="BF24" s="2853"/>
      <c r="BG24" s="799"/>
      <c r="BH24" s="2853"/>
      <c r="BI24" s="799"/>
      <c r="BJ24" s="51"/>
    </row>
    <row r="25" spans="1:62" ht="27.75" customHeight="1">
      <c r="A25"/>
      <c r="B25"/>
      <c r="C25" s="2931"/>
      <c r="D25" s="2931"/>
      <c r="E25" s="3743"/>
      <c r="F25" s="3287"/>
      <c r="G25" s="2905">
        <v>205</v>
      </c>
      <c r="H25" s="2905" t="s">
        <v>1868</v>
      </c>
      <c r="I25" s="2905" t="s">
        <v>873</v>
      </c>
      <c r="J25" s="2905">
        <v>1</v>
      </c>
      <c r="K25" s="2977">
        <v>1</v>
      </c>
      <c r="L25" s="2837" t="s">
        <v>1852</v>
      </c>
      <c r="M25" s="2931">
        <v>162</v>
      </c>
      <c r="N25" s="3734" t="s">
        <v>1869</v>
      </c>
      <c r="O25" s="3769">
        <v>1</v>
      </c>
      <c r="P25">
        <v>45866652.64</v>
      </c>
      <c r="Q25">
        <v>45866652.64</v>
      </c>
      <c r="R25" t="s">
        <v>1873</v>
      </c>
      <c r="S25" t="s">
        <v>1874</v>
      </c>
      <c r="T25" t="s">
        <v>1870</v>
      </c>
      <c r="U25" s="2466">
        <v>3989853</v>
      </c>
      <c r="V25" s="2470" t="s">
        <v>40</v>
      </c>
      <c r="W25" s="2470" t="s">
        <v>40</v>
      </c>
      <c r="X25" s="2850">
        <v>54</v>
      </c>
      <c r="Y25" s="2451" t="s">
        <v>2151</v>
      </c>
      <c r="Z25"/>
      <c r="AA25"/>
      <c r="AB25" s="2931">
        <v>4164</v>
      </c>
      <c r="AC25" s="2977">
        <v>6300</v>
      </c>
      <c r="AD25">
        <v>4491</v>
      </c>
      <c r="AE25">
        <v>2422</v>
      </c>
      <c r="AF25"/>
      <c r="AG25"/>
      <c r="AH25"/>
      <c r="AI25"/>
      <c r="AJ25"/>
      <c r="AK25"/>
      <c r="AL25"/>
      <c r="AM25"/>
      <c r="AN25"/>
      <c r="AO25"/>
      <c r="AP25"/>
      <c r="AQ25"/>
      <c r="AR25"/>
      <c r="AS25"/>
      <c r="AT25"/>
      <c r="AU25"/>
      <c r="AV25"/>
      <c r="AW25"/>
      <c r="AX25"/>
      <c r="AY25"/>
      <c r="AZ25" s="2988"/>
      <c r="BA25">
        <f>W26</f>
        <v>37053553</v>
      </c>
      <c r="BB25" s="2872">
        <v>0</v>
      </c>
      <c r="BC25" s="2925">
        <f>+W26/(U25+U26)</f>
        <v>0.8078538671657598</v>
      </c>
      <c r="BD25" t="s">
        <v>2151</v>
      </c>
      <c r="BE25"/>
      <c r="BF25">
        <v>42370</v>
      </c>
      <c r="BG25">
        <v>42422</v>
      </c>
      <c r="BH25">
        <v>42735</v>
      </c>
      <c r="BI25">
        <v>42726</v>
      </c>
      <c r="BJ25" t="s">
        <v>1847</v>
      </c>
    </row>
    <row r="26" spans="1:62" ht="27.75" customHeight="1">
      <c r="A26"/>
      <c r="B26"/>
      <c r="C26" s="2931"/>
      <c r="D26" s="2931"/>
      <c r="E26" s="3744"/>
      <c r="F26" s="3288"/>
      <c r="G26" s="2906"/>
      <c r="H26" s="2906"/>
      <c r="I26" s="2906"/>
      <c r="J26" s="2906"/>
      <c r="K26" s="2978"/>
      <c r="L26" s="2126" t="s">
        <v>1871</v>
      </c>
      <c r="M26" s="2931"/>
      <c r="N26" s="3737"/>
      <c r="O26" s="3769"/>
      <c r="P26"/>
      <c r="Q26"/>
      <c r="R26"/>
      <c r="S26"/>
      <c r="T26"/>
      <c r="U26" s="2466">
        <v>41876800</v>
      </c>
      <c r="V26" s="2470">
        <v>37053553</v>
      </c>
      <c r="W26" s="2470">
        <v>37053553</v>
      </c>
      <c r="X26" s="2850">
        <v>20</v>
      </c>
      <c r="Y26" s="2455" t="s">
        <v>1054</v>
      </c>
      <c r="Z26"/>
      <c r="AA26"/>
      <c r="AB26" s="2931"/>
      <c r="AC26" s="2979"/>
      <c r="AD26"/>
      <c r="AE26"/>
      <c r="AF26"/>
      <c r="AG26"/>
      <c r="AH26"/>
      <c r="AI26"/>
      <c r="AJ26"/>
      <c r="AK26"/>
      <c r="AL26"/>
      <c r="AM26"/>
      <c r="AN26"/>
      <c r="AO26"/>
      <c r="AP26"/>
      <c r="AQ26"/>
      <c r="AR26"/>
      <c r="AS26"/>
      <c r="AT26"/>
      <c r="AU26"/>
      <c r="AV26"/>
      <c r="AW26"/>
      <c r="AX26"/>
      <c r="AY26"/>
      <c r="AZ26" s="2988"/>
      <c r="BA26"/>
      <c r="BB26" s="2467">
        <f>BA25</f>
        <v>37053553</v>
      </c>
      <c r="BC26" s="3272">
        <v>100</v>
      </c>
      <c r="BD26"/>
      <c r="BE26"/>
      <c r="BF26"/>
      <c r="BG26">
        <v>42422</v>
      </c>
      <c r="BH26">
        <v>42735</v>
      </c>
      <c r="BI26">
        <v>42726</v>
      </c>
      <c r="BJ26"/>
    </row>
    <row r="27" spans="1:62" ht="90.75" customHeight="1">
      <c r="A27"/>
      <c r="B27"/>
      <c r="C27" s="2931"/>
      <c r="D27" s="2931"/>
      <c r="E27" s="2456"/>
      <c r="F27" s="2458"/>
      <c r="G27" s="2941"/>
      <c r="H27" s="2941"/>
      <c r="I27" s="2941"/>
      <c r="J27" s="2941"/>
      <c r="K27" s="2979"/>
      <c r="L27" s="2837" t="s">
        <v>1872</v>
      </c>
      <c r="M27" s="2452">
        <v>170</v>
      </c>
      <c r="N27" s="2451" t="s">
        <v>1920</v>
      </c>
      <c r="O27" s="2457">
        <v>1</v>
      </c>
      <c r="P27" s="2479">
        <v>114315715</v>
      </c>
      <c r="Q27" s="2479">
        <f>P27</f>
        <v>114315715</v>
      </c>
      <c r="R27" s="2131" t="s">
        <v>1904</v>
      </c>
      <c r="S27" s="2132" t="s">
        <v>1905</v>
      </c>
      <c r="T27" s="2453" t="s">
        <v>1898</v>
      </c>
      <c r="U27" s="2463">
        <v>114315715</v>
      </c>
      <c r="V27" s="2470">
        <v>113261582</v>
      </c>
      <c r="W27" s="2470">
        <v>113261582</v>
      </c>
      <c r="X27" s="2841">
        <v>54</v>
      </c>
      <c r="Y27" s="2452" t="s">
        <v>2151</v>
      </c>
      <c r="Z27" s="2837">
        <v>3525</v>
      </c>
      <c r="AA27" s="2854"/>
      <c r="AB27" s="2837">
        <v>17139</v>
      </c>
      <c r="AC27" s="2854">
        <v>6270</v>
      </c>
      <c r="AD27" s="2837"/>
      <c r="AE27" s="2854">
        <v>2452</v>
      </c>
      <c r="AF27" s="2133"/>
      <c r="AG27" s="2147"/>
      <c r="AH27" s="2133"/>
      <c r="AI27" s="2147"/>
      <c r="AJ27" s="2133"/>
      <c r="AK27" s="2147"/>
      <c r="AL27" s="2133"/>
      <c r="AM27" s="2147"/>
      <c r="AN27" s="2133"/>
      <c r="AO27" s="2147"/>
      <c r="AP27" s="2133"/>
      <c r="AQ27" s="2147"/>
      <c r="AR27" s="2133"/>
      <c r="AS27" s="2147"/>
      <c r="AT27" s="2133"/>
      <c r="AU27" s="2147"/>
      <c r="AV27" s="2133"/>
      <c r="AW27" s="2147"/>
      <c r="AX27" s="2133"/>
      <c r="AY27" s="2147"/>
      <c r="AZ27" s="2837">
        <v>13</v>
      </c>
      <c r="BA27" s="2285">
        <v>113261582</v>
      </c>
      <c r="BB27" s="2285">
        <v>113261582</v>
      </c>
      <c r="BC27" s="2842">
        <f>+BB27/BA27</f>
        <v>1</v>
      </c>
      <c r="BD27" s="2846" t="s">
        <v>2151</v>
      </c>
      <c r="BE27" s="2843"/>
      <c r="BF27" s="2856">
        <v>42370</v>
      </c>
      <c r="BG27" s="2150"/>
      <c r="BH27" s="2856">
        <v>42582</v>
      </c>
      <c r="BI27" s="2150"/>
      <c r="BJ27" s="2454" t="s">
        <v>1847</v>
      </c>
    </row>
    <row r="28" spans="1:62" ht="15">
      <c r="A28"/>
      <c r="B28"/>
      <c r="C28" s="2931"/>
      <c r="D28" s="2931"/>
      <c r="E28" s="261">
        <v>71</v>
      </c>
      <c r="F28" s="51" t="s">
        <v>1876</v>
      </c>
      <c r="G28" s="51"/>
      <c r="H28" s="51"/>
      <c r="I28" s="51"/>
      <c r="J28" s="51"/>
      <c r="K28" s="51"/>
      <c r="L28" s="51"/>
      <c r="M28" s="51"/>
      <c r="N28" s="51"/>
      <c r="O28" s="51"/>
      <c r="P28" s="1901"/>
      <c r="Q28" s="1901"/>
      <c r="R28" s="51"/>
      <c r="S28" s="51"/>
      <c r="T28" s="51"/>
      <c r="U28" s="1901"/>
      <c r="V28" s="1901"/>
      <c r="W28" s="1901"/>
      <c r="X28" s="2853"/>
      <c r="Y28" s="51"/>
      <c r="Z28" s="51"/>
      <c r="AA28" s="475"/>
      <c r="AB28" s="51"/>
      <c r="AC28" s="475"/>
      <c r="AD28" s="51"/>
      <c r="AE28" s="475"/>
      <c r="AF28" s="51"/>
      <c r="AG28" s="475"/>
      <c r="AH28" s="51"/>
      <c r="AI28" s="475"/>
      <c r="AJ28" s="51"/>
      <c r="AK28" s="475"/>
      <c r="AL28" s="51"/>
      <c r="AM28" s="475"/>
      <c r="AN28" s="51"/>
      <c r="AO28" s="475"/>
      <c r="AP28" s="51"/>
      <c r="AQ28" s="475"/>
      <c r="AR28" s="51"/>
      <c r="AS28" s="475"/>
      <c r="AT28" s="51"/>
      <c r="AU28" s="475"/>
      <c r="AV28" s="51"/>
      <c r="AW28" s="475"/>
      <c r="AX28" s="51"/>
      <c r="AY28" s="475"/>
      <c r="AZ28" s="2853"/>
      <c r="BA28" s="1901"/>
      <c r="BB28" s="1901"/>
      <c r="BC28" s="2853"/>
      <c r="BD28" s="2853"/>
      <c r="BE28" s="476"/>
      <c r="BF28" s="2853"/>
      <c r="BG28" s="799"/>
      <c r="BH28" s="2853"/>
      <c r="BI28" s="799"/>
      <c r="BJ28" s="51"/>
    </row>
    <row r="29" spans="1:62" ht="128.25">
      <c r="A29"/>
      <c r="B29"/>
      <c r="C29" s="2931"/>
      <c r="D29" s="2931"/>
      <c r="E29" s="2931"/>
      <c r="F29" s="2931"/>
      <c r="G29" s="2074">
        <v>206</v>
      </c>
      <c r="H29" s="2072" t="s">
        <v>1877</v>
      </c>
      <c r="I29" s="2074" t="s">
        <v>873</v>
      </c>
      <c r="J29" s="2074">
        <v>12</v>
      </c>
      <c r="K29" s="222">
        <v>12</v>
      </c>
      <c r="L29" s="2128" t="s">
        <v>1878</v>
      </c>
      <c r="M29" s="2931">
        <v>163</v>
      </c>
      <c r="N29" s="2909" t="s">
        <v>1922</v>
      </c>
      <c r="O29" s="2092">
        <f>P29/$Q$29</f>
        <v>0.29</v>
      </c>
      <c r="P29" s="2466">
        <v>8700000</v>
      </c>
      <c r="Q29">
        <f>SUM(P29:P31)</f>
        <v>30000000</v>
      </c>
      <c r="R29" t="s">
        <v>1879</v>
      </c>
      <c r="S29" s="2129" t="s">
        <v>1880</v>
      </c>
      <c r="T29" s="2072" t="s">
        <v>1881</v>
      </c>
      <c r="U29" s="2466">
        <v>8700000</v>
      </c>
      <c r="V29" s="2470">
        <v>8700000</v>
      </c>
      <c r="W29" s="2470">
        <v>8700000</v>
      </c>
      <c r="X29" s="3722">
        <v>20</v>
      </c>
      <c r="Y29" s="2931" t="s">
        <v>1054</v>
      </c>
      <c r="Z29"/>
      <c r="AA29"/>
      <c r="AB29" s="2931">
        <v>4164</v>
      </c>
      <c r="AC29" s="2977">
        <v>6270</v>
      </c>
      <c r="AD29" s="2931">
        <v>5851</v>
      </c>
      <c r="AE29" s="2977">
        <v>2452</v>
      </c>
      <c r="AF29"/>
      <c r="AG29"/>
      <c r="AH29"/>
      <c r="AI29"/>
      <c r="AJ29"/>
      <c r="AK29"/>
      <c r="AL29"/>
      <c r="AM29"/>
      <c r="AN29"/>
      <c r="AO29"/>
      <c r="AP29"/>
      <c r="AQ29"/>
      <c r="AR29"/>
      <c r="AS29"/>
      <c r="AT29"/>
      <c r="AU29"/>
      <c r="AV29"/>
      <c r="AW29"/>
      <c r="AX29"/>
      <c r="AY29"/>
      <c r="AZ29" s="2905">
        <v>6</v>
      </c>
      <c r="BA29" s="2466">
        <v>8700000</v>
      </c>
      <c r="BB29" s="2466">
        <v>8700000</v>
      </c>
      <c r="BC29" s="2846">
        <v>100</v>
      </c>
      <c r="BD29" s="2846" t="s">
        <v>232</v>
      </c>
      <c r="BE29" s="2910" t="s">
        <v>1875</v>
      </c>
      <c r="BF29">
        <v>42370</v>
      </c>
      <c r="BG29">
        <v>42583</v>
      </c>
      <c r="BH29">
        <v>42735</v>
      </c>
      <c r="BI29">
        <v>42735</v>
      </c>
      <c r="BJ29" t="s">
        <v>1847</v>
      </c>
    </row>
    <row r="30" spans="1:62" ht="41.25" customHeight="1">
      <c r="A30"/>
      <c r="B30"/>
      <c r="C30" s="2931"/>
      <c r="D30" s="2931"/>
      <c r="E30" s="2931"/>
      <c r="F30" s="2931"/>
      <c r="G30" s="2074">
        <v>207</v>
      </c>
      <c r="H30" s="2072" t="s">
        <v>1921</v>
      </c>
      <c r="I30" s="2074" t="s">
        <v>873</v>
      </c>
      <c r="J30" s="2074">
        <v>1</v>
      </c>
      <c r="K30" s="222">
        <v>1</v>
      </c>
      <c r="L30" s="2128" t="s">
        <v>1878</v>
      </c>
      <c r="M30" s="2931"/>
      <c r="N30" s="2909"/>
      <c r="O30" s="2092">
        <f>P30/$Q$29</f>
        <v>0.5433333333333333</v>
      </c>
      <c r="P30" s="2466">
        <v>16300000</v>
      </c>
      <c r="Q30"/>
      <c r="R30"/>
      <c r="S30" s="2129" t="s">
        <v>1882</v>
      </c>
      <c r="T30" s="2072" t="s">
        <v>1883</v>
      </c>
      <c r="U30" s="2466">
        <v>16300000</v>
      </c>
      <c r="V30" s="2470">
        <v>14433333</v>
      </c>
      <c r="W30" s="2470">
        <v>14433333</v>
      </c>
      <c r="X30" s="3722"/>
      <c r="Y30" s="2931"/>
      <c r="Z30"/>
      <c r="AA30"/>
      <c r="AB30"/>
      <c r="AC30" s="2978"/>
      <c r="AD30"/>
      <c r="AE30" s="2978"/>
      <c r="AF30"/>
      <c r="AG30"/>
      <c r="AH30"/>
      <c r="AI30"/>
      <c r="AJ30"/>
      <c r="AK30"/>
      <c r="AL30"/>
      <c r="AM30"/>
      <c r="AN30"/>
      <c r="AO30"/>
      <c r="AP30"/>
      <c r="AQ30"/>
      <c r="AR30"/>
      <c r="AS30"/>
      <c r="AT30"/>
      <c r="AU30"/>
      <c r="AV30"/>
      <c r="AW30"/>
      <c r="AX30"/>
      <c r="AY30"/>
      <c r="AZ30" s="2906"/>
      <c r="BA30" s="2466">
        <f>19433333-5000000</f>
        <v>14433333</v>
      </c>
      <c r="BB30" s="2466">
        <f>19433333-5000000</f>
        <v>14433333</v>
      </c>
      <c r="BC30" s="2905">
        <v>100</v>
      </c>
      <c r="BD30" s="2905" t="s">
        <v>232</v>
      </c>
      <c r="BE30" s="3292"/>
      <c r="BF30"/>
      <c r="BG30"/>
      <c r="BH30"/>
      <c r="BI30"/>
      <c r="BJ30"/>
    </row>
    <row r="31" spans="1:62" ht="58.5" customHeight="1">
      <c r="A31"/>
      <c r="B31"/>
      <c r="C31" s="2931"/>
      <c r="D31" s="2931"/>
      <c r="E31" s="2931"/>
      <c r="F31" s="2931"/>
      <c r="G31" s="2074">
        <v>208</v>
      </c>
      <c r="H31" s="2072" t="s">
        <v>1884</v>
      </c>
      <c r="I31" s="2074" t="s">
        <v>873</v>
      </c>
      <c r="J31" s="2074">
        <v>1</v>
      </c>
      <c r="K31" s="222">
        <v>0</v>
      </c>
      <c r="L31" s="2128"/>
      <c r="M31" s="2931"/>
      <c r="N31" s="2909"/>
      <c r="O31" s="2092">
        <f>P31/$Q$29</f>
        <v>0.16666666666666666</v>
      </c>
      <c r="P31" s="2466">
        <v>5000000</v>
      </c>
      <c r="Q31"/>
      <c r="R31"/>
      <c r="S31" s="2129" t="s">
        <v>1885</v>
      </c>
      <c r="T31" s="2072" t="s">
        <v>1886</v>
      </c>
      <c r="U31" s="2471">
        <v>5000000</v>
      </c>
      <c r="V31" s="2880">
        <v>5000000</v>
      </c>
      <c r="W31" s="2461">
        <v>5000000</v>
      </c>
      <c r="X31" s="3722"/>
      <c r="Y31" s="2931"/>
      <c r="Z31"/>
      <c r="AA31"/>
      <c r="AB31"/>
      <c r="AC31" s="2979"/>
      <c r="AD31"/>
      <c r="AE31" s="2979"/>
      <c r="AF31"/>
      <c r="AG31"/>
      <c r="AH31"/>
      <c r="AI31"/>
      <c r="AJ31"/>
      <c r="AK31"/>
      <c r="AL31"/>
      <c r="AM31"/>
      <c r="AN31"/>
      <c r="AO31"/>
      <c r="AP31"/>
      <c r="AQ31"/>
      <c r="AR31"/>
      <c r="AS31"/>
      <c r="AT31"/>
      <c r="AU31"/>
      <c r="AV31"/>
      <c r="AW31"/>
      <c r="AX31"/>
      <c r="AY31"/>
      <c r="AZ31" s="2941"/>
      <c r="BA31" s="2467">
        <v>5000000</v>
      </c>
      <c r="BB31" s="2467">
        <v>5000000</v>
      </c>
      <c r="BC31" s="2941"/>
      <c r="BD31" s="2941"/>
      <c r="BE31" s="3293"/>
      <c r="BF31"/>
      <c r="BG31"/>
      <c r="BH31"/>
      <c r="BI31"/>
      <c r="BJ31"/>
    </row>
    <row r="32" spans="1:62" ht="15">
      <c r="A32"/>
      <c r="B32"/>
      <c r="C32" s="254">
        <v>21</v>
      </c>
      <c r="D32" s="2091" t="s">
        <v>1887</v>
      </c>
      <c r="E32" s="255"/>
      <c r="F32" s="256"/>
      <c r="G32" s="255"/>
      <c r="H32" s="255"/>
      <c r="I32" s="255"/>
      <c r="J32" s="255"/>
      <c r="K32" s="255"/>
      <c r="L32" s="255"/>
      <c r="M32" s="257"/>
      <c r="N32" s="255"/>
      <c r="O32" s="255"/>
      <c r="P32" s="2468"/>
      <c r="Q32" s="2468"/>
      <c r="R32" s="255"/>
      <c r="S32" s="255"/>
      <c r="T32" s="255"/>
      <c r="U32" s="2468"/>
      <c r="V32" s="2480"/>
      <c r="W32" s="2480"/>
      <c r="X32" s="259"/>
      <c r="Y32" s="259" t="s">
        <v>40</v>
      </c>
      <c r="Z32" s="255"/>
      <c r="AA32" s="257"/>
      <c r="AB32" s="255"/>
      <c r="AC32" s="257"/>
      <c r="AD32" s="255"/>
      <c r="AE32" s="257"/>
      <c r="AF32" s="255"/>
      <c r="AG32" s="257"/>
      <c r="AH32" s="255"/>
      <c r="AI32" s="257"/>
      <c r="AJ32" s="255"/>
      <c r="AK32" s="257"/>
      <c r="AL32" s="255"/>
      <c r="AM32" s="257"/>
      <c r="AN32" s="255"/>
      <c r="AO32" s="257"/>
      <c r="AP32" s="255"/>
      <c r="AQ32" s="257"/>
      <c r="AR32" s="255"/>
      <c r="AS32" s="257"/>
      <c r="AT32" s="255"/>
      <c r="AU32" s="257"/>
      <c r="AV32" s="255"/>
      <c r="AW32" s="257"/>
      <c r="AX32" s="255"/>
      <c r="AY32" s="257"/>
      <c r="AZ32" s="258"/>
      <c r="BA32" s="2468"/>
      <c r="BB32" s="2468"/>
      <c r="BC32" s="258"/>
      <c r="BD32" s="258"/>
      <c r="BE32" s="2103"/>
      <c r="BF32" s="258"/>
      <c r="BG32" s="259"/>
      <c r="BH32" s="258"/>
      <c r="BI32" s="259"/>
      <c r="BJ32" s="260"/>
    </row>
    <row r="33" spans="1:62" ht="15">
      <c r="A33"/>
      <c r="B33"/>
      <c r="C33" s="2931"/>
      <c r="D33" s="2931"/>
      <c r="E33" s="261">
        <v>72</v>
      </c>
      <c r="F33" s="51" t="s">
        <v>1888</v>
      </c>
      <c r="G33" s="51"/>
      <c r="H33" s="51"/>
      <c r="I33" s="51"/>
      <c r="J33" s="51"/>
      <c r="K33" s="51"/>
      <c r="L33" s="51"/>
      <c r="M33" s="51"/>
      <c r="N33" s="51"/>
      <c r="O33" s="51"/>
      <c r="P33" s="1901"/>
      <c r="Q33" s="1901"/>
      <c r="R33" s="51"/>
      <c r="S33" s="51"/>
      <c r="T33" s="51"/>
      <c r="U33" s="1901"/>
      <c r="V33" s="1901"/>
      <c r="W33" s="1901"/>
      <c r="X33" s="2853"/>
      <c r="Y33" s="51"/>
      <c r="Z33" s="51"/>
      <c r="AA33" s="475"/>
      <c r="AB33" s="51"/>
      <c r="AC33" s="475"/>
      <c r="AD33" s="51"/>
      <c r="AE33" s="475"/>
      <c r="AF33" s="51"/>
      <c r="AG33" s="475"/>
      <c r="AH33" s="51"/>
      <c r="AI33" s="475"/>
      <c r="AJ33" s="51"/>
      <c r="AK33" s="475"/>
      <c r="AL33" s="51"/>
      <c r="AM33" s="475"/>
      <c r="AN33" s="51"/>
      <c r="AO33" s="475"/>
      <c r="AP33" s="51"/>
      <c r="AQ33" s="475"/>
      <c r="AR33" s="51"/>
      <c r="AS33" s="475"/>
      <c r="AT33" s="51"/>
      <c r="AU33" s="475"/>
      <c r="AV33" s="51"/>
      <c r="AW33" s="475"/>
      <c r="AX33" s="51"/>
      <c r="AY33" s="475"/>
      <c r="AZ33" s="2853"/>
      <c r="BA33" s="1901"/>
      <c r="BB33" s="1901"/>
      <c r="BC33" s="2853"/>
      <c r="BD33" s="2853"/>
      <c r="BE33" s="476"/>
      <c r="BF33" s="2853"/>
      <c r="BG33" s="799"/>
      <c r="BH33" s="2853"/>
      <c r="BI33" s="799"/>
      <c r="BJ33" s="51"/>
    </row>
    <row r="34" spans="1:62" ht="111" customHeight="1">
      <c r="A34"/>
      <c r="B34"/>
      <c r="C34" s="2931"/>
      <c r="D34" s="2931"/>
      <c r="E34" s="2931"/>
      <c r="F34" s="2931"/>
      <c r="G34" s="2074">
        <v>209</v>
      </c>
      <c r="H34" s="2072" t="s">
        <v>1889</v>
      </c>
      <c r="I34" s="2074" t="s">
        <v>873</v>
      </c>
      <c r="J34" s="2074">
        <v>1</v>
      </c>
      <c r="K34" s="222">
        <v>1</v>
      </c>
      <c r="L34" s="2905" t="s">
        <v>1890</v>
      </c>
      <c r="M34" s="2931">
        <v>164</v>
      </c>
      <c r="N34" s="2909" t="s">
        <v>1891</v>
      </c>
      <c r="O34" s="2092">
        <f>P34/$Q$34</f>
        <v>0.6350705140875237</v>
      </c>
      <c r="P34" s="2466">
        <v>18520000</v>
      </c>
      <c r="Q34">
        <f>SUM(P34:P36)</f>
        <v>29162116</v>
      </c>
      <c r="R34" s="2982" t="s">
        <v>1892</v>
      </c>
      <c r="S34" s="2129" t="s">
        <v>1893</v>
      </c>
      <c r="T34" s="2072" t="s">
        <v>1894</v>
      </c>
      <c r="U34" s="2471">
        <v>18520000</v>
      </c>
      <c r="V34" s="2880">
        <v>18520000</v>
      </c>
      <c r="W34" s="2461">
        <v>18520000</v>
      </c>
      <c r="X34" s="3722">
        <v>20</v>
      </c>
      <c r="Y34" s="2931" t="s">
        <v>1054</v>
      </c>
      <c r="Z34">
        <v>3525</v>
      </c>
      <c r="AA34">
        <v>1399</v>
      </c>
      <c r="AB34">
        <v>17139</v>
      </c>
      <c r="AC34">
        <v>4270</v>
      </c>
      <c r="AD34">
        <v>4167</v>
      </c>
      <c r="AE34">
        <v>2021</v>
      </c>
      <c r="AF34">
        <v>906</v>
      </c>
      <c r="AG34">
        <v>1100</v>
      </c>
      <c r="AH34" s="2905">
        <v>906</v>
      </c>
      <c r="AI34" s="2977">
        <v>1100</v>
      </c>
      <c r="AJ34"/>
      <c r="AK34" s="2977">
        <v>350</v>
      </c>
      <c r="AL34" s="2886">
        <v>718</v>
      </c>
      <c r="AM34">
        <v>5398</v>
      </c>
      <c r="AN34"/>
      <c r="AO34"/>
      <c r="AP34"/>
      <c r="AQ34"/>
      <c r="AR34"/>
      <c r="AS34"/>
      <c r="AT34"/>
      <c r="AU34"/>
      <c r="AV34" s="2988">
        <v>27</v>
      </c>
      <c r="AW34" s="2977"/>
      <c r="AX34"/>
      <c r="AY34"/>
      <c r="AZ34" s="2905">
        <v>13</v>
      </c>
      <c r="BA34" s="2465">
        <v>18520000</v>
      </c>
      <c r="BB34" s="2465">
        <v>18520000</v>
      </c>
      <c r="BC34" s="2839">
        <f>BB34/BA34*100</f>
        <v>100</v>
      </c>
      <c r="BD34" s="2905" t="s">
        <v>232</v>
      </c>
      <c r="BE34" s="2910" t="s">
        <v>1895</v>
      </c>
      <c r="BF34">
        <v>42370</v>
      </c>
      <c r="BG34">
        <v>42583</v>
      </c>
      <c r="BH34">
        <v>42735</v>
      </c>
      <c r="BI34">
        <v>42735</v>
      </c>
      <c r="BJ34" t="s">
        <v>1847</v>
      </c>
    </row>
    <row r="35" spans="1:62" ht="57">
      <c r="A35"/>
      <c r="B35"/>
      <c r="C35" s="2931"/>
      <c r="D35" s="2931"/>
      <c r="E35" s="2931"/>
      <c r="F35" s="2931"/>
      <c r="G35" s="2074">
        <v>210</v>
      </c>
      <c r="H35" s="2072" t="s">
        <v>1896</v>
      </c>
      <c r="I35" s="2074" t="s">
        <v>873</v>
      </c>
      <c r="J35" s="2074">
        <v>1</v>
      </c>
      <c r="K35" s="222">
        <v>1</v>
      </c>
      <c r="L35" s="2906"/>
      <c r="M35" s="2931"/>
      <c r="N35" s="2909"/>
      <c r="O35" s="2092">
        <f>P35/$Q$34</f>
        <v>0.04023031113380113</v>
      </c>
      <c r="P35" s="2466">
        <v>1173201</v>
      </c>
      <c r="Q35"/>
      <c r="R35" s="2982"/>
      <c r="S35" s="2129" t="s">
        <v>1896</v>
      </c>
      <c r="T35" s="2072" t="s">
        <v>1897</v>
      </c>
      <c r="U35" s="2471">
        <v>1173201</v>
      </c>
      <c r="V35" s="2880">
        <v>1173201</v>
      </c>
      <c r="W35" s="2461">
        <v>1173201</v>
      </c>
      <c r="X35" s="3722"/>
      <c r="Y35" s="2931"/>
      <c r="Z35"/>
      <c r="AA35"/>
      <c r="AB35"/>
      <c r="AC35"/>
      <c r="AD35"/>
      <c r="AE35"/>
      <c r="AF35"/>
      <c r="AG35"/>
      <c r="AH35" s="2906"/>
      <c r="AI35" s="2978"/>
      <c r="AJ35"/>
      <c r="AK35" s="2978"/>
      <c r="AL35" s="2887"/>
      <c r="AM35"/>
      <c r="AN35"/>
      <c r="AO35"/>
      <c r="AP35"/>
      <c r="AQ35"/>
      <c r="AR35"/>
      <c r="AS35"/>
      <c r="AT35"/>
      <c r="AU35"/>
      <c r="AV35" s="2988"/>
      <c r="AW35" s="2978"/>
      <c r="AX35"/>
      <c r="AY35"/>
      <c r="AZ35" s="2906"/>
      <c r="BA35" s="2465">
        <v>1173201</v>
      </c>
      <c r="BB35" s="2465">
        <v>1173201</v>
      </c>
      <c r="BC35" s="2839">
        <f>BB35/BA35*100</f>
        <v>100</v>
      </c>
      <c r="BD35" s="2906"/>
      <c r="BE35" s="3292"/>
      <c r="BF35"/>
      <c r="BG35"/>
      <c r="BH35"/>
      <c r="BI35"/>
      <c r="BJ35"/>
    </row>
    <row r="36" spans="1:62" ht="87.75" customHeight="1">
      <c r="A36"/>
      <c r="B36"/>
      <c r="C36" s="2931"/>
      <c r="D36" s="2931"/>
      <c r="E36" s="2931"/>
      <c r="F36" s="2931"/>
      <c r="G36" s="2074">
        <v>211</v>
      </c>
      <c r="H36" s="2072" t="s">
        <v>1898</v>
      </c>
      <c r="I36" s="2074" t="s">
        <v>873</v>
      </c>
      <c r="J36" s="2074">
        <v>1</v>
      </c>
      <c r="K36" s="222">
        <v>1</v>
      </c>
      <c r="L36" s="2941"/>
      <c r="M36" s="2931"/>
      <c r="N36" s="2909"/>
      <c r="O36" s="2092">
        <f>P36/$Q$34</f>
        <v>0.32469917477867516</v>
      </c>
      <c r="P36" s="2466">
        <v>9468915</v>
      </c>
      <c r="Q36"/>
      <c r="R36" s="2982"/>
      <c r="S36" t="s">
        <v>1899</v>
      </c>
      <c r="T36" s="2072" t="s">
        <v>1900</v>
      </c>
      <c r="U36" s="2471">
        <v>9468915</v>
      </c>
      <c r="V36" s="2880">
        <v>3031293</v>
      </c>
      <c r="W36" s="2461">
        <v>3031293</v>
      </c>
      <c r="X36" s="3722"/>
      <c r="Y36" s="2931"/>
      <c r="Z36"/>
      <c r="AA36"/>
      <c r="AB36"/>
      <c r="AC36"/>
      <c r="AD36"/>
      <c r="AE36"/>
      <c r="AF36"/>
      <c r="AG36"/>
      <c r="AH36" s="2941"/>
      <c r="AI36" s="2979"/>
      <c r="AJ36"/>
      <c r="AK36" s="2979"/>
      <c r="AL36" s="2888"/>
      <c r="AM36"/>
      <c r="AN36"/>
      <c r="AO36"/>
      <c r="AP36"/>
      <c r="AQ36"/>
      <c r="AR36"/>
      <c r="AS36"/>
      <c r="AT36"/>
      <c r="AU36"/>
      <c r="AV36" s="2988"/>
      <c r="AW36" s="2979"/>
      <c r="AX36"/>
      <c r="AY36"/>
      <c r="AZ36" s="2906"/>
      <c r="BA36" s="2465">
        <f>W36</f>
        <v>3031293</v>
      </c>
      <c r="BB36" s="2465">
        <f>BA36</f>
        <v>3031293</v>
      </c>
      <c r="BC36" s="2839">
        <f>BB36/BA36*100</f>
        <v>100</v>
      </c>
      <c r="BD36" s="2941"/>
      <c r="BE36" s="3293"/>
      <c r="BF36"/>
      <c r="BG36"/>
      <c r="BH36"/>
      <c r="BI36"/>
      <c r="BJ36"/>
    </row>
    <row r="37" spans="1:62" ht="171">
      <c r="A37"/>
      <c r="B37"/>
      <c r="C37" s="2931"/>
      <c r="D37" s="2931"/>
      <c r="E37" s="2931"/>
      <c r="F37" s="2931"/>
      <c r="G37" s="2074">
        <v>211</v>
      </c>
      <c r="H37" s="2072" t="s">
        <v>1898</v>
      </c>
      <c r="I37" s="2074" t="s">
        <v>873</v>
      </c>
      <c r="J37" s="2074">
        <v>1</v>
      </c>
      <c r="K37" s="222">
        <v>1</v>
      </c>
      <c r="L37" s="2846" t="s">
        <v>1901</v>
      </c>
      <c r="M37" s="2074">
        <v>169</v>
      </c>
      <c r="N37" s="2072" t="s">
        <v>1902</v>
      </c>
      <c r="O37" s="2092">
        <v>1</v>
      </c>
      <c r="P37" s="2466">
        <v>74501465</v>
      </c>
      <c r="Q37" s="2466">
        <f>P37</f>
        <v>74501465</v>
      </c>
      <c r="R37" s="680" t="s">
        <v>1903</v>
      </c>
      <c r="S37"/>
      <c r="T37" s="2072" t="s">
        <v>1898</v>
      </c>
      <c r="U37" s="2471">
        <v>74501465</v>
      </c>
      <c r="V37" s="2880">
        <v>59859332</v>
      </c>
      <c r="W37" s="2461">
        <v>59859332</v>
      </c>
      <c r="X37" s="2850">
        <v>20</v>
      </c>
      <c r="Y37" s="2074" t="s">
        <v>1054</v>
      </c>
      <c r="Z37" s="2846">
        <f>+Z34</f>
        <v>3525</v>
      </c>
      <c r="AA37" s="2854">
        <v>3525</v>
      </c>
      <c r="AB37" s="2846">
        <f>+AB34</f>
        <v>17139</v>
      </c>
      <c r="AC37" s="2854">
        <v>17139</v>
      </c>
      <c r="AD37" s="2115"/>
      <c r="AE37" s="2147"/>
      <c r="AF37" s="2115"/>
      <c r="AG37" s="2147"/>
      <c r="AH37" s="2115"/>
      <c r="AI37" s="2147"/>
      <c r="AJ37" s="2115"/>
      <c r="AK37" s="2147"/>
      <c r="AL37" s="2115"/>
      <c r="AM37" s="2147"/>
      <c r="AN37" s="2115"/>
      <c r="AO37" s="2147"/>
      <c r="AP37" s="2115"/>
      <c r="AQ37" s="2147"/>
      <c r="AR37" s="2115"/>
      <c r="AS37" s="2147"/>
      <c r="AT37" s="2115"/>
      <c r="AU37" s="2147"/>
      <c r="AV37" s="2115"/>
      <c r="AW37" s="2147"/>
      <c r="AX37" s="2115"/>
      <c r="AY37" s="2147"/>
      <c r="AZ37" s="2941"/>
      <c r="BA37" s="2285">
        <f>W37</f>
        <v>59859332</v>
      </c>
      <c r="BB37" s="2285">
        <f>BA37</f>
        <v>59859332</v>
      </c>
      <c r="BC37" s="2839">
        <f>BB37/BA37*100</f>
        <v>100</v>
      </c>
      <c r="BD37" s="2846" t="s">
        <v>232</v>
      </c>
      <c r="BE37" s="2843" t="s">
        <v>1895</v>
      </c>
      <c r="BF37"/>
      <c r="BG37"/>
      <c r="BH37"/>
      <c r="BI37"/>
      <c r="BJ37" s="2125" t="s">
        <v>1847</v>
      </c>
    </row>
    <row r="38" spans="1:62" ht="15">
      <c r="A38"/>
      <c r="B38"/>
      <c r="C38" s="2931"/>
      <c r="D38" s="2931"/>
      <c r="E38" s="261">
        <v>73</v>
      </c>
      <c r="F38" s="51" t="s">
        <v>1906</v>
      </c>
      <c r="G38" s="51"/>
      <c r="H38" s="51"/>
      <c r="I38" s="51"/>
      <c r="J38" s="51"/>
      <c r="K38" s="51"/>
      <c r="L38" s="51"/>
      <c r="M38" s="51"/>
      <c r="N38" s="51"/>
      <c r="O38" s="51"/>
      <c r="P38" s="1901"/>
      <c r="Q38" s="1901"/>
      <c r="R38" s="51"/>
      <c r="S38" s="51"/>
      <c r="T38" s="51" t="s">
        <v>40</v>
      </c>
      <c r="U38" s="1901"/>
      <c r="V38" s="1901"/>
      <c r="W38" s="1901"/>
      <c r="X38" s="2853"/>
      <c r="Y38" s="51"/>
      <c r="Z38" s="51"/>
      <c r="AA38" s="475"/>
      <c r="AB38" s="51"/>
      <c r="AC38" s="475"/>
      <c r="AD38" s="51"/>
      <c r="AE38" s="475"/>
      <c r="AF38" s="51"/>
      <c r="AG38" s="475"/>
      <c r="AH38" s="51"/>
      <c r="AI38" s="475"/>
      <c r="AJ38" s="51"/>
      <c r="AK38" s="475"/>
      <c r="AL38" s="51"/>
      <c r="AM38" s="475"/>
      <c r="AN38" s="51"/>
      <c r="AO38" s="475"/>
      <c r="AP38" s="51"/>
      <c r="AQ38" s="475"/>
      <c r="AR38" s="51"/>
      <c r="AS38" s="475"/>
      <c r="AT38" s="51"/>
      <c r="AU38" s="475"/>
      <c r="AV38" s="51"/>
      <c r="AW38" s="475"/>
      <c r="AX38" s="51"/>
      <c r="AY38" s="475"/>
      <c r="AZ38" s="2853"/>
      <c r="BA38" s="1901"/>
      <c r="BB38" s="1901"/>
      <c r="BC38" s="2853"/>
      <c r="BD38" s="2853"/>
      <c r="BE38" s="476"/>
      <c r="BF38" s="2853"/>
      <c r="BG38" s="799"/>
      <c r="BH38" s="2853"/>
      <c r="BI38" s="799"/>
      <c r="BJ38" s="51"/>
    </row>
    <row r="39" spans="1:62" ht="111" customHeight="1">
      <c r="A39"/>
      <c r="B39"/>
      <c r="C39" s="2931"/>
      <c r="D39"/>
      <c r="E39" s="2931"/>
      <c r="F39" s="2931"/>
      <c r="G39" s="2931">
        <v>212</v>
      </c>
      <c r="H39" s="2909" t="s">
        <v>1907</v>
      </c>
      <c r="I39" s="2931" t="s">
        <v>873</v>
      </c>
      <c r="J39" s="2931">
        <v>1</v>
      </c>
      <c r="K39">
        <v>1</v>
      </c>
      <c r="L39" s="2846" t="s">
        <v>1908</v>
      </c>
      <c r="M39" s="2931">
        <v>165</v>
      </c>
      <c r="N39" s="2624" t="s">
        <v>1909</v>
      </c>
      <c r="O39" s="3769">
        <v>1</v>
      </c>
      <c r="P39">
        <f>71923416+4200000</f>
        <v>76123416</v>
      </c>
      <c r="Q39">
        <f>P39</f>
        <v>76123416</v>
      </c>
      <c r="R39" t="s">
        <v>1910</v>
      </c>
      <c r="S39" t="s">
        <v>1911</v>
      </c>
      <c r="T39" s="2909" t="s">
        <v>1907</v>
      </c>
      <c r="U39" s="2471">
        <v>71923416</v>
      </c>
      <c r="V39" s="2880">
        <v>22900000</v>
      </c>
      <c r="W39" s="2461">
        <v>22900000</v>
      </c>
      <c r="X39" s="2850">
        <v>54</v>
      </c>
      <c r="Y39" s="2450" t="s">
        <v>2151</v>
      </c>
      <c r="Z39" s="2886">
        <v>3525</v>
      </c>
      <c r="AA39" s="2977">
        <v>100</v>
      </c>
      <c r="AB39" s="2886">
        <v>17139</v>
      </c>
      <c r="AC39" s="2977">
        <v>28</v>
      </c>
      <c r="AD39" s="2886">
        <v>4167</v>
      </c>
      <c r="AE39">
        <v>57</v>
      </c>
      <c r="AF39"/>
      <c r="AG39">
        <v>66</v>
      </c>
      <c r="AH39"/>
      <c r="AI39">
        <v>66</v>
      </c>
      <c r="AJ39"/>
      <c r="AK39">
        <v>117</v>
      </c>
      <c r="AL39">
        <v>718</v>
      </c>
      <c r="AM39">
        <v>201</v>
      </c>
      <c r="AN39"/>
      <c r="AO39"/>
      <c r="AP39"/>
      <c r="AQ39"/>
      <c r="AR39"/>
      <c r="AS39"/>
      <c r="AT39" s="2988"/>
      <c r="AU39"/>
      <c r="AV39" s="2988">
        <v>27</v>
      </c>
      <c r="AW39"/>
      <c r="AX39" s="2988"/>
      <c r="AY39"/>
      <c r="AZ39" s="2929">
        <v>2</v>
      </c>
      <c r="BA39" s="2465">
        <v>22900000</v>
      </c>
      <c r="BB39" s="2465">
        <v>22900000</v>
      </c>
      <c r="BC39">
        <f>BB39/BA39*100</f>
        <v>100</v>
      </c>
      <c r="BD39" t="s">
        <v>2155</v>
      </c>
      <c r="BE39" t="s">
        <v>1912</v>
      </c>
      <c r="BF39">
        <v>42598</v>
      </c>
      <c r="BG39">
        <v>42605</v>
      </c>
      <c r="BH39">
        <v>42735</v>
      </c>
      <c r="BI39">
        <v>42735</v>
      </c>
      <c r="BJ39" t="s">
        <v>1847</v>
      </c>
    </row>
    <row r="40" spans="1:62" ht="111" customHeight="1">
      <c r="A40"/>
      <c r="B40"/>
      <c r="C40" s="2459"/>
      <c r="D40" s="2464"/>
      <c r="E40" s="2931"/>
      <c r="F40" s="2931"/>
      <c r="G40" s="2931"/>
      <c r="H40" s="2909"/>
      <c r="I40" s="2931"/>
      <c r="J40" s="2931"/>
      <c r="K40"/>
      <c r="L40" s="2846" t="s">
        <v>1901</v>
      </c>
      <c r="M40" s="2931"/>
      <c r="N40" s="2624" t="s">
        <v>2145</v>
      </c>
      <c r="O40" s="3769"/>
      <c r="P40"/>
      <c r="Q40"/>
      <c r="R40"/>
      <c r="S40"/>
      <c r="T40" s="2909"/>
      <c r="U40" s="2471">
        <v>4200000</v>
      </c>
      <c r="V40" s="2880">
        <v>3291667</v>
      </c>
      <c r="W40" s="2461">
        <v>3291667</v>
      </c>
      <c r="X40" s="2850">
        <v>20</v>
      </c>
      <c r="Y40" s="2450" t="s">
        <v>1054</v>
      </c>
      <c r="Z40" s="2888"/>
      <c r="AA40" s="2979"/>
      <c r="AB40" s="2888"/>
      <c r="AC40" s="2979"/>
      <c r="AD40" s="2888"/>
      <c r="AE40"/>
      <c r="AF40"/>
      <c r="AG40"/>
      <c r="AH40"/>
      <c r="AI40"/>
      <c r="AJ40"/>
      <c r="AK40"/>
      <c r="AL40"/>
      <c r="AM40"/>
      <c r="AN40"/>
      <c r="AO40"/>
      <c r="AP40"/>
      <c r="AQ40"/>
      <c r="AR40"/>
      <c r="AS40"/>
      <c r="AT40" s="2988"/>
      <c r="AU40"/>
      <c r="AV40" s="2988"/>
      <c r="AW40"/>
      <c r="AX40" s="2988"/>
      <c r="AY40"/>
      <c r="AZ40" s="2929"/>
      <c r="BA40" s="2465">
        <v>3291667</v>
      </c>
      <c r="BB40" s="2465">
        <v>3291667</v>
      </c>
      <c r="BC40"/>
      <c r="BD40"/>
      <c r="BE40"/>
      <c r="BF40"/>
      <c r="BG40"/>
      <c r="BH40"/>
      <c r="BI40"/>
      <c r="BJ40"/>
    </row>
    <row r="41" spans="1:62" ht="15">
      <c r="A41"/>
      <c r="B41"/>
      <c r="C41" s="254">
        <v>22</v>
      </c>
      <c r="D41" s="2091" t="s">
        <v>1913</v>
      </c>
      <c r="E41" s="255"/>
      <c r="F41" s="256"/>
      <c r="G41" s="255"/>
      <c r="H41" s="255"/>
      <c r="I41" s="255"/>
      <c r="J41" s="255"/>
      <c r="K41" s="255"/>
      <c r="L41" s="255"/>
      <c r="M41" s="257"/>
      <c r="N41" s="255"/>
      <c r="O41" s="255"/>
      <c r="P41" s="2468"/>
      <c r="Q41" s="2468"/>
      <c r="R41" s="255"/>
      <c r="S41" s="255"/>
      <c r="T41" s="255"/>
      <c r="U41" s="2468"/>
      <c r="V41" s="2480"/>
      <c r="W41" s="2480"/>
      <c r="X41" s="259"/>
      <c r="Y41" s="259"/>
      <c r="Z41" s="255"/>
      <c r="AA41" s="257"/>
      <c r="AB41" s="255"/>
      <c r="AC41" s="257"/>
      <c r="AD41" s="255"/>
      <c r="AE41" s="257"/>
      <c r="AF41" s="255"/>
      <c r="AG41" s="257"/>
      <c r="AH41" s="255"/>
      <c r="AI41" s="257"/>
      <c r="AJ41" s="255"/>
      <c r="AK41" s="257"/>
      <c r="AL41" s="255"/>
      <c r="AM41" s="257"/>
      <c r="AN41" s="255"/>
      <c r="AO41" s="257"/>
      <c r="AP41" s="255"/>
      <c r="AQ41" s="257"/>
      <c r="AR41" s="255"/>
      <c r="AS41" s="257"/>
      <c r="AT41" s="255"/>
      <c r="AU41" s="257"/>
      <c r="AV41" s="255"/>
      <c r="AW41" s="257"/>
      <c r="AX41" s="255"/>
      <c r="AY41" s="257"/>
      <c r="AZ41" s="258"/>
      <c r="BA41" s="2468"/>
      <c r="BB41" s="2468"/>
      <c r="BC41" s="258"/>
      <c r="BD41" s="258"/>
      <c r="BE41" s="2103"/>
      <c r="BF41" s="258"/>
      <c r="BG41" s="259"/>
      <c r="BH41" s="258"/>
      <c r="BI41" s="259"/>
      <c r="BJ41" s="260"/>
    </row>
    <row r="42" spans="1:62" ht="15">
      <c r="A42"/>
      <c r="B42"/>
      <c r="C42" s="3733"/>
      <c r="D42" s="3735"/>
      <c r="E42" s="261">
        <v>74</v>
      </c>
      <c r="F42" s="51" t="s">
        <v>1914</v>
      </c>
      <c r="G42" s="51"/>
      <c r="H42" s="51"/>
      <c r="I42" s="51"/>
      <c r="J42" s="51"/>
      <c r="K42" s="51"/>
      <c r="L42" s="51"/>
      <c r="M42" s="51"/>
      <c r="N42" s="51"/>
      <c r="O42" s="51"/>
      <c r="P42" s="1901"/>
      <c r="Q42" s="1901"/>
      <c r="R42" s="51"/>
      <c r="S42" s="51"/>
      <c r="T42" s="51"/>
      <c r="U42" s="1901"/>
      <c r="V42" s="1901"/>
      <c r="W42" s="1901"/>
      <c r="X42" s="2853"/>
      <c r="Y42" s="51"/>
      <c r="Z42" s="51"/>
      <c r="AA42" s="475"/>
      <c r="AB42" s="51"/>
      <c r="AC42" s="475"/>
      <c r="AD42" s="51"/>
      <c r="AE42" s="475"/>
      <c r="AF42" s="51"/>
      <c r="AG42" s="475"/>
      <c r="AH42" s="51"/>
      <c r="AI42" s="475"/>
      <c r="AJ42" s="51"/>
      <c r="AK42" s="475"/>
      <c r="AL42" s="51"/>
      <c r="AM42" s="475"/>
      <c r="AN42" s="51"/>
      <c r="AO42" s="475"/>
      <c r="AP42" s="51"/>
      <c r="AQ42" s="475"/>
      <c r="AR42" s="51"/>
      <c r="AS42" s="475"/>
      <c r="AT42" s="51"/>
      <c r="AU42" s="475"/>
      <c r="AV42" s="51"/>
      <c r="AW42" s="475"/>
      <c r="AX42" s="51"/>
      <c r="AY42" s="475"/>
      <c r="AZ42" s="2853"/>
      <c r="BA42" s="1901"/>
      <c r="BB42" s="1901"/>
      <c r="BC42" s="2853"/>
      <c r="BD42" s="2853"/>
      <c r="BE42" s="476"/>
      <c r="BF42" s="2853"/>
      <c r="BG42" s="799"/>
      <c r="BH42" s="2853"/>
      <c r="BI42" s="799"/>
      <c r="BJ42" s="51"/>
    </row>
    <row r="43" spans="1:62" ht="146.25" customHeight="1" thickBot="1">
      <c r="A43"/>
      <c r="B43"/>
      <c r="C43" s="3736"/>
      <c r="D43" s="3738"/>
      <c r="E43" s="3733"/>
      <c r="F43" s="3734"/>
      <c r="G43" s="2071">
        <v>213</v>
      </c>
      <c r="H43" s="2073" t="s">
        <v>1915</v>
      </c>
      <c r="I43" s="2071" t="s">
        <v>873</v>
      </c>
      <c r="J43" s="2071">
        <v>12</v>
      </c>
      <c r="K43" s="2076">
        <v>11</v>
      </c>
      <c r="L43" s="2839"/>
      <c r="M43" s="2071">
        <v>166</v>
      </c>
      <c r="N43" s="2073" t="s">
        <v>1916</v>
      </c>
      <c r="O43" s="2096">
        <v>1</v>
      </c>
      <c r="P43" s="2469">
        <f>230048382-12079175</f>
        <v>217969207</v>
      </c>
      <c r="Q43" s="2469">
        <f>P43</f>
        <v>217969207</v>
      </c>
      <c r="R43" s="2093" t="s">
        <v>1917</v>
      </c>
      <c r="S43" s="2152" t="s">
        <v>1918</v>
      </c>
      <c r="T43" s="2073" t="s">
        <v>1915</v>
      </c>
      <c r="U43" s="2481">
        <v>217969207</v>
      </c>
      <c r="V43" s="2881">
        <v>212093674</v>
      </c>
      <c r="W43" s="2462">
        <v>212093674</v>
      </c>
      <c r="X43" s="2847">
        <v>54</v>
      </c>
      <c r="Y43" s="2097" t="s">
        <v>2151</v>
      </c>
      <c r="Z43" s="2070">
        <v>3525</v>
      </c>
      <c r="AA43" s="2838">
        <v>64149</v>
      </c>
      <c r="AB43" s="2070">
        <v>17139</v>
      </c>
      <c r="AC43" s="2838">
        <v>72224</v>
      </c>
      <c r="AD43" s="2070">
        <v>4167</v>
      </c>
      <c r="AE43" s="2838">
        <v>27477</v>
      </c>
      <c r="AF43" s="2070">
        <v>0</v>
      </c>
      <c r="AG43" s="2838">
        <v>86843</v>
      </c>
      <c r="AH43" s="2130"/>
      <c r="AI43" s="2838">
        <v>86843</v>
      </c>
      <c r="AJ43" s="2130"/>
      <c r="AK43" s="2838">
        <v>236429</v>
      </c>
      <c r="AL43" s="2070">
        <v>718</v>
      </c>
      <c r="AM43" s="2838">
        <v>81666</v>
      </c>
      <c r="AN43" s="2130"/>
      <c r="AO43" s="2855"/>
      <c r="AP43" s="2130"/>
      <c r="AQ43" s="2855"/>
      <c r="AR43" s="2130"/>
      <c r="AS43" s="2855"/>
      <c r="AT43" s="2130"/>
      <c r="AU43" s="2855"/>
      <c r="AV43" s="2070">
        <v>27</v>
      </c>
      <c r="AW43" s="2838"/>
      <c r="AX43" s="2134"/>
      <c r="AY43" s="2149"/>
      <c r="AZ43" s="2839"/>
      <c r="BA43" s="2469">
        <v>212093674</v>
      </c>
      <c r="BB43" s="2469">
        <v>212093674</v>
      </c>
      <c r="BC43" s="2839">
        <v>100</v>
      </c>
      <c r="BD43" s="2839" t="s">
        <v>2151</v>
      </c>
      <c r="BE43" s="2844" t="s">
        <v>1919</v>
      </c>
      <c r="BF43" s="2858">
        <v>42370</v>
      </c>
      <c r="BG43" s="2857">
        <v>42695</v>
      </c>
      <c r="BH43" s="2858">
        <v>42735</v>
      </c>
      <c r="BI43" s="2857">
        <v>42735</v>
      </c>
      <c r="BJ43" s="2135" t="s">
        <v>1847</v>
      </c>
    </row>
    <row r="44" spans="1:62" s="843" customFormat="1" ht="15.75" thickBot="1">
      <c r="A44" t="s">
        <v>96</v>
      </c>
      <c r="B44"/>
      <c r="C44"/>
      <c r="D44"/>
      <c r="E44"/>
      <c r="F44"/>
      <c r="G44"/>
      <c r="H44"/>
      <c r="I44"/>
      <c r="J44"/>
      <c r="K44"/>
      <c r="L44"/>
      <c r="M44"/>
      <c r="N44"/>
      <c r="O44"/>
      <c r="P44" s="2484">
        <f>SUM(P12:P43)</f>
        <v>1167636075.6399999</v>
      </c>
      <c r="Q44" s="2485">
        <f>SUM(Q12:Q43)</f>
        <v>1167636075.6399999</v>
      </c>
      <c r="R44" s="2153"/>
      <c r="S44" s="2154"/>
      <c r="T44" s="2155"/>
      <c r="U44" s="2482">
        <f>SUM(U11:U43)</f>
        <v>1167636076</v>
      </c>
      <c r="V44" s="2483">
        <f>SUM(V11:V43)</f>
        <v>921459552</v>
      </c>
      <c r="W44" s="2483">
        <f>SUM(W11:W43)</f>
        <v>921459552</v>
      </c>
      <c r="X44" s="2859"/>
      <c r="Y44" s="2136"/>
      <c r="Z44" s="2136"/>
      <c r="AA44" s="2148"/>
      <c r="AB44" s="2136"/>
      <c r="AC44" s="2148"/>
      <c r="AD44" s="2136"/>
      <c r="AE44" s="2148"/>
      <c r="AF44" s="2136"/>
      <c r="AG44" s="2148"/>
      <c r="AH44" s="2136"/>
      <c r="AI44" s="2148"/>
      <c r="AJ44" s="2136"/>
      <c r="AK44" s="2148"/>
      <c r="AL44" s="2136"/>
      <c r="AM44" s="2148"/>
      <c r="AN44" s="2136"/>
      <c r="AO44" s="2148"/>
      <c r="AP44" s="2136"/>
      <c r="AQ44" s="2148"/>
      <c r="AR44" s="2136"/>
      <c r="AS44" s="2148"/>
      <c r="AT44" s="2136"/>
      <c r="AU44" s="2148"/>
      <c r="AV44" s="2136"/>
      <c r="AW44" s="2148"/>
      <c r="AX44" s="2136"/>
      <c r="AY44" s="2148"/>
      <c r="AZ44" s="2860"/>
      <c r="BA44" s="2158">
        <f>SUM(BA12:BA43)</f>
        <v>921459552</v>
      </c>
      <c r="BB44" s="2158">
        <f>SUM(BB12:BB43)</f>
        <v>921459552</v>
      </c>
      <c r="BC44" s="2860"/>
      <c r="BD44" s="2860"/>
      <c r="BE44" s="2154"/>
      <c r="BF44" s="2860"/>
      <c r="BG44" s="282"/>
      <c r="BH44" s="2860"/>
      <c r="BI44" s="282"/>
      <c r="BJ44" s="2137"/>
    </row>
    <row r="45" spans="16:22" ht="14.25">
      <c r="P45" s="2138"/>
      <c r="U45" s="2139"/>
      <c r="V45" s="2139"/>
    </row>
    <row r="46" spans="17:23" ht="14.25">
      <c r="Q46" s="2138"/>
      <c r="R46" s="2156"/>
      <c r="W46" s="2145"/>
    </row>
    <row r="47" spans="21:22" ht="14.25">
      <c r="U47" s="2140"/>
      <c r="V47" s="2140"/>
    </row>
    <row r="48" spans="21:22" ht="14.25">
      <c r="U48" s="2140"/>
      <c r="V48" s="2140"/>
    </row>
    <row r="49" spans="21:22" ht="14.25">
      <c r="U49" s="2140"/>
      <c r="V49" s="2140"/>
    </row>
    <row r="50" spans="21:23" ht="14.25">
      <c r="U50" s="2489"/>
      <c r="V50" s="2489"/>
      <c r="W50" s="2489"/>
    </row>
    <row r="51" spans="16:17" ht="14.25">
      <c r="P51" s="2141"/>
      <c r="Q51" s="2141"/>
    </row>
    <row r="53" spans="8:11" ht="15">
      <c r="H53" s="1951" t="s">
        <v>2143</v>
      </c>
      <c r="I53" s="2142"/>
      <c r="J53" s="2142"/>
      <c r="K53" s="1382"/>
    </row>
    <row r="54" ht="14.25">
      <c r="H54" s="20" t="s">
        <v>2144</v>
      </c>
    </row>
    <row r="57" spans="21:22" ht="14.25">
      <c r="U57" s="2140"/>
      <c r="V57" s="2140"/>
    </row>
    <row r="58" spans="18:24" ht="15">
      <c r="R58" s="2157"/>
      <c r="S58" s="2157"/>
      <c r="T58" s="2157"/>
      <c r="W58" s="2146"/>
      <c r="X58" s="2873"/>
    </row>
    <row r="59" spans="18:24" ht="15">
      <c r="R59" s="2157"/>
      <c r="S59" s="2157"/>
      <c r="T59" s="2157"/>
      <c r="U59" s="2140"/>
      <c r="V59" s="2140"/>
      <c r="W59" s="2146"/>
      <c r="X59" s="2873"/>
    </row>
    <row r="60" spans="18:24" ht="15">
      <c r="R60" s="2157"/>
      <c r="S60" s="2157"/>
      <c r="T60" s="2157"/>
      <c r="W60" s="2146"/>
      <c r="X60" s="2873"/>
    </row>
    <row r="61" spans="18:24" ht="15">
      <c r="R61" s="2157"/>
      <c r="S61" s="2157"/>
      <c r="T61" s="2157"/>
      <c r="U61" s="2139"/>
      <c r="V61" s="2139"/>
      <c r="W61" s="2146"/>
      <c r="X61" s="2873"/>
    </row>
    <row r="62" spans="18:24" ht="15">
      <c r="R62" s="2157"/>
      <c r="S62" s="2157"/>
      <c r="T62" s="2157"/>
      <c r="U62" s="2143"/>
      <c r="V62" s="2143"/>
      <c r="W62" s="2146"/>
      <c r="X62" s="2873"/>
    </row>
    <row r="63" spans="18:24" ht="15">
      <c r="R63" s="2157"/>
      <c r="S63" s="2157"/>
      <c r="T63" s="2157"/>
      <c r="U63" s="2143"/>
      <c r="V63" s="2143"/>
      <c r="W63" s="2146"/>
      <c r="X63" s="2873"/>
    </row>
    <row r="64" spans="18:24" ht="15">
      <c r="R64" s="2157"/>
      <c r="S64" s="2157"/>
      <c r="T64" s="2157"/>
      <c r="U64" s="2143"/>
      <c r="V64" s="2143"/>
      <c r="W64" s="2146"/>
      <c r="X64" s="2873"/>
    </row>
    <row r="65" spans="18:24" ht="15">
      <c r="R65" s="2157"/>
      <c r="S65" s="2157"/>
      <c r="T65" s="2157"/>
      <c r="U65" s="2143"/>
      <c r="V65" s="2143"/>
      <c r="W65" s="2146"/>
      <c r="X65" s="2873"/>
    </row>
    <row r="66" spans="18:24" ht="15">
      <c r="R66" s="2157"/>
      <c r="S66" s="2157"/>
      <c r="T66" s="2157"/>
      <c r="U66" s="2143"/>
      <c r="V66" s="2143"/>
      <c r="W66" s="2146"/>
      <c r="X66" s="2873"/>
    </row>
    <row r="67" spans="18:24" ht="15">
      <c r="R67" s="2157"/>
      <c r="S67" s="2157"/>
      <c r="T67" s="2157"/>
      <c r="U67" s="2143"/>
      <c r="V67" s="2143"/>
      <c r="W67" s="2146"/>
      <c r="X67" s="2873"/>
    </row>
    <row r="68" spans="18:24" ht="15">
      <c r="R68" s="2157"/>
      <c r="S68" s="2157"/>
      <c r="T68" s="2157"/>
      <c r="U68" s="2143"/>
      <c r="V68" s="2143"/>
      <c r="W68" s="2146"/>
      <c r="X68" s="2873"/>
    </row>
  </sheetData>
  <sheetProtection/>
  <mergeCells count="388">
    <mergeCell ref="AZ29:AZ31"/>
    <mergeCell ref="BC30:BC31"/>
    <mergeCell ref="BD30:BD31"/>
    <mergeCell ref="A5:M6"/>
    <mergeCell ref="Q6:AB6"/>
    <mergeCell ref="AC6:AZ6"/>
    <mergeCell ref="BJ25:BJ26"/>
    <mergeCell ref="BA25:BA26"/>
    <mergeCell ref="BC25:BC26"/>
    <mergeCell ref="BD25:BD26"/>
    <mergeCell ref="BE25:BE26"/>
    <mergeCell ref="BF25:BF26"/>
    <mergeCell ref="BG25:BG26"/>
    <mergeCell ref="BH25:BH26"/>
    <mergeCell ref="BI25:BI26"/>
    <mergeCell ref="AQ25:AQ26"/>
    <mergeCell ref="AR25:AR26"/>
    <mergeCell ref="AS25:AS26"/>
    <mergeCell ref="AT25:AT26"/>
    <mergeCell ref="AU25:AU26"/>
    <mergeCell ref="AV25:AV26"/>
    <mergeCell ref="Q7:Q8"/>
    <mergeCell ref="R7:R8"/>
    <mergeCell ref="X7:X8"/>
    <mergeCell ref="Y7:Y8"/>
    <mergeCell ref="S7:S8"/>
    <mergeCell ref="T7:T8"/>
    <mergeCell ref="AW25:AW26"/>
    <mergeCell ref="AX25:AX26"/>
    <mergeCell ref="AY25:AY26"/>
    <mergeCell ref="AH25:AH26"/>
    <mergeCell ref="AI25:AI26"/>
    <mergeCell ref="AJ25:AJ26"/>
    <mergeCell ref="AK25:AK26"/>
    <mergeCell ref="AL25:AL26"/>
    <mergeCell ref="AM25:AM26"/>
    <mergeCell ref="AN25:AN26"/>
    <mergeCell ref="AO25:AO26"/>
    <mergeCell ref="AP25:AP26"/>
    <mergeCell ref="AC12:AC16"/>
    <mergeCell ref="AF12:AF16"/>
    <mergeCell ref="AG12:AG16"/>
    <mergeCell ref="AH12:AH16"/>
    <mergeCell ref="AD12:AD16"/>
    <mergeCell ref="AE12:AE16"/>
    <mergeCell ref="A10:B43"/>
    <mergeCell ref="C11:D31"/>
    <mergeCell ref="E12:F21"/>
    <mergeCell ref="G12:G15"/>
    <mergeCell ref="H12:H15"/>
    <mergeCell ref="I12:I15"/>
    <mergeCell ref="AZ7:AZ8"/>
    <mergeCell ref="BA7:BA8"/>
    <mergeCell ref="BB7:BB8"/>
    <mergeCell ref="AN7:AO7"/>
    <mergeCell ref="AP7:AQ7"/>
    <mergeCell ref="AR7:AS7"/>
    <mergeCell ref="AT7:AU7"/>
    <mergeCell ref="AV7:AW7"/>
    <mergeCell ref="AX7:AY7"/>
    <mergeCell ref="R12:R16"/>
    <mergeCell ref="S12:S15"/>
    <mergeCell ref="J12:J15"/>
    <mergeCell ref="AQ12:AQ16"/>
    <mergeCell ref="P7:P8"/>
    <mergeCell ref="U7:W7"/>
    <mergeCell ref="Z7:AA7"/>
    <mergeCell ref="AB7:AC7"/>
    <mergeCell ref="AD7:AE7"/>
    <mergeCell ref="U12:U14"/>
    <mergeCell ref="BF7:BG7"/>
    <mergeCell ref="BH7:BI7"/>
    <mergeCell ref="BC7:BC8"/>
    <mergeCell ref="BD7:BD8"/>
    <mergeCell ref="BE7:BE8"/>
    <mergeCell ref="AF7:AG7"/>
    <mergeCell ref="AH7:AI7"/>
    <mergeCell ref="AJ7:AK7"/>
    <mergeCell ref="AL7:AM7"/>
    <mergeCell ref="X12:X14"/>
    <mergeCell ref="Y12:Y14"/>
    <mergeCell ref="Z12:Z16"/>
    <mergeCell ref="AA12:AA16"/>
    <mergeCell ref="AB12:AB16"/>
    <mergeCell ref="BF12:BF16"/>
    <mergeCell ref="BG12:BG16"/>
    <mergeCell ref="AI12:AI16"/>
    <mergeCell ref="AJ12:AJ16"/>
    <mergeCell ref="W12:W14"/>
    <mergeCell ref="BH12:BH16"/>
    <mergeCell ref="BI12:BI16"/>
    <mergeCell ref="K12:K15"/>
    <mergeCell ref="L12:L15"/>
    <mergeCell ref="M12:M16"/>
    <mergeCell ref="N12:N16"/>
    <mergeCell ref="O12:O15"/>
    <mergeCell ref="AO17:AO18"/>
    <mergeCell ref="O17:O18"/>
    <mergeCell ref="P17:P18"/>
    <mergeCell ref="BE12:BE16"/>
    <mergeCell ref="AR12:AR16"/>
    <mergeCell ref="AS12:AS16"/>
    <mergeCell ref="AT12:AT16"/>
    <mergeCell ref="AU12:AU16"/>
    <mergeCell ref="AV12:AV16"/>
    <mergeCell ref="AK12:AK16"/>
    <mergeCell ref="AL12:AL16"/>
    <mergeCell ref="T17:T18"/>
    <mergeCell ref="Z17:Z18"/>
    <mergeCell ref="AB17:AB18"/>
    <mergeCell ref="T12:T15"/>
    <mergeCell ref="AM12:AM16"/>
    <mergeCell ref="AN12:AN16"/>
    <mergeCell ref="AO12:AO16"/>
    <mergeCell ref="AP12:AP16"/>
    <mergeCell ref="BJ12:BJ16"/>
    <mergeCell ref="AW12:AW16"/>
    <mergeCell ref="AX12:AX16"/>
    <mergeCell ref="AY12:AY16"/>
    <mergeCell ref="AZ12:AZ16"/>
    <mergeCell ref="BC12:BC16"/>
    <mergeCell ref="BD12:BD16"/>
    <mergeCell ref="BB12:BB14"/>
    <mergeCell ref="BA12:BA14"/>
    <mergeCell ref="AK19:AK20"/>
    <mergeCell ref="AL19:AL20"/>
    <mergeCell ref="AM19:AM20"/>
    <mergeCell ref="BJ17:BJ18"/>
    <mergeCell ref="G19:G20"/>
    <mergeCell ref="H19:H20"/>
    <mergeCell ref="I19:I20"/>
    <mergeCell ref="J19:J20"/>
    <mergeCell ref="K19:K20"/>
    <mergeCell ref="AX17:AX18"/>
    <mergeCell ref="AY17:AY18"/>
    <mergeCell ref="AZ17:AZ18"/>
    <mergeCell ref="BC17:BC18"/>
    <mergeCell ref="BD17:BD18"/>
    <mergeCell ref="BE17:BE18"/>
    <mergeCell ref="AR17:AR18"/>
    <mergeCell ref="AS17:AS18"/>
    <mergeCell ref="AT17:AT18"/>
    <mergeCell ref="AU17:AU18"/>
    <mergeCell ref="AV17:AV18"/>
    <mergeCell ref="AW17:AW18"/>
    <mergeCell ref="AL17:AL18"/>
    <mergeCell ref="AM17:AM18"/>
    <mergeCell ref="AN17:AN18"/>
    <mergeCell ref="BH17:BH18"/>
    <mergeCell ref="BI17:BI18"/>
    <mergeCell ref="Q17:Q18"/>
    <mergeCell ref="R17:R21"/>
    <mergeCell ref="S17:S20"/>
    <mergeCell ref="Z19:Z20"/>
    <mergeCell ref="AA19:AA20"/>
    <mergeCell ref="AB19:AB20"/>
    <mergeCell ref="AC19:AC20"/>
    <mergeCell ref="AP19:AP20"/>
    <mergeCell ref="BF17:BF18"/>
    <mergeCell ref="BG17:BG18"/>
    <mergeCell ref="AP17:AP18"/>
    <mergeCell ref="AQ17:AQ18"/>
    <mergeCell ref="AF17:AF18"/>
    <mergeCell ref="AG17:AG18"/>
    <mergeCell ref="AH17:AH18"/>
    <mergeCell ref="AI17:AI18"/>
    <mergeCell ref="AJ17:AJ18"/>
    <mergeCell ref="AK17:AK18"/>
    <mergeCell ref="AJ19:AJ20"/>
    <mergeCell ref="AC17:AC18"/>
    <mergeCell ref="AD17:AD18"/>
    <mergeCell ref="AE17:AE18"/>
    <mergeCell ref="N17:N18"/>
    <mergeCell ref="BJ19:BJ20"/>
    <mergeCell ref="E23:F23"/>
    <mergeCell ref="E25:F26"/>
    <mergeCell ref="M25:M26"/>
    <mergeCell ref="N25:N26"/>
    <mergeCell ref="BC19:BC20"/>
    <mergeCell ref="BE19:BE20"/>
    <mergeCell ref="BF19:BF20"/>
    <mergeCell ref="BG19:BG20"/>
    <mergeCell ref="BH19:BH20"/>
    <mergeCell ref="BI19:BI20"/>
    <mergeCell ref="AT19:AT20"/>
    <mergeCell ref="AU19:AU20"/>
    <mergeCell ref="AV19:AV20"/>
    <mergeCell ref="AW19:AW20"/>
    <mergeCell ref="AX19:AX20"/>
    <mergeCell ref="AY19:AY20"/>
    <mergeCell ref="AN19:AN20"/>
    <mergeCell ref="AO19:AO20"/>
    <mergeCell ref="AQ19:AQ20"/>
    <mergeCell ref="AR19:AR20"/>
    <mergeCell ref="AS19:AS20"/>
    <mergeCell ref="AH19:AH20"/>
    <mergeCell ref="AI19:AI20"/>
    <mergeCell ref="AZ25:AZ26"/>
    <mergeCell ref="E29:F31"/>
    <mergeCell ref="M29:M31"/>
    <mergeCell ref="N29:N31"/>
    <mergeCell ref="Q29:Q31"/>
    <mergeCell ref="R29:R31"/>
    <mergeCell ref="O25:O26"/>
    <mergeCell ref="T25:T26"/>
    <mergeCell ref="Z25:Z26"/>
    <mergeCell ref="AA25:AA26"/>
    <mergeCell ref="X29:X31"/>
    <mergeCell ref="Y29:Y31"/>
    <mergeCell ref="Z29:Z31"/>
    <mergeCell ref="AA29:AA31"/>
    <mergeCell ref="AH29:AH31"/>
    <mergeCell ref="AI29:AI31"/>
    <mergeCell ref="G25:G27"/>
    <mergeCell ref="H25:H27"/>
    <mergeCell ref="I25:I27"/>
    <mergeCell ref="J25:J27"/>
    <mergeCell ref="AJ29:AJ31"/>
    <mergeCell ref="AK29:AK31"/>
    <mergeCell ref="AL29:AL31"/>
    <mergeCell ref="AT34:AT36"/>
    <mergeCell ref="AI34:AI36"/>
    <mergeCell ref="AJ34:AJ36"/>
    <mergeCell ref="AK34:AK36"/>
    <mergeCell ref="AL34:AL36"/>
    <mergeCell ref="AM34:AM36"/>
    <mergeCell ref="AN34:AN36"/>
    <mergeCell ref="AD34:AD36"/>
    <mergeCell ref="AE34:AE36"/>
    <mergeCell ref="BJ29:BJ31"/>
    <mergeCell ref="AY29:AY31"/>
    <mergeCell ref="BE29:BE31"/>
    <mergeCell ref="BF29:BF31"/>
    <mergeCell ref="BG29:BG31"/>
    <mergeCell ref="BH29:BH31"/>
    <mergeCell ref="BI29:BI31"/>
    <mergeCell ref="AO29:AO31"/>
    <mergeCell ref="BJ34:BJ36"/>
    <mergeCell ref="BI34:BI37"/>
    <mergeCell ref="BE34:BE36"/>
    <mergeCell ref="BF34:BF37"/>
    <mergeCell ref="BG34:BG37"/>
    <mergeCell ref="BH34:BH37"/>
    <mergeCell ref="AX29:AX31"/>
    <mergeCell ref="AP29:AP31"/>
    <mergeCell ref="AQ29:AQ31"/>
    <mergeCell ref="AR29:AR31"/>
    <mergeCell ref="AS29:AS31"/>
    <mergeCell ref="AT29:AT31"/>
    <mergeCell ref="AU29:AU31"/>
    <mergeCell ref="AV29:AV31"/>
    <mergeCell ref="AW29:AW31"/>
    <mergeCell ref="AS34:AS36"/>
    <mergeCell ref="M19:M20"/>
    <mergeCell ref="N19:N20"/>
    <mergeCell ref="O19:O20"/>
    <mergeCell ref="P19:P20"/>
    <mergeCell ref="Q19:Q20"/>
    <mergeCell ref="S36:S37"/>
    <mergeCell ref="K25:K27"/>
    <mergeCell ref="C33:D39"/>
    <mergeCell ref="E34:F37"/>
    <mergeCell ref="L34:L36"/>
    <mergeCell ref="M34:M36"/>
    <mergeCell ref="N34:N36"/>
    <mergeCell ref="Q34:Q36"/>
    <mergeCell ref="P39:P40"/>
    <mergeCell ref="AJ39:AJ40"/>
    <mergeCell ref="AK39:AK40"/>
    <mergeCell ref="AL39:AL40"/>
    <mergeCell ref="AM39:AM40"/>
    <mergeCell ref="AN39:AN40"/>
    <mergeCell ref="AB29:AB31"/>
    <mergeCell ref="AC29:AC31"/>
    <mergeCell ref="AD29:AD31"/>
    <mergeCell ref="AE29:AE31"/>
    <mergeCell ref="AF29:AF31"/>
    <mergeCell ref="AG29:AG31"/>
    <mergeCell ref="AD39:AD40"/>
    <mergeCell ref="AE39:AE40"/>
    <mergeCell ref="AF39:AF40"/>
    <mergeCell ref="AG39:AG40"/>
    <mergeCell ref="AB25:AB26"/>
    <mergeCell ref="AC25:AC26"/>
    <mergeCell ref="AD25:AD26"/>
    <mergeCell ref="AE25:AE26"/>
    <mergeCell ref="AC39:AC40"/>
    <mergeCell ref="C42:D43"/>
    <mergeCell ref="E43:F43"/>
    <mergeCell ref="Q39:Q40"/>
    <mergeCell ref="R39:R40"/>
    <mergeCell ref="S39:S40"/>
    <mergeCell ref="AO39:AO40"/>
    <mergeCell ref="AP39:AP40"/>
    <mergeCell ref="T39:T40"/>
    <mergeCell ref="Z39:Z40"/>
    <mergeCell ref="AA39:AA40"/>
    <mergeCell ref="AF19:AF20"/>
    <mergeCell ref="AG19:AG20"/>
    <mergeCell ref="R34:R36"/>
    <mergeCell ref="X34:X36"/>
    <mergeCell ref="Y34:Y36"/>
    <mergeCell ref="R25:R26"/>
    <mergeCell ref="S25:S26"/>
    <mergeCell ref="T19:T20"/>
    <mergeCell ref="AD19:AD20"/>
    <mergeCell ref="AF25:AF26"/>
    <mergeCell ref="AG25:AG26"/>
    <mergeCell ref="Z34:Z36"/>
    <mergeCell ref="AA34:AA36"/>
    <mergeCell ref="AB34:AB36"/>
    <mergeCell ref="AC34:AC36"/>
    <mergeCell ref="AE19:AE20"/>
    <mergeCell ref="AB39:AB40"/>
    <mergeCell ref="AM29:AM31"/>
    <mergeCell ref="AN29:AN31"/>
    <mergeCell ref="M7:M8"/>
    <mergeCell ref="N7:N8"/>
    <mergeCell ref="L7:L8"/>
    <mergeCell ref="O7:O8"/>
    <mergeCell ref="J7:K7"/>
    <mergeCell ref="A44:O44"/>
    <mergeCell ref="BD34:BD36"/>
    <mergeCell ref="AU34:AU36"/>
    <mergeCell ref="AV34:AV36"/>
    <mergeCell ref="AW34:AW36"/>
    <mergeCell ref="AX34:AX36"/>
    <mergeCell ref="AY34:AY36"/>
    <mergeCell ref="AZ34:AZ37"/>
    <mergeCell ref="AO34:AO36"/>
    <mergeCell ref="AP34:AP36"/>
    <mergeCell ref="AQ34:AQ36"/>
    <mergeCell ref="AR34:AR36"/>
    <mergeCell ref="AF34:AF36"/>
    <mergeCell ref="AG34:AG36"/>
    <mergeCell ref="AH34:AH36"/>
    <mergeCell ref="E39:F40"/>
    <mergeCell ref="G39:G40"/>
    <mergeCell ref="M39:M40"/>
    <mergeCell ref="O39:O40"/>
    <mergeCell ref="AW39:AW40"/>
    <mergeCell ref="AX39:AX40"/>
    <mergeCell ref="AY39:AY40"/>
    <mergeCell ref="AH39:AH40"/>
    <mergeCell ref="AI39:AI40"/>
    <mergeCell ref="A7:A8"/>
    <mergeCell ref="D7:D8"/>
    <mergeCell ref="G7:G8"/>
    <mergeCell ref="B7:B8"/>
    <mergeCell ref="C7:C8"/>
    <mergeCell ref="E7:E8"/>
    <mergeCell ref="F7:F8"/>
    <mergeCell ref="P25:P26"/>
    <mergeCell ref="Q25:Q26"/>
    <mergeCell ref="G17:G18"/>
    <mergeCell ref="H17:H18"/>
    <mergeCell ref="I17:I18"/>
    <mergeCell ref="J17:J18"/>
    <mergeCell ref="K17:K18"/>
    <mergeCell ref="M17:M18"/>
    <mergeCell ref="P12:P15"/>
    <mergeCell ref="Q12:Q16"/>
    <mergeCell ref="H7:H8"/>
    <mergeCell ref="I7:I8"/>
    <mergeCell ref="A1:BG4"/>
    <mergeCell ref="Q5:BJ5"/>
    <mergeCell ref="BG6:BJ6"/>
    <mergeCell ref="AA17:AA18"/>
    <mergeCell ref="V12:V14"/>
    <mergeCell ref="BI39:BI40"/>
    <mergeCell ref="BJ39:BJ40"/>
    <mergeCell ref="H39:H40"/>
    <mergeCell ref="I39:I40"/>
    <mergeCell ref="J39:J40"/>
    <mergeCell ref="K39:K40"/>
    <mergeCell ref="AZ39:AZ40"/>
    <mergeCell ref="BC39:BC40"/>
    <mergeCell ref="BD39:BD40"/>
    <mergeCell ref="BE39:BE40"/>
    <mergeCell ref="BF39:BF40"/>
    <mergeCell ref="BG39:BG40"/>
    <mergeCell ref="BH39:BH40"/>
    <mergeCell ref="AQ39:AQ40"/>
    <mergeCell ref="AR39:AR40"/>
    <mergeCell ref="AS39:AS40"/>
    <mergeCell ref="AT39:AT40"/>
    <mergeCell ref="AU39:AU40"/>
    <mergeCell ref="AV39:AV40"/>
  </mergeCells>
  <printOptions/>
  <pageMargins left="0.7086614173228347" right="0.7086614173228347" top="0.7480314960629921" bottom="0.7480314960629921" header="0.31496062992125984" footer="0.31496062992125984"/>
  <pageSetup horizontalDpi="600" verticalDpi="600" orientation="landscape" paperSize="5" scale="50" r:id="rId2"/>
  <drawing r:id="rId1"/>
</worksheet>
</file>

<file path=xl/worksheets/sheet15.xml><?xml version="1.0" encoding="utf-8"?>
<worksheet xmlns="http://schemas.openxmlformats.org/spreadsheetml/2006/main" xmlns:r="http://schemas.openxmlformats.org/officeDocument/2006/relationships">
  <dimension ref="A1:BL672"/>
  <sheetViews>
    <sheetView zoomScale="60" zoomScaleNormal="60" zoomScalePageLayoutView="0" workbookViewId="0" topLeftCell="A1">
      <selection activeCell="A1" sqref="A1:BF4"/>
    </sheetView>
  </sheetViews>
  <sheetFormatPr defaultColWidth="11.421875" defaultRowHeight="15"/>
  <cols>
    <col min="1" max="1" width="12.7109375" style="4" customWidth="1"/>
    <col min="2" max="2" width="4.00390625" style="4" customWidth="1"/>
    <col min="3" max="3" width="19.57421875" style="4" customWidth="1"/>
    <col min="4" max="4" width="12.8515625" style="4" customWidth="1"/>
    <col min="5" max="5" width="7.421875" style="4" customWidth="1"/>
    <col min="6" max="6" width="14.421875" style="4" customWidth="1"/>
    <col min="7" max="7" width="13.28125" style="4" customWidth="1"/>
    <col min="8" max="8" width="8.57421875" style="4" customWidth="1"/>
    <col min="9" max="9" width="16.8515625" style="4" customWidth="1"/>
    <col min="10" max="10" width="13.00390625" style="4" customWidth="1"/>
    <col min="11" max="11" width="25.7109375" style="3" customWidth="1"/>
    <col min="12" max="12" width="17.00390625" style="3" customWidth="1"/>
    <col min="13" max="13" width="13.00390625" style="3" customWidth="1"/>
    <col min="14" max="14" width="13.00390625" style="458" customWidth="1"/>
    <col min="15" max="15" width="25.8515625" style="3" customWidth="1"/>
    <col min="16" max="16" width="13.8515625" style="3" customWidth="1"/>
    <col min="17" max="17" width="27.7109375" style="6" customWidth="1"/>
    <col min="18" max="18" width="12.140625" style="478" customWidth="1"/>
    <col min="19" max="19" width="17.8515625" style="3" customWidth="1"/>
    <col min="20" max="20" width="26.7109375" style="2121" customWidth="1"/>
    <col min="21" max="21" width="43.7109375" style="2121" customWidth="1"/>
    <col min="22" max="22" width="27.00390625" style="7" customWidth="1"/>
    <col min="23" max="24" width="21.8515625" style="7" customWidth="1"/>
    <col min="25" max="25" width="21.8515625" style="600" customWidth="1"/>
    <col min="26" max="26" width="21.8515625" style="7" customWidth="1"/>
    <col min="27" max="27" width="18.57421875" style="7" customWidth="1"/>
    <col min="28" max="39" width="9.8515625" style="4" customWidth="1"/>
    <col min="40" max="40" width="14.57421875" style="4" customWidth="1"/>
    <col min="41" max="41" width="12.7109375" style="4" customWidth="1"/>
    <col min="42" max="42" width="13.7109375" style="4" customWidth="1"/>
    <col min="43" max="43" width="9.8515625" style="4" customWidth="1"/>
    <col min="44" max="45" width="13.7109375" style="4" customWidth="1"/>
    <col min="46" max="47" width="9.8515625" style="4" customWidth="1"/>
    <col min="48" max="49" width="13.140625" style="4" customWidth="1"/>
    <col min="50" max="51" width="11.7109375" style="4" customWidth="1"/>
    <col min="52" max="52" width="22.7109375" style="2549" customWidth="1"/>
    <col min="53" max="56" width="22.7109375" style="4" customWidth="1"/>
    <col min="57" max="57" width="22.7109375" style="2112" customWidth="1"/>
    <col min="58" max="59" width="22.7109375" style="21" customWidth="1"/>
    <col min="60" max="61" width="22.7109375" style="22" customWidth="1"/>
    <col min="62" max="62" width="28.7109375" style="223" customWidth="1"/>
    <col min="63" max="63" width="21.421875" style="20" customWidth="1"/>
    <col min="64" max="64" width="15.7109375" style="20" bestFit="1" customWidth="1"/>
    <col min="65" max="16384" width="11.421875" style="4" customWidth="1"/>
  </cols>
  <sheetData>
    <row r="1" spans="1:64" ht="15" customHeight="1">
      <c r="A1" s="3047" t="s">
        <v>111</v>
      </c>
      <c r="B1" s="3047"/>
      <c r="C1" s="3047"/>
      <c r="D1" s="3047"/>
      <c r="E1" s="3047"/>
      <c r="F1" s="3047"/>
      <c r="G1" s="3047"/>
      <c r="H1" s="3047"/>
      <c r="I1" s="3047"/>
      <c r="J1" s="3047"/>
      <c r="K1" s="3047"/>
      <c r="L1" s="3047"/>
      <c r="M1" s="3047"/>
      <c r="N1" s="3047"/>
      <c r="O1" s="3047"/>
      <c r="P1" s="3047"/>
      <c r="Q1" s="3047"/>
      <c r="R1" s="3047"/>
      <c r="S1" s="3047"/>
      <c r="T1" s="3047"/>
      <c r="U1" s="3047"/>
      <c r="V1" s="3047"/>
      <c r="W1" s="3047"/>
      <c r="X1" s="3047"/>
      <c r="Y1" s="3047"/>
      <c r="Z1" s="3047"/>
      <c r="AA1" s="3047"/>
      <c r="AB1" s="3047"/>
      <c r="AC1" s="3047"/>
      <c r="AD1" s="3047"/>
      <c r="AE1" s="3047"/>
      <c r="AF1" s="3047"/>
      <c r="AG1" s="3047"/>
      <c r="AH1" s="3047"/>
      <c r="AI1" s="3047"/>
      <c r="AJ1" s="3047"/>
      <c r="AK1" s="3047"/>
      <c r="AL1" s="3047"/>
      <c r="AM1" s="3047"/>
      <c r="AN1" s="3047"/>
      <c r="AO1" s="3047"/>
      <c r="AP1" s="3047"/>
      <c r="AQ1" s="3047"/>
      <c r="AR1" s="3047"/>
      <c r="AS1" s="3047"/>
      <c r="AT1" s="3047"/>
      <c r="AU1" s="3047"/>
      <c r="AV1" s="3047"/>
      <c r="AW1" s="3047"/>
      <c r="AX1" s="3047"/>
      <c r="AY1" s="3047"/>
      <c r="AZ1" s="3047"/>
      <c r="BA1" s="3047"/>
      <c r="BB1" s="3047"/>
      <c r="BC1" s="3047"/>
      <c r="BD1" s="3047"/>
      <c r="BE1" s="3047"/>
      <c r="BF1" s="3047"/>
      <c r="BG1" s="2875"/>
      <c r="BH1" s="4"/>
      <c r="BI1" s="2633" t="s">
        <v>97</v>
      </c>
      <c r="BJ1" s="2633" t="s">
        <v>112</v>
      </c>
      <c r="BK1" s="4"/>
      <c r="BL1" s="4"/>
    </row>
    <row r="2" spans="1:64" ht="15">
      <c r="A2" s="3047"/>
      <c r="B2" s="3047"/>
      <c r="C2" s="3047"/>
      <c r="D2" s="3047"/>
      <c r="E2" s="3047"/>
      <c r="F2" s="3047"/>
      <c r="G2" s="3047"/>
      <c r="H2" s="3047"/>
      <c r="I2" s="3047"/>
      <c r="J2" s="3047"/>
      <c r="K2" s="3047"/>
      <c r="L2" s="3047"/>
      <c r="M2" s="3047"/>
      <c r="N2" s="3047"/>
      <c r="O2" s="3047"/>
      <c r="P2" s="3047"/>
      <c r="Q2" s="3047"/>
      <c r="R2" s="3047"/>
      <c r="S2" s="3047"/>
      <c r="T2" s="3047"/>
      <c r="U2" s="3047"/>
      <c r="V2" s="3047"/>
      <c r="W2" s="3047"/>
      <c r="X2" s="3047"/>
      <c r="Y2" s="3047"/>
      <c r="Z2" s="3047"/>
      <c r="AA2" s="3047"/>
      <c r="AB2" s="3047"/>
      <c r="AC2" s="3047"/>
      <c r="AD2" s="3047"/>
      <c r="AE2" s="3047"/>
      <c r="AF2" s="3047"/>
      <c r="AG2" s="3047"/>
      <c r="AH2" s="3047"/>
      <c r="AI2" s="3047"/>
      <c r="AJ2" s="3047"/>
      <c r="AK2" s="3047"/>
      <c r="AL2" s="3047"/>
      <c r="AM2" s="3047"/>
      <c r="AN2" s="3047"/>
      <c r="AO2" s="3047"/>
      <c r="AP2" s="3047"/>
      <c r="AQ2" s="3047"/>
      <c r="AR2" s="3047"/>
      <c r="AS2" s="3047"/>
      <c r="AT2" s="3047"/>
      <c r="AU2" s="3047"/>
      <c r="AV2" s="3047"/>
      <c r="AW2" s="3047"/>
      <c r="AX2" s="3047"/>
      <c r="AY2" s="3047"/>
      <c r="AZ2" s="3047"/>
      <c r="BA2" s="3047"/>
      <c r="BB2" s="3047"/>
      <c r="BC2" s="3047"/>
      <c r="BD2" s="3047"/>
      <c r="BE2" s="3047"/>
      <c r="BF2" s="3047"/>
      <c r="BG2" s="2875"/>
      <c r="BH2" s="4"/>
      <c r="BI2" s="2634" t="s">
        <v>98</v>
      </c>
      <c r="BJ2" s="2635">
        <v>5</v>
      </c>
      <c r="BK2" s="4"/>
      <c r="BL2" s="4"/>
    </row>
    <row r="3" spans="1:64" ht="15">
      <c r="A3" s="3047"/>
      <c r="B3" s="3047"/>
      <c r="C3" s="3047"/>
      <c r="D3" s="3047"/>
      <c r="E3" s="3047"/>
      <c r="F3" s="3047"/>
      <c r="G3" s="3047"/>
      <c r="H3" s="3047"/>
      <c r="I3" s="3047"/>
      <c r="J3" s="3047"/>
      <c r="K3" s="3047"/>
      <c r="L3" s="3047"/>
      <c r="M3" s="3047"/>
      <c r="N3" s="3047"/>
      <c r="O3" s="3047"/>
      <c r="P3" s="3047"/>
      <c r="Q3" s="3047"/>
      <c r="R3" s="3047"/>
      <c r="S3" s="3047"/>
      <c r="T3" s="3047"/>
      <c r="U3" s="3047"/>
      <c r="V3" s="3047"/>
      <c r="W3" s="3047"/>
      <c r="X3" s="3047"/>
      <c r="Y3" s="3047"/>
      <c r="Z3" s="3047"/>
      <c r="AA3" s="3047"/>
      <c r="AB3" s="3047"/>
      <c r="AC3" s="3047"/>
      <c r="AD3" s="3047"/>
      <c r="AE3" s="3047"/>
      <c r="AF3" s="3047"/>
      <c r="AG3" s="3047"/>
      <c r="AH3" s="3047"/>
      <c r="AI3" s="3047"/>
      <c r="AJ3" s="3047"/>
      <c r="AK3" s="3047"/>
      <c r="AL3" s="3047"/>
      <c r="AM3" s="3047"/>
      <c r="AN3" s="3047"/>
      <c r="AO3" s="3047"/>
      <c r="AP3" s="3047"/>
      <c r="AQ3" s="3047"/>
      <c r="AR3" s="3047"/>
      <c r="AS3" s="3047"/>
      <c r="AT3" s="3047"/>
      <c r="AU3" s="3047"/>
      <c r="AV3" s="3047"/>
      <c r="AW3" s="3047"/>
      <c r="AX3" s="3047"/>
      <c r="AY3" s="3047"/>
      <c r="AZ3" s="3047"/>
      <c r="BA3" s="3047"/>
      <c r="BB3" s="3047"/>
      <c r="BC3" s="3047"/>
      <c r="BD3" s="3047"/>
      <c r="BE3" s="3047"/>
      <c r="BF3" s="3047"/>
      <c r="BG3" s="2875"/>
      <c r="BH3" s="4"/>
      <c r="BI3" s="2633" t="s">
        <v>99</v>
      </c>
      <c r="BJ3" s="2636" t="s">
        <v>2156</v>
      </c>
      <c r="BK3" s="4"/>
      <c r="BL3" s="4"/>
    </row>
    <row r="4" spans="1:62" s="24" customFormat="1" ht="21" customHeight="1">
      <c r="A4" s="3048"/>
      <c r="B4" s="3048"/>
      <c r="C4" s="3048"/>
      <c r="D4" s="3048"/>
      <c r="E4" s="3048"/>
      <c r="F4" s="3048"/>
      <c r="G4" s="3048"/>
      <c r="H4" s="3048"/>
      <c r="I4" s="3048"/>
      <c r="J4" s="3048"/>
      <c r="K4" s="3048"/>
      <c r="L4" s="3048"/>
      <c r="M4" s="3048"/>
      <c r="N4" s="3048"/>
      <c r="O4" s="3048"/>
      <c r="P4" s="3048"/>
      <c r="Q4" s="3048"/>
      <c r="R4" s="3048"/>
      <c r="S4" s="3048"/>
      <c r="T4" s="3048"/>
      <c r="U4" s="3048"/>
      <c r="V4" s="3048"/>
      <c r="W4" s="3048"/>
      <c r="X4" s="3048"/>
      <c r="Y4" s="3048"/>
      <c r="Z4" s="3048"/>
      <c r="AA4" s="3048"/>
      <c r="AB4" s="3048"/>
      <c r="AC4" s="3048"/>
      <c r="AD4" s="3048"/>
      <c r="AE4" s="3048"/>
      <c r="AF4" s="3048"/>
      <c r="AG4" s="3048"/>
      <c r="AH4" s="3048"/>
      <c r="AI4" s="3048"/>
      <c r="AJ4" s="3048"/>
      <c r="AK4" s="3048"/>
      <c r="AL4" s="3048"/>
      <c r="AM4" s="3048"/>
      <c r="AN4" s="3048"/>
      <c r="AO4" s="3048"/>
      <c r="AP4" s="3048"/>
      <c r="AQ4" s="3048"/>
      <c r="AR4" s="3048"/>
      <c r="AS4" s="3048"/>
      <c r="AT4" s="3048"/>
      <c r="AU4" s="3048"/>
      <c r="AV4" s="3048"/>
      <c r="AW4" s="3048"/>
      <c r="AX4" s="3048"/>
      <c r="AY4" s="3048"/>
      <c r="AZ4" s="3048"/>
      <c r="BA4" s="3048"/>
      <c r="BB4" s="3048"/>
      <c r="BC4" s="3048"/>
      <c r="BD4" s="3048"/>
      <c r="BE4" s="3048"/>
      <c r="BF4" s="3048"/>
      <c r="BG4" s="2876"/>
      <c r="BI4" s="842" t="s">
        <v>100</v>
      </c>
      <c r="BJ4" s="2637" t="s">
        <v>113</v>
      </c>
    </row>
    <row r="5" spans="1:64" ht="15">
      <c r="A5" s="3049" t="s">
        <v>0</v>
      </c>
      <c r="B5" s="3049"/>
      <c r="C5" s="3049"/>
      <c r="D5" s="3049"/>
      <c r="E5" s="3049"/>
      <c r="F5" s="3049"/>
      <c r="G5" s="3049"/>
      <c r="H5" s="3049"/>
      <c r="I5" s="3049"/>
      <c r="J5" s="3049"/>
      <c r="K5" s="3049"/>
      <c r="L5" s="3049"/>
      <c r="M5" s="3049"/>
      <c r="N5" s="2877"/>
      <c r="O5" s="2877"/>
      <c r="P5" s="2877"/>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c r="BH5" s="3049"/>
      <c r="BI5" s="3049"/>
      <c r="BJ5" s="3049"/>
      <c r="BK5" s="4"/>
      <c r="BL5" s="4"/>
    </row>
    <row r="6" spans="1:64" ht="14.25" customHeight="1" thickBot="1">
      <c r="A6" s="3049"/>
      <c r="B6" s="3049"/>
      <c r="C6" s="3049"/>
      <c r="D6" s="3049"/>
      <c r="E6" s="3049"/>
      <c r="F6" s="3049"/>
      <c r="G6" s="3049"/>
      <c r="H6" s="3049"/>
      <c r="I6" s="3049"/>
      <c r="J6" s="3049"/>
      <c r="K6" s="3049"/>
      <c r="L6" s="3049"/>
      <c r="M6" s="3049"/>
      <c r="N6" s="2877"/>
      <c r="O6" s="2877"/>
      <c r="P6" s="2878"/>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2879"/>
      <c r="BA6" s="2879"/>
      <c r="BB6" s="2879"/>
      <c r="BC6" s="2879"/>
      <c r="BD6" s="2879"/>
      <c r="BE6" s="2879"/>
      <c r="BF6" s="3050"/>
      <c r="BG6" s="3051"/>
      <c r="BH6" s="3051"/>
      <c r="BI6" s="3051"/>
      <c r="BJ6" s="3052"/>
      <c r="BK6" s="4"/>
      <c r="BL6" s="4"/>
    </row>
    <row r="7" spans="1:62" ht="28.5" customHeight="1">
      <c r="A7" t="s">
        <v>3</v>
      </c>
      <c r="B7" t="s">
        <v>4</v>
      </c>
      <c r="C7"/>
      <c r="D7" t="s">
        <v>3</v>
      </c>
      <c r="E7" t="s">
        <v>5</v>
      </c>
      <c r="F7"/>
      <c r="G7" t="s">
        <v>3</v>
      </c>
      <c r="H7" t="s">
        <v>6</v>
      </c>
      <c r="I7"/>
      <c r="J7" t="s">
        <v>3</v>
      </c>
      <c r="K7" t="s">
        <v>7</v>
      </c>
      <c r="L7" t="s">
        <v>8</v>
      </c>
      <c r="M7" t="s">
        <v>9</v>
      </c>
      <c r="N7"/>
      <c r="O7" t="s">
        <v>10</v>
      </c>
      <c r="P7" t="s">
        <v>3</v>
      </c>
      <c r="Q7" t="s">
        <v>1</v>
      </c>
      <c r="R7" t="s">
        <v>11</v>
      </c>
      <c r="S7" t="s">
        <v>12</v>
      </c>
      <c r="T7" t="s">
        <v>13</v>
      </c>
      <c r="U7" t="s">
        <v>14</v>
      </c>
      <c r="V7" t="s">
        <v>15</v>
      </c>
      <c r="W7" t="s">
        <v>12</v>
      </c>
      <c r="X7"/>
      <c r="Y7"/>
      <c r="Z7" t="s">
        <v>3</v>
      </c>
      <c r="AA7" t="s">
        <v>16</v>
      </c>
      <c r="AB7" s="3788" t="s">
        <v>17</v>
      </c>
      <c r="AC7" s="3788"/>
      <c r="AD7" s="3788"/>
      <c r="AE7" s="3788"/>
      <c r="AF7" s="3788"/>
      <c r="AG7" s="3788"/>
      <c r="AH7" s="3788"/>
      <c r="AI7" s="3788"/>
      <c r="AJ7" s="3788"/>
      <c r="AK7" s="3788"/>
      <c r="AL7" s="3788"/>
      <c r="AM7" s="3788"/>
      <c r="AN7" s="3788" t="s">
        <v>18</v>
      </c>
      <c r="AO7" s="3788"/>
      <c r="AP7" s="3788"/>
      <c r="AQ7" s="3788"/>
      <c r="AR7" s="3788"/>
      <c r="AS7" s="3788"/>
      <c r="AT7" s="3788"/>
      <c r="AU7" s="3788"/>
      <c r="AV7" s="3788"/>
      <c r="AW7" s="3788"/>
      <c r="AX7" s="3788"/>
      <c r="AY7" s="3788"/>
      <c r="AZ7" s="3314" t="s">
        <v>119</v>
      </c>
      <c r="BA7" s="3315"/>
      <c r="BB7" s="3315"/>
      <c r="BC7" s="3315"/>
      <c r="BD7" s="3315"/>
      <c r="BE7" s="3316"/>
      <c r="BF7" s="3317" t="s">
        <v>19</v>
      </c>
      <c r="BG7" s="3317"/>
      <c r="BH7" s="3317" t="s">
        <v>20</v>
      </c>
      <c r="BI7" s="3317"/>
      <c r="BJ7" s="1943" t="s">
        <v>21</v>
      </c>
    </row>
    <row r="8" spans="1:62" ht="29.25" customHeight="1">
      <c r="A8"/>
      <c r="B8" s="3037"/>
      <c r="C8" s="3039"/>
      <c r="D8" s="3041"/>
      <c r="E8" s="3037"/>
      <c r="F8" s="3039"/>
      <c r="G8" s="3041"/>
      <c r="H8" s="3037"/>
      <c r="I8" s="3039"/>
      <c r="J8" s="3041"/>
      <c r="K8" s="3041"/>
      <c r="L8" s="3041"/>
      <c r="M8" s="3037"/>
      <c r="N8" s="3039"/>
      <c r="O8" s="3041"/>
      <c r="P8" s="3041"/>
      <c r="Q8" s="3041"/>
      <c r="R8" s="3041"/>
      <c r="S8" s="3041"/>
      <c r="T8"/>
      <c r="U8"/>
      <c r="V8"/>
      <c r="W8" s="3037"/>
      <c r="X8" s="3038"/>
      <c r="Y8" s="3039"/>
      <c r="Z8" s="3041"/>
      <c r="AA8" s="3037"/>
      <c r="AB8" s="3053" t="s">
        <v>22</v>
      </c>
      <c r="AC8" s="3053"/>
      <c r="AD8" s="3787" t="s">
        <v>23</v>
      </c>
      <c r="AE8" s="3787"/>
      <c r="AF8" s="3053" t="s">
        <v>24</v>
      </c>
      <c r="AG8" s="3053"/>
      <c r="AH8" s="3053" t="s">
        <v>25</v>
      </c>
      <c r="AI8" s="3053"/>
      <c r="AJ8" s="3053" t="s">
        <v>26</v>
      </c>
      <c r="AK8" s="3053"/>
      <c r="AL8" s="3053" t="s">
        <v>27</v>
      </c>
      <c r="AM8" s="3053"/>
      <c r="AN8" s="3053" t="s">
        <v>28</v>
      </c>
      <c r="AO8" s="3053"/>
      <c r="AP8" s="3053" t="s">
        <v>29</v>
      </c>
      <c r="AQ8" s="3053"/>
      <c r="AR8" s="3053" t="s">
        <v>30</v>
      </c>
      <c r="AS8" s="3053"/>
      <c r="AT8" s="3053" t="s">
        <v>31</v>
      </c>
      <c r="AU8" s="3053"/>
      <c r="AV8" s="3053" t="s">
        <v>32</v>
      </c>
      <c r="AW8" s="3053"/>
      <c r="AX8" s="3053" t="s">
        <v>33</v>
      </c>
      <c r="AY8" s="3053"/>
      <c r="AZ8" s="3296" t="s">
        <v>116</v>
      </c>
      <c r="BA8" s="3297" t="s">
        <v>120</v>
      </c>
      <c r="BB8" s="3296" t="s">
        <v>121</v>
      </c>
      <c r="BC8" s="3298" t="s">
        <v>117</v>
      </c>
      <c r="BD8" s="3296" t="s">
        <v>118</v>
      </c>
      <c r="BE8" t="s">
        <v>122</v>
      </c>
      <c r="BF8" s="3317"/>
      <c r="BG8" s="3317"/>
      <c r="BH8" s="3317"/>
      <c r="BI8" s="3317"/>
      <c r="BJ8" s="1944"/>
    </row>
    <row r="9" spans="1:62" ht="35.25" customHeight="1">
      <c r="A9"/>
      <c r="B9" s="3054"/>
      <c r="C9" s="3055"/>
      <c r="D9" s="3042"/>
      <c r="E9" s="3054"/>
      <c r="F9" s="3055"/>
      <c r="G9" s="3042"/>
      <c r="H9" s="3054"/>
      <c r="I9" s="3055"/>
      <c r="J9" s="3042"/>
      <c r="K9" s="3042"/>
      <c r="L9" s="3042"/>
      <c r="M9" s="2068" t="s">
        <v>106</v>
      </c>
      <c r="N9" s="92" t="s">
        <v>107</v>
      </c>
      <c r="O9" s="3042"/>
      <c r="P9" s="3042"/>
      <c r="Q9" s="3042"/>
      <c r="R9" s="3042"/>
      <c r="S9" s="3042"/>
      <c r="T9"/>
      <c r="U9"/>
      <c r="V9"/>
      <c r="W9" s="1188" t="s">
        <v>105</v>
      </c>
      <c r="X9" s="1189" t="s">
        <v>115</v>
      </c>
      <c r="Y9" s="1189" t="s">
        <v>114</v>
      </c>
      <c r="Z9" s="3042"/>
      <c r="AA9"/>
      <c r="AB9" s="2068" t="s">
        <v>106</v>
      </c>
      <c r="AC9" s="92" t="s">
        <v>107</v>
      </c>
      <c r="AD9" s="2068" t="s">
        <v>106</v>
      </c>
      <c r="AE9" s="92" t="s">
        <v>107</v>
      </c>
      <c r="AF9" s="2068" t="s">
        <v>106</v>
      </c>
      <c r="AG9" s="92" t="s">
        <v>107</v>
      </c>
      <c r="AH9" s="2068" t="s">
        <v>106</v>
      </c>
      <c r="AI9" s="92" t="s">
        <v>107</v>
      </c>
      <c r="AJ9" s="2068" t="s">
        <v>106</v>
      </c>
      <c r="AK9" s="92" t="s">
        <v>107</v>
      </c>
      <c r="AL9" s="2068" t="s">
        <v>106</v>
      </c>
      <c r="AM9" s="92" t="s">
        <v>107</v>
      </c>
      <c r="AN9" s="2068" t="s">
        <v>106</v>
      </c>
      <c r="AO9" s="92" t="s">
        <v>107</v>
      </c>
      <c r="AP9" s="2068" t="s">
        <v>106</v>
      </c>
      <c r="AQ9" s="92" t="s">
        <v>107</v>
      </c>
      <c r="AR9" s="2068" t="s">
        <v>106</v>
      </c>
      <c r="AS9" s="92" t="s">
        <v>107</v>
      </c>
      <c r="AT9" s="2068" t="s">
        <v>106</v>
      </c>
      <c r="AU9" s="92" t="s">
        <v>107</v>
      </c>
      <c r="AV9" s="2068" t="s">
        <v>106</v>
      </c>
      <c r="AW9" s="92" t="s">
        <v>107</v>
      </c>
      <c r="AX9" s="2068" t="s">
        <v>106</v>
      </c>
      <c r="AY9" s="92" t="s">
        <v>107</v>
      </c>
      <c r="AZ9" s="3296"/>
      <c r="BA9" s="3297"/>
      <c r="BB9" s="3296"/>
      <c r="BC9" s="3299"/>
      <c r="BD9" s="3296"/>
      <c r="BE9"/>
      <c r="BF9" s="2069" t="s">
        <v>106</v>
      </c>
      <c r="BG9" s="117" t="s">
        <v>107</v>
      </c>
      <c r="BH9" s="2069" t="s">
        <v>106</v>
      </c>
      <c r="BI9" s="117" t="s">
        <v>107</v>
      </c>
      <c r="BJ9" s="1944"/>
    </row>
    <row r="10" spans="1:62" ht="27.75" customHeight="1">
      <c r="A10" s="2516">
        <v>2</v>
      </c>
      <c r="B10" t="s">
        <v>1421</v>
      </c>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ht="27.75" customHeight="1">
      <c r="A11" s="2512"/>
      <c r="B11"/>
      <c r="C11"/>
      <c r="D11" s="2515">
        <v>4</v>
      </c>
      <c r="E11" t="s">
        <v>1800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 r="A12" s="2517"/>
      <c r="B12" s="1224"/>
      <c r="C12" s="1225"/>
      <c r="D12" s="2518"/>
      <c r="E12" s="1221"/>
      <c r="F12" s="1222"/>
      <c r="G12" s="2498">
        <v>14</v>
      </c>
      <c r="H12" t="s">
        <v>2140</v>
      </c>
      <c r="I12"/>
      <c r="J12"/>
      <c r="K12"/>
      <c r="L12"/>
      <c r="M12"/>
      <c r="N12"/>
      <c r="O12"/>
      <c r="P12"/>
      <c r="Q12"/>
      <c r="R12"/>
      <c r="S12"/>
      <c r="T12"/>
      <c r="U12"/>
      <c r="V12"/>
      <c r="W12"/>
      <c r="X12"/>
      <c r="Y12"/>
      <c r="Z12"/>
      <c r="AA12"/>
      <c r="AB12" s="2496"/>
      <c r="AC12" s="2496"/>
      <c r="AD12" s="2496"/>
      <c r="AE12" s="2496"/>
      <c r="AF12" s="2496"/>
      <c r="AG12" s="2496"/>
      <c r="AH12" s="2496"/>
      <c r="AI12" s="2496"/>
      <c r="AJ12" s="2496"/>
      <c r="AK12" s="2496"/>
      <c r="AL12" s="2496"/>
      <c r="AM12" s="2496"/>
      <c r="AN12" s="2496"/>
      <c r="AO12" s="2496"/>
      <c r="AP12" s="2496"/>
      <c r="AQ12" s="2496"/>
      <c r="AR12" s="2496"/>
      <c r="AS12" s="2496"/>
      <c r="AT12" s="2496"/>
      <c r="AU12" s="2496"/>
      <c r="AV12" s="2496"/>
      <c r="AW12" s="2496"/>
      <c r="AX12" s="2496"/>
      <c r="AY12" s="2496"/>
      <c r="AZ12" s="2551"/>
      <c r="BA12" s="2496"/>
      <c r="BB12" s="2496"/>
      <c r="BC12" s="2496"/>
      <c r="BD12" s="2496"/>
      <c r="BE12" s="2496"/>
      <c r="BF12" s="2496"/>
      <c r="BG12" s="2496"/>
      <c r="BH12" s="2496"/>
      <c r="BI12" s="2496"/>
      <c r="BJ12" s="2497"/>
    </row>
    <row r="13" spans="1:62" s="20" customFormat="1" ht="129" customHeight="1">
      <c r="A13" s="2517"/>
      <c r="B13" s="1224"/>
      <c r="C13" s="1225"/>
      <c r="D13" s="2517"/>
      <c r="E13" s="852"/>
      <c r="F13" s="1225"/>
      <c r="G13" s="2513"/>
      <c r="H13" s="2572"/>
      <c r="I13" s="2572"/>
      <c r="J13" s="2563">
        <v>54</v>
      </c>
      <c r="K13" s="2567" t="s">
        <v>401</v>
      </c>
      <c r="L13" s="2572" t="s">
        <v>2141</v>
      </c>
      <c r="M13" s="2564">
        <v>130</v>
      </c>
      <c r="N13" s="2561">
        <v>8</v>
      </c>
      <c r="O13" s="1945" t="s">
        <v>1925</v>
      </c>
      <c r="P13" s="2562">
        <v>171</v>
      </c>
      <c r="Q13" s="2565" t="s">
        <v>1802</v>
      </c>
      <c r="R13" s="2845">
        <f>+W13/1793040000</f>
        <v>0.09325402254272074</v>
      </c>
      <c r="S13">
        <v>1793040000</v>
      </c>
      <c r="T13" s="2505" t="s">
        <v>2142</v>
      </c>
      <c r="U13" s="2495" t="s">
        <v>1812</v>
      </c>
      <c r="V13" s="2566" t="s">
        <v>1816</v>
      </c>
      <c r="W13" s="2501">
        <v>167208192.57999998</v>
      </c>
      <c r="X13" s="2510">
        <v>21676030.62</v>
      </c>
      <c r="Y13" s="2510">
        <v>21676030.62</v>
      </c>
      <c r="Z13" s="2502" t="s">
        <v>1925</v>
      </c>
      <c r="AA13" s="2562" t="s">
        <v>1811</v>
      </c>
      <c r="AB13" s="2537">
        <v>55583</v>
      </c>
      <c r="AC13" s="2537">
        <v>55583</v>
      </c>
      <c r="AD13" s="2537" t="s">
        <v>1807</v>
      </c>
      <c r="AE13" s="2537" t="s">
        <v>1807</v>
      </c>
      <c r="AF13" s="2537">
        <v>83375</v>
      </c>
      <c r="AG13" s="2537">
        <v>83375</v>
      </c>
      <c r="AH13" s="2537">
        <v>111167</v>
      </c>
      <c r="AI13" s="2537">
        <v>111167</v>
      </c>
      <c r="AJ13" s="2537">
        <v>166750</v>
      </c>
      <c r="AK13" s="2537">
        <v>166750</v>
      </c>
      <c r="AL13" s="2537">
        <v>83375</v>
      </c>
      <c r="AM13" s="2537">
        <v>83375</v>
      </c>
      <c r="AN13" s="2537"/>
      <c r="AO13" s="2537"/>
      <c r="AP13" s="2537"/>
      <c r="AQ13" s="2537"/>
      <c r="AR13" s="2537"/>
      <c r="AS13" s="2537"/>
      <c r="AT13" s="2537"/>
      <c r="AU13" s="2537"/>
      <c r="AV13" s="2537"/>
      <c r="AW13" s="2537"/>
      <c r="AX13" s="2537"/>
      <c r="AY13" s="2537"/>
      <c r="AZ13" s="2570">
        <v>2</v>
      </c>
      <c r="BA13" s="2548">
        <f>+Y13</f>
        <v>21676030.62</v>
      </c>
      <c r="BB13" s="2548">
        <v>21676030.62</v>
      </c>
      <c r="BC13" s="2568">
        <f>+BB13/BA13</f>
        <v>1</v>
      </c>
      <c r="BD13" s="2569" t="s">
        <v>1808</v>
      </c>
      <c r="BE13" s="2415" t="s">
        <v>1809</v>
      </c>
      <c r="BF13" s="2538">
        <v>42581</v>
      </c>
      <c r="BG13" s="2538">
        <v>42583</v>
      </c>
      <c r="BH13" s="2538">
        <v>42735</v>
      </c>
      <c r="BI13" s="2538">
        <v>42735</v>
      </c>
      <c r="BJ13" s="2907" t="s">
        <v>1810</v>
      </c>
    </row>
    <row r="14" spans="1:62" s="20" customFormat="1" ht="15" customHeight="1">
      <c r="A14" s="1262"/>
      <c r="B14"/>
      <c r="C14"/>
      <c r="D14" s="1262"/>
      <c r="E14"/>
      <c r="F14"/>
      <c r="G14" s="2514">
        <v>15</v>
      </c>
      <c r="H14" t="s">
        <v>427</v>
      </c>
      <c r="I14"/>
      <c r="J14"/>
      <c r="K14"/>
      <c r="L14"/>
      <c r="M14"/>
      <c r="N14"/>
      <c r="O14" s="2496"/>
      <c r="P14" s="2496"/>
      <c r="Q14" s="2496"/>
      <c r="R14" s="2862"/>
      <c r="S14"/>
      <c r="T14" s="2496"/>
      <c r="U14" s="2496"/>
      <c r="V14" s="2496"/>
      <c r="W14" s="2496"/>
      <c r="X14" s="2506"/>
      <c r="Y14" s="2506"/>
      <c r="Z14" s="2496"/>
      <c r="AA14" s="2544"/>
      <c r="AB14" s="2545"/>
      <c r="AC14" s="2545"/>
      <c r="AD14" s="2545"/>
      <c r="AE14" s="2545"/>
      <c r="AF14" s="2545"/>
      <c r="AG14" s="2545"/>
      <c r="AH14" s="2545"/>
      <c r="AI14" s="2545"/>
      <c r="AJ14" s="2545"/>
      <c r="AK14" s="2545"/>
      <c r="AL14" s="2545"/>
      <c r="AM14" s="2545"/>
      <c r="AN14" s="2545"/>
      <c r="AO14" s="2545"/>
      <c r="AP14" s="2545"/>
      <c r="AQ14" s="2545"/>
      <c r="AR14" s="2545"/>
      <c r="AS14" s="2545"/>
      <c r="AT14" s="2545"/>
      <c r="AU14" s="2545"/>
      <c r="AV14" s="2545"/>
      <c r="AW14" s="2545"/>
      <c r="AX14" s="2545"/>
      <c r="AY14" s="2545"/>
      <c r="AZ14" s="2558"/>
      <c r="BA14" s="2539"/>
      <c r="BB14" s="2539"/>
      <c r="BC14" s="2540"/>
      <c r="BD14" s="2541"/>
      <c r="BE14" s="2541"/>
      <c r="BF14" s="2542"/>
      <c r="BG14" s="2542"/>
      <c r="BH14" s="2542"/>
      <c r="BI14" s="2543"/>
      <c r="BJ14"/>
    </row>
    <row r="15" spans="1:62" s="20" customFormat="1" ht="56.25" customHeight="1">
      <c r="A15" s="2517"/>
      <c r="B15" s="1224"/>
      <c r="C15" s="1225"/>
      <c r="D15" s="2517"/>
      <c r="E15" s="852"/>
      <c r="F15" s="1225"/>
      <c r="G15" s="2518"/>
      <c r="H15" s="2193"/>
      <c r="I15" s="1222"/>
      <c r="J15" s="3735">
        <v>63</v>
      </c>
      <c r="K15" s="3359" t="s">
        <v>1801</v>
      </c>
      <c r="L15" s="2905" t="s">
        <v>248</v>
      </c>
      <c r="M15" s="2905">
        <v>250</v>
      </c>
      <c r="N15" s="2977">
        <v>350</v>
      </c>
      <c r="O15" s="1945" t="s">
        <v>1924</v>
      </c>
      <c r="P15" s="2905">
        <v>171</v>
      </c>
      <c r="Q15" s="2910" t="s">
        <v>1802</v>
      </c>
      <c r="R15" s="2925">
        <f>+(W15+W16)/S13</f>
        <v>0.2039185630047294</v>
      </c>
      <c r="S15"/>
      <c r="T15" s="2910" t="s">
        <v>1803</v>
      </c>
      <c r="U15" s="2910" t="s">
        <v>1804</v>
      </c>
      <c r="V15" s="2910" t="s">
        <v>1805</v>
      </c>
      <c r="W15" s="1945">
        <v>184000000</v>
      </c>
      <c r="X15" s="2507">
        <v>88750000</v>
      </c>
      <c r="Y15" s="2507">
        <v>88750000</v>
      </c>
      <c r="Z15" s="1945" t="s">
        <v>1924</v>
      </c>
      <c r="AA15" s="2503" t="s">
        <v>1806</v>
      </c>
      <c r="AB15">
        <v>55583</v>
      </c>
      <c r="AC15">
        <v>55583</v>
      </c>
      <c r="AD15" t="s">
        <v>1807</v>
      </c>
      <c r="AE15" t="s">
        <v>1807</v>
      </c>
      <c r="AF15">
        <v>83375</v>
      </c>
      <c r="AG15">
        <v>83375</v>
      </c>
      <c r="AH15">
        <v>111167</v>
      </c>
      <c r="AI15">
        <v>111167</v>
      </c>
      <c r="AJ15">
        <v>166750</v>
      </c>
      <c r="AK15">
        <v>166750</v>
      </c>
      <c r="AL15">
        <v>83375</v>
      </c>
      <c r="AM15">
        <v>83375</v>
      </c>
      <c r="AN15"/>
      <c r="AO15"/>
      <c r="AP15"/>
      <c r="AQ15"/>
      <c r="AR15"/>
      <c r="AS15"/>
      <c r="AT15"/>
      <c r="AU15"/>
      <c r="AV15"/>
      <c r="AW15"/>
      <c r="AX15"/>
      <c r="AY15"/>
      <c r="AZ15">
        <v>8</v>
      </c>
      <c r="BA15">
        <f>+Y15+Y16</f>
        <v>217208907.16</v>
      </c>
      <c r="BB15">
        <f>+BA15</f>
        <v>217208907.16</v>
      </c>
      <c r="BC15">
        <v>1</v>
      </c>
      <c r="BD15" t="s">
        <v>1808</v>
      </c>
      <c r="BE15" t="s">
        <v>1809</v>
      </c>
      <c r="BF15" s="3760">
        <v>42581</v>
      </c>
      <c r="BG15" s="3760">
        <v>42583</v>
      </c>
      <c r="BH15" s="3760">
        <v>42735</v>
      </c>
      <c r="BI15" s="3760">
        <v>42735</v>
      </c>
      <c r="BJ15" s="2908"/>
    </row>
    <row r="16" spans="1:62" s="20" customFormat="1" ht="56.25" customHeight="1">
      <c r="A16" s="2517"/>
      <c r="B16" s="1224"/>
      <c r="C16" s="1225"/>
      <c r="D16" s="2517"/>
      <c r="E16" s="852"/>
      <c r="F16" s="1225"/>
      <c r="G16" s="2517"/>
      <c r="H16" s="1217"/>
      <c r="I16" s="1225"/>
      <c r="J16" s="3741"/>
      <c r="K16" s="3361"/>
      <c r="L16" s="2941"/>
      <c r="M16" s="2941"/>
      <c r="N16" s="2979"/>
      <c r="O16" s="1945" t="s">
        <v>1925</v>
      </c>
      <c r="P16" s="2906"/>
      <c r="Q16" s="3292"/>
      <c r="R16" s="3272"/>
      <c r="S16"/>
      <c r="T16" s="3292"/>
      <c r="U16" s="3293"/>
      <c r="V16" s="3293"/>
      <c r="W16" s="1945">
        <v>181634140.21</v>
      </c>
      <c r="X16" s="2507">
        <v>128458907.16</v>
      </c>
      <c r="Y16" s="2507">
        <v>128458907.16</v>
      </c>
      <c r="Z16" s="1945" t="s">
        <v>1925</v>
      </c>
      <c r="AA16" s="2486" t="s">
        <v>1811</v>
      </c>
      <c r="AB16"/>
      <c r="AC16"/>
      <c r="AD16"/>
      <c r="AE16"/>
      <c r="AF16"/>
      <c r="AG16"/>
      <c r="AH16"/>
      <c r="AI16"/>
      <c r="AJ16"/>
      <c r="AK16"/>
      <c r="AL16"/>
      <c r="AM16"/>
      <c r="AN16"/>
      <c r="AO16"/>
      <c r="AP16"/>
      <c r="AQ16"/>
      <c r="AR16"/>
      <c r="AS16"/>
      <c r="AT16"/>
      <c r="AU16"/>
      <c r="AV16"/>
      <c r="AW16"/>
      <c r="AX16"/>
      <c r="AY16"/>
      <c r="AZ16"/>
      <c r="BA16"/>
      <c r="BB16"/>
      <c r="BC16"/>
      <c r="BD16"/>
      <c r="BE16"/>
      <c r="BF16" s="3762">
        <v>42581</v>
      </c>
      <c r="BG16" s="3762">
        <v>42583</v>
      </c>
      <c r="BH16" s="3762">
        <v>42735</v>
      </c>
      <c r="BI16" s="3762">
        <v>42735</v>
      </c>
      <c r="BJ16" s="2908"/>
    </row>
    <row r="17" spans="1:62" s="20" customFormat="1" ht="56.25" customHeight="1">
      <c r="A17" s="2517"/>
      <c r="B17" s="1224"/>
      <c r="C17" s="1225"/>
      <c r="D17" s="2517"/>
      <c r="E17" s="852"/>
      <c r="F17" s="1225"/>
      <c r="G17" s="2517"/>
      <c r="H17" s="1217"/>
      <c r="I17" s="1225"/>
      <c r="J17" s="2905">
        <v>59</v>
      </c>
      <c r="K17" s="2905" t="s">
        <v>446</v>
      </c>
      <c r="L17" s="2905" t="s">
        <v>248</v>
      </c>
      <c r="M17" s="2905">
        <v>12</v>
      </c>
      <c r="N17" s="2977">
        <v>24</v>
      </c>
      <c r="O17" s="1945" t="s">
        <v>1924</v>
      </c>
      <c r="P17" s="2906"/>
      <c r="Q17" s="3292"/>
      <c r="R17" s="2925">
        <f>+(W17+W18)/S13</f>
        <v>0.12983079430464464</v>
      </c>
      <c r="S17"/>
      <c r="T17" s="3292"/>
      <c r="U17" s="2910" t="s">
        <v>1812</v>
      </c>
      <c r="V17" s="2910" t="s">
        <v>1813</v>
      </c>
      <c r="W17" s="1946">
        <v>200000000</v>
      </c>
      <c r="X17" s="2508">
        <v>200000000</v>
      </c>
      <c r="Y17" s="2508">
        <v>200000000</v>
      </c>
      <c r="Z17" s="1945" t="s">
        <v>1924</v>
      </c>
      <c r="AA17" s="2486" t="s">
        <v>1806</v>
      </c>
      <c r="AB17"/>
      <c r="AC17"/>
      <c r="AD17"/>
      <c r="AE17"/>
      <c r="AF17"/>
      <c r="AG17"/>
      <c r="AH17"/>
      <c r="AI17"/>
      <c r="AJ17"/>
      <c r="AK17"/>
      <c r="AL17"/>
      <c r="AM17"/>
      <c r="AN17"/>
      <c r="AO17"/>
      <c r="AP17" s="2570"/>
      <c r="AQ17" s="2570"/>
      <c r="AR17" s="2570"/>
      <c r="AS17" s="2570"/>
      <c r="AT17" s="2570"/>
      <c r="AU17" s="2570"/>
      <c r="AV17" s="2570"/>
      <c r="AW17" s="2570"/>
      <c r="AX17" s="2570"/>
      <c r="AY17" s="2570"/>
      <c r="AZ17">
        <v>10</v>
      </c>
      <c r="BA17">
        <v>232791807.42000002</v>
      </c>
      <c r="BB17">
        <v>232791807.42000002</v>
      </c>
      <c r="BC17">
        <f>+BB17/BA17</f>
        <v>1</v>
      </c>
      <c r="BD17" t="s">
        <v>1808</v>
      </c>
      <c r="BE17" t="s">
        <v>1809</v>
      </c>
      <c r="BF17" s="2898">
        <v>42581</v>
      </c>
      <c r="BG17" s="2898">
        <v>42583</v>
      </c>
      <c r="BH17" s="2898">
        <v>42735</v>
      </c>
      <c r="BI17" s="2898">
        <v>42735</v>
      </c>
      <c r="BJ17" s="2908"/>
    </row>
    <row r="18" spans="1:62" s="20" customFormat="1" ht="56.25" customHeight="1">
      <c r="A18" s="2517"/>
      <c r="B18" s="1224"/>
      <c r="C18" s="1225"/>
      <c r="D18" s="2517"/>
      <c r="E18" s="852"/>
      <c r="F18" s="1225"/>
      <c r="G18" s="2517"/>
      <c r="H18" s="1217"/>
      <c r="I18" s="1225"/>
      <c r="J18" s="2941"/>
      <c r="K18" s="2941"/>
      <c r="L18" s="2941"/>
      <c r="M18" s="2941"/>
      <c r="N18" s="2979"/>
      <c r="O18" s="1945" t="s">
        <v>1925</v>
      </c>
      <c r="P18" s="2906"/>
      <c r="Q18" s="3292"/>
      <c r="R18" s="3272"/>
      <c r="S18"/>
      <c r="T18" s="3292"/>
      <c r="U18" s="3292"/>
      <c r="V18" s="3293"/>
      <c r="W18" s="1946">
        <v>32791807.42</v>
      </c>
      <c r="X18" s="2508">
        <v>32791807.42</v>
      </c>
      <c r="Y18" s="2508">
        <v>32791807.42</v>
      </c>
      <c r="Z18" s="1945" t="s">
        <v>1925</v>
      </c>
      <c r="AA18" s="2486" t="s">
        <v>1811</v>
      </c>
      <c r="AB18"/>
      <c r="AC18"/>
      <c r="AD18"/>
      <c r="AE18"/>
      <c r="AF18"/>
      <c r="AG18"/>
      <c r="AH18"/>
      <c r="AI18"/>
      <c r="AJ18"/>
      <c r="AK18"/>
      <c r="AL18"/>
      <c r="AM18"/>
      <c r="AN18"/>
      <c r="AO18"/>
      <c r="AP18" s="2592"/>
      <c r="AQ18" s="2592"/>
      <c r="AR18" s="2592"/>
      <c r="AS18" s="2592"/>
      <c r="AT18" s="2592"/>
      <c r="AU18" s="2592"/>
      <c r="AV18" s="2592"/>
      <c r="AW18" s="2592"/>
      <c r="AX18" s="2592"/>
      <c r="AY18" s="2571"/>
      <c r="AZ18"/>
      <c r="BA18"/>
      <c r="BB18"/>
      <c r="BC18" t="e">
        <f>+BB18/BA18</f>
        <v>#DIV/0!</v>
      </c>
      <c r="BD18" t="s">
        <v>1808</v>
      </c>
      <c r="BE18"/>
      <c r="BF18" s="3721"/>
      <c r="BG18" s="3721">
        <v>42583</v>
      </c>
      <c r="BH18" s="3721">
        <v>42735</v>
      </c>
      <c r="BI18" s="3721">
        <v>42735</v>
      </c>
      <c r="BJ18" s="2908"/>
    </row>
    <row r="19" spans="1:62" s="20" customFormat="1" ht="55.5" customHeight="1">
      <c r="A19" s="2517"/>
      <c r="B19" s="1224"/>
      <c r="C19" s="1225"/>
      <c r="D19" s="2517"/>
      <c r="E19" s="852"/>
      <c r="F19" s="1225"/>
      <c r="G19" s="2517"/>
      <c r="H19" s="1217"/>
      <c r="I19" s="1225"/>
      <c r="J19" s="2905">
        <v>57</v>
      </c>
      <c r="K19" s="2910" t="s">
        <v>428</v>
      </c>
      <c r="L19" s="2905" t="s">
        <v>37</v>
      </c>
      <c r="M19" s="2905">
        <v>12</v>
      </c>
      <c r="N19" s="2977">
        <v>12</v>
      </c>
      <c r="O19" s="1945" t="s">
        <v>1924</v>
      </c>
      <c r="P19" s="2906"/>
      <c r="Q19" s="3292"/>
      <c r="R19" s="2925">
        <f>+(W19+W20)/S13</f>
        <v>0.4774238165350466</v>
      </c>
      <c r="S19"/>
      <c r="T19" s="3292"/>
      <c r="U19" s="3292"/>
      <c r="V19" s="2910" t="s">
        <v>1814</v>
      </c>
      <c r="W19" s="1946">
        <v>846000000</v>
      </c>
      <c r="X19" s="2508">
        <v>839956768.38</v>
      </c>
      <c r="Y19" s="2508">
        <v>839956768.38</v>
      </c>
      <c r="Z19" s="1945" t="s">
        <v>1924</v>
      </c>
      <c r="AA19" s="2486" t="s">
        <v>1806</v>
      </c>
      <c r="AB19"/>
      <c r="AC19"/>
      <c r="AD19"/>
      <c r="AE19"/>
      <c r="AF19"/>
      <c r="AG19"/>
      <c r="AH19"/>
      <c r="AI19"/>
      <c r="AJ19"/>
      <c r="AK19"/>
      <c r="AL19"/>
      <c r="AM19"/>
      <c r="AN19"/>
      <c r="AO19"/>
      <c r="AP19"/>
      <c r="AQ19"/>
      <c r="AR19"/>
      <c r="AS19"/>
      <c r="AT19"/>
      <c r="AU19"/>
      <c r="AV19"/>
      <c r="AW19"/>
      <c r="AX19"/>
      <c r="AY19"/>
      <c r="AZ19">
        <v>3</v>
      </c>
      <c r="BA19">
        <f>+Y19+Y20</f>
        <v>848956768.38</v>
      </c>
      <c r="BB19">
        <f>+BA19</f>
        <v>848956768.38</v>
      </c>
      <c r="BC19" s="3665">
        <f>+BB19/BA19</f>
        <v>1</v>
      </c>
      <c r="BD19" t="s">
        <v>1808</v>
      </c>
      <c r="BE19" t="s">
        <v>1809</v>
      </c>
      <c r="BF19" s="2898">
        <v>42581</v>
      </c>
      <c r="BG19" s="2898">
        <v>42583</v>
      </c>
      <c r="BH19" s="2898">
        <v>42735</v>
      </c>
      <c r="BI19" s="2898">
        <v>42735</v>
      </c>
      <c r="BJ19" s="2908"/>
    </row>
    <row r="20" spans="1:62" s="20" customFormat="1" ht="44.25" customHeight="1">
      <c r="A20" s="2517"/>
      <c r="B20" s="1224"/>
      <c r="C20" s="1225"/>
      <c r="D20" s="2517"/>
      <c r="E20" s="852"/>
      <c r="F20" s="1225"/>
      <c r="G20" s="2517"/>
      <c r="H20" s="1217"/>
      <c r="I20" s="1225"/>
      <c r="J20" s="2941"/>
      <c r="K20" s="3293"/>
      <c r="L20" s="2941"/>
      <c r="M20" s="2941"/>
      <c r="N20" s="2979"/>
      <c r="O20" s="1945" t="s">
        <v>1925</v>
      </c>
      <c r="P20" s="2906"/>
      <c r="Q20" s="3292"/>
      <c r="R20" s="3272"/>
      <c r="S20"/>
      <c r="T20" s="3292"/>
      <c r="U20" s="3292"/>
      <c r="V20" s="3293"/>
      <c r="W20" s="1946">
        <v>10040000</v>
      </c>
      <c r="X20" s="2508">
        <v>9000000</v>
      </c>
      <c r="Y20" s="2508">
        <v>9000000</v>
      </c>
      <c r="Z20" s="1945" t="s">
        <v>1925</v>
      </c>
      <c r="AA20" s="2486" t="s">
        <v>1811</v>
      </c>
      <c r="AB20"/>
      <c r="AC20"/>
      <c r="AD20"/>
      <c r="AE20"/>
      <c r="AF20"/>
      <c r="AG20"/>
      <c r="AH20"/>
      <c r="AI20"/>
      <c r="AJ20"/>
      <c r="AK20"/>
      <c r="AL20"/>
      <c r="AM20"/>
      <c r="AN20"/>
      <c r="AO20"/>
      <c r="AP20"/>
      <c r="AQ20"/>
      <c r="AR20"/>
      <c r="AS20"/>
      <c r="AT20"/>
      <c r="AU20"/>
      <c r="AV20"/>
      <c r="AW20"/>
      <c r="AX20"/>
      <c r="AY20"/>
      <c r="AZ20"/>
      <c r="BA20"/>
      <c r="BB20"/>
      <c r="BC20" s="3667" t="e">
        <f>+BB20/BA20</f>
        <v>#DIV/0!</v>
      </c>
      <c r="BD20" t="s">
        <v>1808</v>
      </c>
      <c r="BE20"/>
      <c r="BF20" s="3721">
        <v>42581</v>
      </c>
      <c r="BG20" s="3721">
        <v>42583</v>
      </c>
      <c r="BH20" s="3721">
        <v>42735</v>
      </c>
      <c r="BI20" s="3721">
        <v>42735</v>
      </c>
      <c r="BJ20" s="2908"/>
    </row>
    <row r="21" spans="1:62" s="20" customFormat="1" ht="242.25">
      <c r="A21" s="2517"/>
      <c r="B21" s="1224"/>
      <c r="C21" s="1225"/>
      <c r="D21" s="2517"/>
      <c r="E21" s="852"/>
      <c r="F21" s="1225"/>
      <c r="G21" s="2517"/>
      <c r="H21" s="1217"/>
      <c r="I21" s="1225"/>
      <c r="J21" s="2493">
        <v>60</v>
      </c>
      <c r="K21" s="2492" t="s">
        <v>2139</v>
      </c>
      <c r="L21" s="2494" t="s">
        <v>37</v>
      </c>
      <c r="M21" s="2491">
        <v>12</v>
      </c>
      <c r="N21" s="2490">
        <v>18</v>
      </c>
      <c r="O21" s="1945" t="s">
        <v>1925</v>
      </c>
      <c r="P21" s="2906"/>
      <c r="Q21" s="3292"/>
      <c r="R21" s="2845">
        <f>+(W21/S13)</f>
        <v>0.09557280361285862</v>
      </c>
      <c r="S21"/>
      <c r="T21" s="3293"/>
      <c r="U21" s="3293"/>
      <c r="V21" s="2488" t="s">
        <v>1815</v>
      </c>
      <c r="W21" s="2499">
        <v>171365859.79000002</v>
      </c>
      <c r="X21" s="2509">
        <v>161525412.42000002</v>
      </c>
      <c r="Y21" s="2509">
        <v>161525412.42000002</v>
      </c>
      <c r="Z21" s="2500" t="s">
        <v>1925</v>
      </c>
      <c r="AA21" s="2487" t="s">
        <v>1811</v>
      </c>
      <c r="AB21"/>
      <c r="AC21"/>
      <c r="AD21"/>
      <c r="AE21"/>
      <c r="AF21"/>
      <c r="AG21"/>
      <c r="AH21"/>
      <c r="AI21"/>
      <c r="AJ21"/>
      <c r="AK21"/>
      <c r="AL21"/>
      <c r="AM21"/>
      <c r="AN21" s="2546"/>
      <c r="AO21" s="2546"/>
      <c r="AP21" s="2546"/>
      <c r="AQ21" s="2546"/>
      <c r="AR21" s="2546"/>
      <c r="AS21" s="2546"/>
      <c r="AT21" s="2546"/>
      <c r="AU21" s="2546"/>
      <c r="AV21" s="2546"/>
      <c r="AW21" s="2546"/>
      <c r="AX21" s="2546"/>
      <c r="AY21" s="2546"/>
      <c r="AZ21" s="2552">
        <v>12</v>
      </c>
      <c r="BA21" s="2547">
        <f>+Y21</f>
        <v>161525412.42000002</v>
      </c>
      <c r="BB21" s="2547">
        <v>161525412.42000002</v>
      </c>
      <c r="BC21" s="1817">
        <f>+BB21/BA21</f>
        <v>1</v>
      </c>
      <c r="BD21" s="2504" t="s">
        <v>1808</v>
      </c>
      <c r="BE21" s="2415" t="s">
        <v>1809</v>
      </c>
      <c r="BF21" s="2538">
        <v>42581</v>
      </c>
      <c r="BG21" s="2538">
        <v>42583</v>
      </c>
      <c r="BH21" s="2538">
        <v>42735</v>
      </c>
      <c r="BI21" s="2538">
        <v>42735</v>
      </c>
      <c r="BJ21" s="3756"/>
    </row>
    <row r="22" spans="1:62" s="477" customFormat="1" ht="15" thickBot="1">
      <c r="A22" s="2792"/>
      <c r="B22" s="2793"/>
      <c r="C22" s="2794"/>
      <c r="D22" s="2792"/>
      <c r="E22" s="2142"/>
      <c r="F22" s="2794"/>
      <c r="G22" s="2792"/>
      <c r="H22" s="2792"/>
      <c r="I22" s="2142"/>
      <c r="J22" s="2142"/>
      <c r="K22" s="2142"/>
      <c r="L22" s="2142"/>
      <c r="M22" s="2142"/>
      <c r="N22" s="2795"/>
      <c r="O22" s="2142"/>
      <c r="P22" s="2142"/>
      <c r="Q22" s="2736"/>
      <c r="R22" s="2735"/>
      <c r="S22" s="2530"/>
      <c r="T22" s="2531"/>
      <c r="U22" s="2531"/>
      <c r="V22" s="2532"/>
      <c r="W22" s="2532"/>
      <c r="X22" s="2533"/>
      <c r="Y22" s="2533"/>
      <c r="Z22" s="2534"/>
      <c r="AA22" s="2532"/>
      <c r="AB22" s="2530"/>
      <c r="AC22" s="2530"/>
      <c r="AD22" s="2530"/>
      <c r="AE22" s="2530"/>
      <c r="AF22" s="2530"/>
      <c r="AG22" s="2530"/>
      <c r="AH22" s="2530"/>
      <c r="AI22" s="2530"/>
      <c r="AJ22" s="2530"/>
      <c r="AK22" s="2530"/>
      <c r="AL22" s="2530"/>
      <c r="AM22" s="2530"/>
      <c r="AN22" s="2530"/>
      <c r="AO22" s="2530"/>
      <c r="AP22" s="2530"/>
      <c r="AQ22" s="2530"/>
      <c r="AR22" s="2530"/>
      <c r="AS22" s="2530"/>
      <c r="AT22" s="2530"/>
      <c r="AU22" s="2530"/>
      <c r="AV22" s="2530"/>
      <c r="AW22" s="2530"/>
      <c r="AX22" s="2530"/>
      <c r="AY22" s="2530"/>
      <c r="AZ22" s="2559"/>
      <c r="BA22" s="2547">
        <f>SUM(BA13:BA21)</f>
        <v>1482158926</v>
      </c>
      <c r="BB22" s="2547">
        <f>SUM(BB13:BB21)</f>
        <v>1482158926</v>
      </c>
      <c r="BC22" s="2530"/>
      <c r="BD22" s="2530"/>
      <c r="BE22" s="2531"/>
      <c r="BF22" s="2535"/>
      <c r="BG22" s="2535"/>
      <c r="BH22" s="2536"/>
      <c r="BI22" s="2536"/>
      <c r="BJ22" s="2791"/>
    </row>
    <row r="23" spans="1:62" s="20" customFormat="1" ht="15.75" customHeight="1" thickBot="1">
      <c r="A23" t="s">
        <v>1817</v>
      </c>
      <c r="B23"/>
      <c r="C23"/>
      <c r="D23"/>
      <c r="E23"/>
      <c r="F23"/>
      <c r="G23"/>
      <c r="H23"/>
      <c r="I23"/>
      <c r="J23"/>
      <c r="K23"/>
      <c r="L23"/>
      <c r="M23"/>
      <c r="N23"/>
      <c r="O23"/>
      <c r="P23"/>
      <c r="Q23"/>
      <c r="R23"/>
      <c r="S23" s="2519">
        <v>1793040000</v>
      </c>
      <c r="T23" s="2520"/>
      <c r="U23" s="2521"/>
      <c r="V23" s="2522"/>
      <c r="W23" s="2523">
        <f>SUM(W15:W22)+W13</f>
        <v>1793040000</v>
      </c>
      <c r="X23" s="2524">
        <f>SUM(X15:X22)+X13</f>
        <v>1482158926</v>
      </c>
      <c r="Y23" s="2524">
        <f>SUM(Y15:Y22)+Y13</f>
        <v>1482158926</v>
      </c>
      <c r="Z23" s="2525"/>
      <c r="AA23" s="2526"/>
      <c r="AB23" s="2527"/>
      <c r="AC23" s="2527"/>
      <c r="AD23" s="2527"/>
      <c r="AE23" s="2527"/>
      <c r="AF23" s="2527"/>
      <c r="AG23" s="2527"/>
      <c r="AH23" s="2527"/>
      <c r="AI23" s="2527"/>
      <c r="AJ23" s="2527"/>
      <c r="AK23" s="2527"/>
      <c r="AL23" s="2527"/>
      <c r="AM23" s="2527"/>
      <c r="AN23" s="2527"/>
      <c r="AO23" s="2527"/>
      <c r="AP23" s="2527"/>
      <c r="AQ23" s="2527"/>
      <c r="AR23" s="2527"/>
      <c r="AS23" s="2527"/>
      <c r="AT23" s="2527"/>
      <c r="AU23" s="2527"/>
      <c r="AV23" s="2527"/>
      <c r="AW23" s="2527"/>
      <c r="AX23" s="2527"/>
      <c r="AY23" s="2527"/>
      <c r="AZ23" s="2560"/>
      <c r="BA23" s="2527"/>
      <c r="BB23" s="2527"/>
      <c r="BC23" s="2527"/>
      <c r="BD23" s="2527"/>
      <c r="BE23" s="2521"/>
      <c r="BF23" s="893"/>
      <c r="BG23" s="893"/>
      <c r="BH23" s="2528"/>
      <c r="BI23" s="2528"/>
      <c r="BJ23" s="2529"/>
    </row>
    <row r="24" spans="14:62" s="20" customFormat="1" ht="14.25">
      <c r="N24" s="2144"/>
      <c r="Q24" s="847"/>
      <c r="R24" s="1947"/>
      <c r="T24" s="2122"/>
      <c r="U24" s="2122"/>
      <c r="V24" s="1948"/>
      <c r="W24" s="2573">
        <f>+W23-S23</f>
        <v>0</v>
      </c>
      <c r="X24" s="2511"/>
      <c r="Y24" s="2511"/>
      <c r="Z24" s="1950"/>
      <c r="AA24" s="1948"/>
      <c r="AZ24" s="2550"/>
      <c r="BE24" s="2122"/>
      <c r="BF24" s="21"/>
      <c r="BG24" s="21"/>
      <c r="BH24" s="1949"/>
      <c r="BI24" s="1949"/>
      <c r="BJ24" s="515"/>
    </row>
    <row r="25" spans="14:62" s="20" customFormat="1" ht="14.25">
      <c r="N25" s="2144"/>
      <c r="Q25" s="847"/>
      <c r="R25" s="1947"/>
      <c r="T25" s="2122"/>
      <c r="U25" s="2122"/>
      <c r="V25" s="1948"/>
      <c r="W25" s="1948"/>
      <c r="X25" s="2511"/>
      <c r="Y25" s="2511"/>
      <c r="Z25" s="1948"/>
      <c r="AA25" s="1948"/>
      <c r="AZ25" s="2550"/>
      <c r="BE25" s="2122"/>
      <c r="BF25" s="21"/>
      <c r="BG25" s="21"/>
      <c r="BH25" s="1949"/>
      <c r="BI25" s="1949"/>
      <c r="BJ25" s="515"/>
    </row>
    <row r="26" spans="14:62" s="20" customFormat="1" ht="14.25">
      <c r="N26" s="2144"/>
      <c r="Q26" s="847"/>
      <c r="R26" s="1947"/>
      <c r="T26" s="2122"/>
      <c r="U26" s="2122"/>
      <c r="V26" s="1948"/>
      <c r="W26" s="1948"/>
      <c r="X26" s="2511"/>
      <c r="Y26" s="2511"/>
      <c r="Z26" s="1948"/>
      <c r="AA26" s="1948"/>
      <c r="AZ26" s="2550"/>
      <c r="BE26" s="2122"/>
      <c r="BF26" s="21"/>
      <c r="BG26" s="21"/>
      <c r="BH26" s="1949"/>
      <c r="BI26" s="1949"/>
      <c r="BJ26" s="515"/>
    </row>
    <row r="27" spans="14:62" s="20" customFormat="1" ht="14.25">
      <c r="N27" s="2144"/>
      <c r="Q27" s="847"/>
      <c r="R27" s="1947"/>
      <c r="T27" s="2122"/>
      <c r="U27" s="2122"/>
      <c r="V27" s="1948"/>
      <c r="W27" s="1948"/>
      <c r="X27" s="2511"/>
      <c r="Y27" s="2511"/>
      <c r="Z27" s="1948"/>
      <c r="AA27" s="1948"/>
      <c r="AZ27" s="2550"/>
      <c r="BE27" s="2122"/>
      <c r="BF27" s="21"/>
      <c r="BG27" s="21"/>
      <c r="BH27" s="1949"/>
      <c r="BI27" s="1949"/>
      <c r="BJ27" s="515"/>
    </row>
    <row r="28" spans="14:62" s="20" customFormat="1" ht="14.25">
      <c r="N28" s="2144"/>
      <c r="Q28" s="847"/>
      <c r="R28" s="1947"/>
      <c r="T28" s="2122"/>
      <c r="U28" s="2122"/>
      <c r="V28" s="1948"/>
      <c r="W28" s="1948"/>
      <c r="X28" s="2511"/>
      <c r="Y28" s="2511"/>
      <c r="Z28" s="1948"/>
      <c r="AA28" s="1948"/>
      <c r="AZ28" s="2550"/>
      <c r="BE28" s="2122"/>
      <c r="BF28" s="21"/>
      <c r="BG28" s="21"/>
      <c r="BH28" s="1949"/>
      <c r="BI28" s="1949"/>
      <c r="BJ28" s="515"/>
    </row>
    <row r="29" spans="11:62" s="20" customFormat="1" ht="15">
      <c r="K29" s="1951" t="s">
        <v>1818</v>
      </c>
      <c r="L29" s="1951"/>
      <c r="M29" s="1951"/>
      <c r="N29" s="2151"/>
      <c r="O29" s="1951"/>
      <c r="Q29" s="847"/>
      <c r="R29" s="1947"/>
      <c r="T29" s="2122"/>
      <c r="U29" s="2122"/>
      <c r="V29" s="1948"/>
      <c r="W29" s="1948"/>
      <c r="X29" s="2511"/>
      <c r="Y29" s="2511"/>
      <c r="Z29" s="1948"/>
      <c r="AA29" s="1948"/>
      <c r="AZ29" s="2550"/>
      <c r="BE29" s="2122"/>
      <c r="BF29" s="21"/>
      <c r="BG29" s="21"/>
      <c r="BH29" s="1949"/>
      <c r="BI29" s="1949"/>
      <c r="BJ29" s="515"/>
    </row>
    <row r="30" spans="11:62" s="20" customFormat="1" ht="14.25">
      <c r="K30" s="20" t="s">
        <v>1819</v>
      </c>
      <c r="N30" s="2144"/>
      <c r="Q30" s="847"/>
      <c r="R30" s="1947"/>
      <c r="T30" s="2122"/>
      <c r="U30" s="2122"/>
      <c r="V30" s="1948"/>
      <c r="W30" s="1948"/>
      <c r="X30" s="2511"/>
      <c r="Y30" s="2511"/>
      <c r="Z30" s="1948"/>
      <c r="AA30" s="1948"/>
      <c r="AZ30" s="2550"/>
      <c r="BE30" s="2122"/>
      <c r="BF30" s="21"/>
      <c r="BG30" s="21"/>
      <c r="BH30" s="1949"/>
      <c r="BI30" s="1949"/>
      <c r="BJ30" s="515"/>
    </row>
    <row r="31" spans="14:62" s="20" customFormat="1" ht="14.25">
      <c r="N31" s="2144"/>
      <c r="Q31" s="847"/>
      <c r="R31" s="1947"/>
      <c r="T31" s="2122"/>
      <c r="U31" s="2122"/>
      <c r="V31" s="1948"/>
      <c r="W31" s="1948"/>
      <c r="X31" s="2511"/>
      <c r="Y31" s="2511"/>
      <c r="Z31" s="1948"/>
      <c r="AA31" s="1948"/>
      <c r="AZ31" s="2550"/>
      <c r="BE31" s="2122"/>
      <c r="BF31" s="21"/>
      <c r="BG31" s="21"/>
      <c r="BH31" s="1949"/>
      <c r="BI31" s="1949"/>
      <c r="BJ31" s="515"/>
    </row>
    <row r="32" spans="14:62" s="20" customFormat="1" ht="14.25">
      <c r="N32" s="2144"/>
      <c r="Q32" s="847"/>
      <c r="R32" s="1947"/>
      <c r="T32" s="2122"/>
      <c r="U32" s="2122"/>
      <c r="V32" s="1948"/>
      <c r="W32" s="1948"/>
      <c r="X32" s="2511"/>
      <c r="Y32" s="2511"/>
      <c r="Z32" s="1948"/>
      <c r="AA32" s="1948"/>
      <c r="AZ32" s="2550"/>
      <c r="BE32" s="2122"/>
      <c r="BF32" s="21"/>
      <c r="BG32" s="21"/>
      <c r="BH32" s="1949"/>
      <c r="BI32" s="1949"/>
      <c r="BJ32" s="515"/>
    </row>
    <row r="33" spans="14:62" s="20" customFormat="1" ht="14.25">
      <c r="N33" s="2144"/>
      <c r="Q33" s="847"/>
      <c r="R33" s="1947"/>
      <c r="T33" s="2122"/>
      <c r="U33" s="2122"/>
      <c r="V33" s="1948"/>
      <c r="W33" s="1948"/>
      <c r="X33" s="2511"/>
      <c r="Y33" s="2511"/>
      <c r="Z33" s="1948"/>
      <c r="AA33" s="1948"/>
      <c r="AZ33" s="2550"/>
      <c r="BE33" s="2122"/>
      <c r="BF33" s="21"/>
      <c r="BG33" s="21"/>
      <c r="BH33" s="1949"/>
      <c r="BI33" s="1949"/>
      <c r="BJ33" s="515"/>
    </row>
    <row r="34" spans="14:62" s="20" customFormat="1" ht="14.25">
      <c r="N34" s="2144"/>
      <c r="Q34" s="847"/>
      <c r="R34" s="1947"/>
      <c r="T34" s="2122"/>
      <c r="U34" s="2122"/>
      <c r="V34" s="1948"/>
      <c r="W34" s="1948"/>
      <c r="X34" s="2511"/>
      <c r="Y34" s="2511"/>
      <c r="Z34" s="1948"/>
      <c r="AA34" s="1948"/>
      <c r="AZ34" s="2550"/>
      <c r="BE34" s="2122"/>
      <c r="BF34" s="21"/>
      <c r="BG34" s="21"/>
      <c r="BH34" s="1949"/>
      <c r="BI34" s="1949"/>
      <c r="BJ34" s="515"/>
    </row>
    <row r="35" spans="14:62" s="20" customFormat="1" ht="14.25">
      <c r="N35" s="2144"/>
      <c r="Q35" s="847"/>
      <c r="R35" s="1947"/>
      <c r="T35" s="2122"/>
      <c r="U35" s="2122"/>
      <c r="V35" s="1948"/>
      <c r="W35" s="1948"/>
      <c r="X35" s="2511"/>
      <c r="Y35" s="2511"/>
      <c r="Z35" s="1948"/>
      <c r="AA35" s="1948"/>
      <c r="AZ35" s="2550"/>
      <c r="BE35" s="2122"/>
      <c r="BF35" s="21"/>
      <c r="BG35" s="21"/>
      <c r="BH35" s="1949"/>
      <c r="BI35" s="1949"/>
      <c r="BJ35" s="515"/>
    </row>
    <row r="36" spans="14:62" s="20" customFormat="1" ht="14.25">
      <c r="N36" s="2144"/>
      <c r="Q36" s="847"/>
      <c r="R36" s="1947"/>
      <c r="T36" s="2122"/>
      <c r="U36" s="2122"/>
      <c r="V36" s="1948"/>
      <c r="W36" s="1948"/>
      <c r="X36" s="2511"/>
      <c r="Y36" s="2511"/>
      <c r="Z36" s="1948"/>
      <c r="AA36" s="1948"/>
      <c r="AZ36" s="2550"/>
      <c r="BE36" s="2122"/>
      <c r="BF36" s="21"/>
      <c r="BG36" s="21"/>
      <c r="BH36" s="1949"/>
      <c r="BI36" s="1949"/>
      <c r="BJ36" s="515"/>
    </row>
    <row r="37" spans="14:62" s="20" customFormat="1" ht="14.25">
      <c r="N37" s="2144"/>
      <c r="Q37" s="847"/>
      <c r="R37" s="1947"/>
      <c r="T37" s="2122"/>
      <c r="U37" s="2122"/>
      <c r="V37" s="1948"/>
      <c r="W37" s="1948"/>
      <c r="X37" s="2511"/>
      <c r="Y37" s="2511"/>
      <c r="Z37" s="1948"/>
      <c r="AA37" s="1948"/>
      <c r="AZ37" s="2550"/>
      <c r="BE37" s="2122"/>
      <c r="BF37" s="21"/>
      <c r="BG37" s="21"/>
      <c r="BH37" s="1949"/>
      <c r="BI37" s="1949"/>
      <c r="BJ37" s="515"/>
    </row>
    <row r="38" spans="14:62" s="20" customFormat="1" ht="14.25">
      <c r="N38" s="2144"/>
      <c r="Q38" s="847"/>
      <c r="R38" s="1947"/>
      <c r="T38" s="2122"/>
      <c r="U38" s="2122"/>
      <c r="V38" s="1948"/>
      <c r="W38" s="1948"/>
      <c r="X38" s="2511"/>
      <c r="Y38" s="2511"/>
      <c r="Z38" s="1948"/>
      <c r="AA38" s="1948"/>
      <c r="AZ38" s="2550"/>
      <c r="BE38" s="2122"/>
      <c r="BF38" s="21"/>
      <c r="BG38" s="21"/>
      <c r="BH38" s="1949"/>
      <c r="BI38" s="1949"/>
      <c r="BJ38" s="515"/>
    </row>
    <row r="39" spans="14:62" s="20" customFormat="1" ht="14.25">
      <c r="N39" s="2144"/>
      <c r="Q39" s="847"/>
      <c r="R39" s="1947"/>
      <c r="T39" s="2122"/>
      <c r="U39" s="2122"/>
      <c r="V39" s="1948"/>
      <c r="W39" s="1948"/>
      <c r="X39" s="2511"/>
      <c r="Y39" s="2511"/>
      <c r="Z39" s="1948"/>
      <c r="AA39" s="1948"/>
      <c r="AZ39" s="2550"/>
      <c r="BE39" s="2122"/>
      <c r="BF39" s="21"/>
      <c r="BG39" s="21"/>
      <c r="BH39" s="1949"/>
      <c r="BI39" s="1949"/>
      <c r="BJ39" s="515"/>
    </row>
    <row r="40" spans="14:62" s="20" customFormat="1" ht="14.25">
      <c r="N40" s="2144"/>
      <c r="Q40" s="847"/>
      <c r="R40" s="1947"/>
      <c r="T40" s="2122"/>
      <c r="U40" s="2122"/>
      <c r="V40" s="1948"/>
      <c r="W40" s="1948"/>
      <c r="X40" s="2511"/>
      <c r="Y40" s="2511"/>
      <c r="Z40" s="1948"/>
      <c r="AA40" s="1948"/>
      <c r="AZ40" s="2550"/>
      <c r="BE40" s="2122"/>
      <c r="BF40" s="21"/>
      <c r="BG40" s="21"/>
      <c r="BH40" s="1949"/>
      <c r="BI40" s="1949"/>
      <c r="BJ40" s="515"/>
    </row>
    <row r="41" spans="14:62" s="20" customFormat="1" ht="14.25">
      <c r="N41" s="2144"/>
      <c r="Q41" s="847"/>
      <c r="R41" s="1947"/>
      <c r="T41" s="2122"/>
      <c r="U41" s="2122"/>
      <c r="V41" s="1948"/>
      <c r="W41" s="1948"/>
      <c r="X41" s="2511"/>
      <c r="Y41" s="2511"/>
      <c r="Z41" s="1948"/>
      <c r="AA41" s="1948"/>
      <c r="AZ41" s="2550"/>
      <c r="BE41" s="2122"/>
      <c r="BF41" s="21"/>
      <c r="BG41" s="21"/>
      <c r="BH41" s="1949"/>
      <c r="BI41" s="1949"/>
      <c r="BJ41" s="515"/>
    </row>
    <row r="42" spans="14:62" s="20" customFormat="1" ht="14.25">
      <c r="N42" s="2144"/>
      <c r="Q42" s="847"/>
      <c r="R42" s="1947"/>
      <c r="T42" s="2122"/>
      <c r="U42" s="2122"/>
      <c r="V42" s="1948"/>
      <c r="W42" s="1948"/>
      <c r="X42" s="2511"/>
      <c r="Y42" s="2511"/>
      <c r="Z42" s="1948"/>
      <c r="AA42" s="1948"/>
      <c r="AZ42" s="2550"/>
      <c r="BE42" s="2122"/>
      <c r="BF42" s="21"/>
      <c r="BG42" s="21"/>
      <c r="BH42" s="1949"/>
      <c r="BI42" s="1949"/>
      <c r="BJ42" s="515"/>
    </row>
    <row r="43" spans="14:62" s="20" customFormat="1" ht="14.25">
      <c r="N43" s="2144"/>
      <c r="Q43" s="847"/>
      <c r="R43" s="1947"/>
      <c r="T43" s="2122"/>
      <c r="U43" s="2122"/>
      <c r="V43" s="1948"/>
      <c r="W43" s="1948"/>
      <c r="X43" s="2511"/>
      <c r="Y43" s="2511"/>
      <c r="Z43" s="1948"/>
      <c r="AA43" s="1948"/>
      <c r="AZ43" s="2550"/>
      <c r="BE43" s="2122"/>
      <c r="BF43" s="21"/>
      <c r="BG43" s="21"/>
      <c r="BH43" s="1949"/>
      <c r="BI43" s="1949"/>
      <c r="BJ43" s="515"/>
    </row>
    <row r="44" spans="14:62" s="20" customFormat="1" ht="14.25">
      <c r="N44" s="2144"/>
      <c r="Q44" s="847"/>
      <c r="R44" s="1947"/>
      <c r="T44" s="2122"/>
      <c r="U44" s="2122"/>
      <c r="V44" s="1948"/>
      <c r="W44" s="1948"/>
      <c r="X44" s="2511"/>
      <c r="Y44" s="2511"/>
      <c r="Z44" s="1948"/>
      <c r="AA44" s="1948"/>
      <c r="AZ44" s="2550"/>
      <c r="BE44" s="2122"/>
      <c r="BF44" s="21"/>
      <c r="BG44" s="21"/>
      <c r="BH44" s="1949"/>
      <c r="BI44" s="1949"/>
      <c r="BJ44" s="515"/>
    </row>
    <row r="45" spans="14:62" s="20" customFormat="1" ht="14.25">
      <c r="N45" s="2144"/>
      <c r="Q45" s="847"/>
      <c r="R45" s="1947"/>
      <c r="T45" s="2122"/>
      <c r="U45" s="2122"/>
      <c r="V45" s="1948"/>
      <c r="W45" s="1948"/>
      <c r="X45" s="2511"/>
      <c r="Y45" s="2511"/>
      <c r="Z45" s="1948"/>
      <c r="AA45" s="1948"/>
      <c r="AZ45" s="2550"/>
      <c r="BE45" s="2122"/>
      <c r="BF45" s="21"/>
      <c r="BG45" s="21"/>
      <c r="BH45" s="1949"/>
      <c r="BI45" s="1949"/>
      <c r="BJ45" s="515"/>
    </row>
    <row r="46" spans="14:62" s="20" customFormat="1" ht="14.25">
      <c r="N46" s="2144"/>
      <c r="Q46" s="847"/>
      <c r="R46" s="1947"/>
      <c r="T46" s="2122"/>
      <c r="U46" s="2122"/>
      <c r="V46" s="1948"/>
      <c r="W46" s="1948"/>
      <c r="X46" s="2511"/>
      <c r="Y46" s="2511"/>
      <c r="Z46" s="1948"/>
      <c r="AA46" s="1948"/>
      <c r="AZ46" s="2550"/>
      <c r="BE46" s="2122"/>
      <c r="BF46" s="21"/>
      <c r="BG46" s="21"/>
      <c r="BH46" s="1949"/>
      <c r="BI46" s="1949"/>
      <c r="BJ46" s="515"/>
    </row>
    <row r="47" spans="14:62" s="20" customFormat="1" ht="14.25">
      <c r="N47" s="2144"/>
      <c r="Q47" s="847"/>
      <c r="R47" s="1947"/>
      <c r="T47" s="2122"/>
      <c r="U47" s="2122"/>
      <c r="V47" s="1948"/>
      <c r="W47" s="1948"/>
      <c r="X47" s="2511"/>
      <c r="Y47" s="2511"/>
      <c r="Z47" s="1948"/>
      <c r="AA47" s="1948"/>
      <c r="AZ47" s="2550"/>
      <c r="BE47" s="2122"/>
      <c r="BF47" s="21"/>
      <c r="BG47" s="21"/>
      <c r="BH47" s="1949"/>
      <c r="BI47" s="1949"/>
      <c r="BJ47" s="515"/>
    </row>
    <row r="48" spans="14:62" s="20" customFormat="1" ht="14.25">
      <c r="N48" s="2144"/>
      <c r="Q48" s="847"/>
      <c r="R48" s="1947"/>
      <c r="T48" s="2122"/>
      <c r="U48" s="2122"/>
      <c r="V48" s="1948"/>
      <c r="W48" s="1948"/>
      <c r="X48" s="2511"/>
      <c r="Y48" s="2511"/>
      <c r="Z48" s="1948"/>
      <c r="AA48" s="1948"/>
      <c r="AZ48" s="2550"/>
      <c r="BE48" s="2122"/>
      <c r="BF48" s="21"/>
      <c r="BG48" s="21"/>
      <c r="BH48" s="1949"/>
      <c r="BI48" s="1949"/>
      <c r="BJ48" s="515"/>
    </row>
    <row r="49" spans="14:62" s="20" customFormat="1" ht="14.25">
      <c r="N49" s="2144"/>
      <c r="Q49" s="847"/>
      <c r="R49" s="1947"/>
      <c r="T49" s="2122"/>
      <c r="U49" s="2122"/>
      <c r="V49" s="1948"/>
      <c r="W49" s="1948"/>
      <c r="X49" s="2511"/>
      <c r="Y49" s="2511"/>
      <c r="Z49" s="1948"/>
      <c r="AA49" s="1948"/>
      <c r="AZ49" s="2550"/>
      <c r="BE49" s="2122"/>
      <c r="BF49" s="21"/>
      <c r="BG49" s="21"/>
      <c r="BH49" s="1949"/>
      <c r="BI49" s="1949"/>
      <c r="BJ49" s="515"/>
    </row>
    <row r="50" spans="14:62" s="20" customFormat="1" ht="14.25">
      <c r="N50" s="2144"/>
      <c r="Q50" s="847"/>
      <c r="R50" s="1947"/>
      <c r="T50" s="2122"/>
      <c r="U50" s="2122"/>
      <c r="V50" s="1948"/>
      <c r="W50" s="1948"/>
      <c r="X50" s="2511"/>
      <c r="Y50" s="2511"/>
      <c r="Z50" s="1948"/>
      <c r="AA50" s="1948"/>
      <c r="AZ50" s="2550"/>
      <c r="BE50" s="2122"/>
      <c r="BF50" s="21"/>
      <c r="BG50" s="21"/>
      <c r="BH50" s="1949"/>
      <c r="BI50" s="1949"/>
      <c r="BJ50" s="515"/>
    </row>
    <row r="51" spans="14:62" s="20" customFormat="1" ht="14.25">
      <c r="N51" s="2144"/>
      <c r="Q51" s="847"/>
      <c r="R51" s="1947"/>
      <c r="T51" s="2122"/>
      <c r="U51" s="2122"/>
      <c r="V51" s="1948"/>
      <c r="W51" s="1948"/>
      <c r="X51" s="2511"/>
      <c r="Y51" s="2511"/>
      <c r="Z51" s="1948"/>
      <c r="AA51" s="1948"/>
      <c r="AZ51" s="2550"/>
      <c r="BE51" s="2122"/>
      <c r="BF51" s="21"/>
      <c r="BG51" s="21"/>
      <c r="BH51" s="1949"/>
      <c r="BI51" s="1949"/>
      <c r="BJ51" s="515"/>
    </row>
    <row r="52" spans="14:62" s="20" customFormat="1" ht="14.25">
      <c r="N52" s="2144"/>
      <c r="Q52" s="847"/>
      <c r="R52" s="1947"/>
      <c r="T52" s="2122"/>
      <c r="U52" s="2122"/>
      <c r="V52" s="1948"/>
      <c r="W52" s="1948"/>
      <c r="X52" s="2511"/>
      <c r="Y52" s="2511"/>
      <c r="Z52" s="1948"/>
      <c r="AA52" s="1948"/>
      <c r="AZ52" s="2550"/>
      <c r="BE52" s="2122"/>
      <c r="BF52" s="21"/>
      <c r="BG52" s="21"/>
      <c r="BH52" s="1949"/>
      <c r="BI52" s="1949"/>
      <c r="BJ52" s="515"/>
    </row>
    <row r="53" spans="14:62" s="20" customFormat="1" ht="14.25">
      <c r="N53" s="2144"/>
      <c r="Q53" s="847"/>
      <c r="R53" s="1947"/>
      <c r="T53" s="2122"/>
      <c r="U53" s="2122"/>
      <c r="V53" s="1948"/>
      <c r="W53" s="1948"/>
      <c r="X53" s="2511"/>
      <c r="Y53" s="2511"/>
      <c r="Z53" s="1948"/>
      <c r="AA53" s="1948"/>
      <c r="AZ53" s="2550"/>
      <c r="BE53" s="2122"/>
      <c r="BF53" s="21"/>
      <c r="BG53" s="21"/>
      <c r="BH53" s="1949"/>
      <c r="BI53" s="1949"/>
      <c r="BJ53" s="515"/>
    </row>
    <row r="54" spans="14:62" s="20" customFormat="1" ht="14.25">
      <c r="N54" s="2144"/>
      <c r="Q54" s="847"/>
      <c r="R54" s="1947"/>
      <c r="T54" s="2122"/>
      <c r="U54" s="2122"/>
      <c r="V54" s="1948"/>
      <c r="W54" s="1948"/>
      <c r="X54" s="2511"/>
      <c r="Y54" s="2511"/>
      <c r="Z54" s="1948"/>
      <c r="AA54" s="1948"/>
      <c r="AZ54" s="2550"/>
      <c r="BE54" s="2122"/>
      <c r="BF54" s="21"/>
      <c r="BG54" s="21"/>
      <c r="BH54" s="1949"/>
      <c r="BI54" s="1949"/>
      <c r="BJ54" s="515"/>
    </row>
    <row r="55" spans="14:62" s="20" customFormat="1" ht="14.25">
      <c r="N55" s="2144"/>
      <c r="Q55" s="847"/>
      <c r="R55" s="1947"/>
      <c r="T55" s="2122"/>
      <c r="U55" s="2122"/>
      <c r="V55" s="1948"/>
      <c r="W55" s="1948"/>
      <c r="X55" s="2511"/>
      <c r="Y55" s="2511"/>
      <c r="Z55" s="1948"/>
      <c r="AA55" s="1948"/>
      <c r="AZ55" s="2550"/>
      <c r="BE55" s="2122"/>
      <c r="BF55" s="21"/>
      <c r="BG55" s="21"/>
      <c r="BH55" s="1949"/>
      <c r="BI55" s="1949"/>
      <c r="BJ55" s="515"/>
    </row>
    <row r="56" spans="14:62" s="20" customFormat="1" ht="14.25">
      <c r="N56" s="2144"/>
      <c r="Q56" s="847"/>
      <c r="R56" s="1947"/>
      <c r="T56" s="2122"/>
      <c r="U56" s="2122"/>
      <c r="V56" s="1948"/>
      <c r="W56" s="1948"/>
      <c r="X56" s="2511"/>
      <c r="Y56" s="2511"/>
      <c r="Z56" s="1948"/>
      <c r="AA56" s="1948"/>
      <c r="AZ56" s="2550"/>
      <c r="BE56" s="2122"/>
      <c r="BF56" s="21"/>
      <c r="BG56" s="21"/>
      <c r="BH56" s="1949"/>
      <c r="BI56" s="1949"/>
      <c r="BJ56" s="515"/>
    </row>
    <row r="57" spans="14:62" s="20" customFormat="1" ht="14.25">
      <c r="N57" s="2144"/>
      <c r="Q57" s="847"/>
      <c r="R57" s="1947"/>
      <c r="T57" s="2122"/>
      <c r="U57" s="2122"/>
      <c r="V57" s="1948"/>
      <c r="W57" s="1948"/>
      <c r="X57" s="2511"/>
      <c r="Y57" s="2511"/>
      <c r="Z57" s="1948"/>
      <c r="AA57" s="1948"/>
      <c r="AZ57" s="2550"/>
      <c r="BE57" s="2122"/>
      <c r="BF57" s="21"/>
      <c r="BG57" s="21"/>
      <c r="BH57" s="1949"/>
      <c r="BI57" s="1949"/>
      <c r="BJ57" s="515"/>
    </row>
    <row r="58" spans="14:62" s="20" customFormat="1" ht="14.25">
      <c r="N58" s="2144"/>
      <c r="Q58" s="847"/>
      <c r="R58" s="1947"/>
      <c r="T58" s="2122"/>
      <c r="U58" s="2122"/>
      <c r="V58" s="1948"/>
      <c r="W58" s="1948"/>
      <c r="X58" s="2511"/>
      <c r="Y58" s="2511"/>
      <c r="Z58" s="1948"/>
      <c r="AA58" s="1948"/>
      <c r="AZ58" s="2550"/>
      <c r="BE58" s="2122"/>
      <c r="BF58" s="21"/>
      <c r="BG58" s="21"/>
      <c r="BH58" s="1949"/>
      <c r="BI58" s="1949"/>
      <c r="BJ58" s="515"/>
    </row>
    <row r="59" spans="14:62" s="20" customFormat="1" ht="14.25">
      <c r="N59" s="2144"/>
      <c r="Q59" s="847"/>
      <c r="R59" s="1947"/>
      <c r="T59" s="2122"/>
      <c r="U59" s="2122"/>
      <c r="V59" s="1948"/>
      <c r="W59" s="1948"/>
      <c r="X59" s="2511"/>
      <c r="Y59" s="2511"/>
      <c r="Z59" s="1948"/>
      <c r="AA59" s="1948"/>
      <c r="AZ59" s="2550"/>
      <c r="BE59" s="2122"/>
      <c r="BF59" s="21"/>
      <c r="BG59" s="21"/>
      <c r="BH59" s="1949"/>
      <c r="BI59" s="1949"/>
      <c r="BJ59" s="515"/>
    </row>
    <row r="60" spans="14:62" s="20" customFormat="1" ht="14.25">
      <c r="N60" s="2144"/>
      <c r="Q60" s="847"/>
      <c r="R60" s="1947"/>
      <c r="T60" s="2122"/>
      <c r="U60" s="2122"/>
      <c r="V60" s="1948"/>
      <c r="W60" s="1948"/>
      <c r="X60" s="2511"/>
      <c r="Y60" s="2511"/>
      <c r="Z60" s="1948"/>
      <c r="AA60" s="1948"/>
      <c r="AZ60" s="2550"/>
      <c r="BE60" s="2122"/>
      <c r="BF60" s="21"/>
      <c r="BG60" s="21"/>
      <c r="BH60" s="1949"/>
      <c r="BI60" s="1949"/>
      <c r="BJ60" s="515"/>
    </row>
    <row r="61" spans="14:62" s="20" customFormat="1" ht="14.25">
      <c r="N61" s="2144"/>
      <c r="Q61" s="847"/>
      <c r="R61" s="1947"/>
      <c r="T61" s="2122"/>
      <c r="U61" s="2122"/>
      <c r="V61" s="1948"/>
      <c r="W61" s="1948"/>
      <c r="X61" s="2511"/>
      <c r="Y61" s="2511"/>
      <c r="Z61" s="1948"/>
      <c r="AA61" s="1948"/>
      <c r="AZ61" s="2550"/>
      <c r="BE61" s="2122"/>
      <c r="BF61" s="21"/>
      <c r="BG61" s="21"/>
      <c r="BH61" s="1949"/>
      <c r="BI61" s="1949"/>
      <c r="BJ61" s="515"/>
    </row>
    <row r="62" spans="14:62" s="20" customFormat="1" ht="14.25">
      <c r="N62" s="2144"/>
      <c r="Q62" s="847"/>
      <c r="R62" s="1947"/>
      <c r="T62" s="2122"/>
      <c r="U62" s="2122"/>
      <c r="V62" s="1948"/>
      <c r="W62" s="1948"/>
      <c r="X62" s="2511"/>
      <c r="Y62" s="2511"/>
      <c r="Z62" s="1948"/>
      <c r="AA62" s="1948"/>
      <c r="AZ62" s="2550"/>
      <c r="BE62" s="2122"/>
      <c r="BF62" s="21"/>
      <c r="BG62" s="21"/>
      <c r="BH62" s="1949"/>
      <c r="BI62" s="1949"/>
      <c r="BJ62" s="515"/>
    </row>
    <row r="63" spans="14:62" s="20" customFormat="1" ht="14.25">
      <c r="N63" s="2144"/>
      <c r="Q63" s="847"/>
      <c r="R63" s="1947"/>
      <c r="T63" s="2122"/>
      <c r="U63" s="2122"/>
      <c r="V63" s="1948"/>
      <c r="W63" s="1948"/>
      <c r="X63" s="2511"/>
      <c r="Y63" s="2511"/>
      <c r="Z63" s="1948"/>
      <c r="AA63" s="1948"/>
      <c r="AZ63" s="2550"/>
      <c r="BE63" s="2122"/>
      <c r="BF63" s="21"/>
      <c r="BG63" s="21"/>
      <c r="BH63" s="1949"/>
      <c r="BI63" s="1949"/>
      <c r="BJ63" s="515"/>
    </row>
    <row r="64" spans="14:62" s="20" customFormat="1" ht="14.25">
      <c r="N64" s="2144"/>
      <c r="Q64" s="847"/>
      <c r="R64" s="1947"/>
      <c r="T64" s="2122"/>
      <c r="U64" s="2122"/>
      <c r="V64" s="1948"/>
      <c r="W64" s="1948"/>
      <c r="X64" s="2511"/>
      <c r="Y64" s="2511"/>
      <c r="Z64" s="1948"/>
      <c r="AA64" s="1948"/>
      <c r="AZ64" s="2550"/>
      <c r="BE64" s="2122"/>
      <c r="BF64" s="21"/>
      <c r="BG64" s="21"/>
      <c r="BH64" s="1949"/>
      <c r="BI64" s="1949"/>
      <c r="BJ64" s="515"/>
    </row>
    <row r="65" spans="14:62" s="20" customFormat="1" ht="14.25">
      <c r="N65" s="2144"/>
      <c r="Q65" s="847"/>
      <c r="R65" s="1947"/>
      <c r="T65" s="2122"/>
      <c r="U65" s="2122"/>
      <c r="V65" s="1948"/>
      <c r="W65" s="1948"/>
      <c r="X65" s="2511"/>
      <c r="Y65" s="2511"/>
      <c r="Z65" s="1948"/>
      <c r="AA65" s="1948"/>
      <c r="AZ65" s="2550"/>
      <c r="BE65" s="2122"/>
      <c r="BF65" s="21"/>
      <c r="BG65" s="21"/>
      <c r="BH65" s="1949"/>
      <c r="BI65" s="1949"/>
      <c r="BJ65" s="515"/>
    </row>
    <row r="66" spans="14:62" s="20" customFormat="1" ht="14.25">
      <c r="N66" s="2144"/>
      <c r="Q66" s="847"/>
      <c r="R66" s="1947"/>
      <c r="T66" s="2122"/>
      <c r="U66" s="2122"/>
      <c r="V66" s="1948"/>
      <c r="W66" s="1948"/>
      <c r="X66" s="2511"/>
      <c r="Y66" s="2511"/>
      <c r="Z66" s="1948"/>
      <c r="AA66" s="1948"/>
      <c r="AZ66" s="2550"/>
      <c r="BE66" s="2122"/>
      <c r="BF66" s="21"/>
      <c r="BG66" s="21"/>
      <c r="BH66" s="1949"/>
      <c r="BI66" s="1949"/>
      <c r="BJ66" s="515"/>
    </row>
    <row r="67" spans="14:62" s="20" customFormat="1" ht="14.25">
      <c r="N67" s="2144"/>
      <c r="Q67" s="847"/>
      <c r="R67" s="1947"/>
      <c r="T67" s="2122"/>
      <c r="U67" s="2122"/>
      <c r="V67" s="1948"/>
      <c r="W67" s="1948"/>
      <c r="X67" s="2511"/>
      <c r="Y67" s="2511"/>
      <c r="Z67" s="1948"/>
      <c r="AA67" s="1948"/>
      <c r="AZ67" s="2550"/>
      <c r="BE67" s="2122"/>
      <c r="BF67" s="21"/>
      <c r="BG67" s="21"/>
      <c r="BH67" s="1949"/>
      <c r="BI67" s="1949"/>
      <c r="BJ67" s="515"/>
    </row>
    <row r="68" spans="14:62" s="20" customFormat="1" ht="14.25">
      <c r="N68" s="2144"/>
      <c r="Q68" s="847"/>
      <c r="R68" s="1947"/>
      <c r="T68" s="2122"/>
      <c r="U68" s="2122"/>
      <c r="V68" s="1948"/>
      <c r="W68" s="1948"/>
      <c r="X68" s="2511"/>
      <c r="Y68" s="2511"/>
      <c r="Z68" s="1948"/>
      <c r="AA68" s="1948"/>
      <c r="AZ68" s="2550"/>
      <c r="BE68" s="2122"/>
      <c r="BF68" s="21"/>
      <c r="BG68" s="21"/>
      <c r="BH68" s="1949"/>
      <c r="BI68" s="1949"/>
      <c r="BJ68" s="515"/>
    </row>
    <row r="69" spans="14:62" s="20" customFormat="1" ht="14.25">
      <c r="N69" s="2144"/>
      <c r="Q69" s="847"/>
      <c r="R69" s="1947"/>
      <c r="T69" s="2122"/>
      <c r="U69" s="2122"/>
      <c r="V69" s="1948"/>
      <c r="W69" s="1948"/>
      <c r="X69" s="2511"/>
      <c r="Y69" s="2511"/>
      <c r="Z69" s="1948"/>
      <c r="AA69" s="1948"/>
      <c r="AZ69" s="2550"/>
      <c r="BE69" s="2122"/>
      <c r="BF69" s="21"/>
      <c r="BG69" s="21"/>
      <c r="BH69" s="1949"/>
      <c r="BI69" s="1949"/>
      <c r="BJ69" s="515"/>
    </row>
    <row r="70" spans="14:62" s="20" customFormat="1" ht="14.25">
      <c r="N70" s="2144"/>
      <c r="Q70" s="847"/>
      <c r="R70" s="1947"/>
      <c r="T70" s="2122"/>
      <c r="U70" s="2122"/>
      <c r="V70" s="1948"/>
      <c r="W70" s="1948"/>
      <c r="X70" s="2511"/>
      <c r="Y70" s="2511"/>
      <c r="Z70" s="1948"/>
      <c r="AA70" s="1948"/>
      <c r="AZ70" s="2550"/>
      <c r="BE70" s="2122"/>
      <c r="BF70" s="21"/>
      <c r="BG70" s="21"/>
      <c r="BH70" s="1949"/>
      <c r="BI70" s="1949"/>
      <c r="BJ70" s="515"/>
    </row>
    <row r="71" spans="14:62" s="20" customFormat="1" ht="14.25">
      <c r="N71" s="2144"/>
      <c r="Q71" s="847"/>
      <c r="R71" s="1947"/>
      <c r="T71" s="2122"/>
      <c r="U71" s="2122"/>
      <c r="V71" s="1948"/>
      <c r="W71" s="1948"/>
      <c r="X71" s="2511"/>
      <c r="Y71" s="2511"/>
      <c r="Z71" s="1948"/>
      <c r="AA71" s="1948"/>
      <c r="AZ71" s="2550"/>
      <c r="BE71" s="2122"/>
      <c r="BF71" s="21"/>
      <c r="BG71" s="21"/>
      <c r="BH71" s="1949"/>
      <c r="BI71" s="1949"/>
      <c r="BJ71" s="515"/>
    </row>
    <row r="72" spans="14:62" s="20" customFormat="1" ht="14.25">
      <c r="N72" s="2144"/>
      <c r="Q72" s="847"/>
      <c r="R72" s="1947"/>
      <c r="T72" s="2122"/>
      <c r="U72" s="2122"/>
      <c r="V72" s="1948"/>
      <c r="W72" s="1948"/>
      <c r="X72" s="2511"/>
      <c r="Y72" s="2511"/>
      <c r="Z72" s="1948"/>
      <c r="AA72" s="1948"/>
      <c r="AZ72" s="2550"/>
      <c r="BE72" s="2122"/>
      <c r="BF72" s="21"/>
      <c r="BG72" s="21"/>
      <c r="BH72" s="1949"/>
      <c r="BI72" s="1949"/>
      <c r="BJ72" s="515"/>
    </row>
    <row r="73" spans="14:62" s="20" customFormat="1" ht="14.25">
      <c r="N73" s="2144"/>
      <c r="Q73" s="847"/>
      <c r="R73" s="1947"/>
      <c r="T73" s="2122"/>
      <c r="U73" s="2122"/>
      <c r="V73" s="1948"/>
      <c r="W73" s="1948"/>
      <c r="X73" s="2511"/>
      <c r="Y73" s="2511"/>
      <c r="Z73" s="1948"/>
      <c r="AA73" s="1948"/>
      <c r="AZ73" s="2550"/>
      <c r="BE73" s="2122"/>
      <c r="BF73" s="21"/>
      <c r="BG73" s="21"/>
      <c r="BH73" s="1949"/>
      <c r="BI73" s="1949"/>
      <c r="BJ73" s="515"/>
    </row>
    <row r="74" spans="14:62" s="20" customFormat="1" ht="14.25">
      <c r="N74" s="2144"/>
      <c r="Q74" s="847"/>
      <c r="R74" s="1947"/>
      <c r="T74" s="2122"/>
      <c r="U74" s="2122"/>
      <c r="V74" s="1948"/>
      <c r="W74" s="1948"/>
      <c r="X74" s="2511"/>
      <c r="Y74" s="2511"/>
      <c r="Z74" s="1948"/>
      <c r="AA74" s="1948"/>
      <c r="AZ74" s="2550"/>
      <c r="BE74" s="2122"/>
      <c r="BF74" s="21"/>
      <c r="BG74" s="21"/>
      <c r="BH74" s="1949"/>
      <c r="BI74" s="1949"/>
      <c r="BJ74" s="515"/>
    </row>
    <row r="75" spans="14:62" s="20" customFormat="1" ht="14.25">
      <c r="N75" s="2144"/>
      <c r="Q75" s="847"/>
      <c r="R75" s="1947"/>
      <c r="T75" s="2122"/>
      <c r="U75" s="2122"/>
      <c r="V75" s="1948"/>
      <c r="W75" s="1948"/>
      <c r="X75" s="2511"/>
      <c r="Y75" s="2511"/>
      <c r="Z75" s="1948"/>
      <c r="AA75" s="1948"/>
      <c r="AZ75" s="2550"/>
      <c r="BE75" s="2122"/>
      <c r="BF75" s="21"/>
      <c r="BG75" s="21"/>
      <c r="BH75" s="1949"/>
      <c r="BI75" s="1949"/>
      <c r="BJ75" s="515"/>
    </row>
    <row r="76" spans="14:62" s="20" customFormat="1" ht="14.25">
      <c r="N76" s="2144"/>
      <c r="Q76" s="847"/>
      <c r="R76" s="1947"/>
      <c r="T76" s="2122"/>
      <c r="U76" s="2122"/>
      <c r="V76" s="1948"/>
      <c r="W76" s="1948"/>
      <c r="X76" s="2511"/>
      <c r="Y76" s="2511"/>
      <c r="Z76" s="1948"/>
      <c r="AA76" s="1948"/>
      <c r="AZ76" s="2550"/>
      <c r="BE76" s="2122"/>
      <c r="BF76" s="21"/>
      <c r="BG76" s="21"/>
      <c r="BH76" s="1949"/>
      <c r="BI76" s="1949"/>
      <c r="BJ76" s="515"/>
    </row>
    <row r="77" spans="14:62" s="20" customFormat="1" ht="14.25">
      <c r="N77" s="2144"/>
      <c r="Q77" s="847"/>
      <c r="R77" s="1947"/>
      <c r="T77" s="2122"/>
      <c r="U77" s="2122"/>
      <c r="V77" s="1948"/>
      <c r="W77" s="1948"/>
      <c r="X77" s="2511"/>
      <c r="Y77" s="2511"/>
      <c r="Z77" s="1948"/>
      <c r="AA77" s="1948"/>
      <c r="AZ77" s="2550"/>
      <c r="BE77" s="2122"/>
      <c r="BF77" s="21"/>
      <c r="BG77" s="21"/>
      <c r="BH77" s="1949"/>
      <c r="BI77" s="1949"/>
      <c r="BJ77" s="515"/>
    </row>
    <row r="78" spans="14:62" s="20" customFormat="1" ht="14.25">
      <c r="N78" s="2144"/>
      <c r="Q78" s="847"/>
      <c r="R78" s="1947"/>
      <c r="T78" s="2122"/>
      <c r="U78" s="2122"/>
      <c r="V78" s="1948"/>
      <c r="W78" s="1948"/>
      <c r="X78" s="2511"/>
      <c r="Y78" s="2511"/>
      <c r="Z78" s="1948"/>
      <c r="AA78" s="1948"/>
      <c r="AZ78" s="2550"/>
      <c r="BE78" s="2122"/>
      <c r="BF78" s="21"/>
      <c r="BG78" s="21"/>
      <c r="BH78" s="1949"/>
      <c r="BI78" s="1949"/>
      <c r="BJ78" s="515"/>
    </row>
    <row r="79" spans="14:62" s="20" customFormat="1" ht="14.25">
      <c r="N79" s="2144"/>
      <c r="Q79" s="847"/>
      <c r="R79" s="1947"/>
      <c r="T79" s="2122"/>
      <c r="U79" s="2122"/>
      <c r="V79" s="1948"/>
      <c r="W79" s="1948"/>
      <c r="X79" s="2511"/>
      <c r="Y79" s="2511"/>
      <c r="Z79" s="1948"/>
      <c r="AA79" s="1948"/>
      <c r="AZ79" s="2550"/>
      <c r="BE79" s="2122"/>
      <c r="BF79" s="21"/>
      <c r="BG79" s="21"/>
      <c r="BH79" s="1949"/>
      <c r="BI79" s="1949"/>
      <c r="BJ79" s="515"/>
    </row>
    <row r="80" spans="14:62" s="20" customFormat="1" ht="14.25">
      <c r="N80" s="2144"/>
      <c r="Q80" s="847"/>
      <c r="R80" s="1947"/>
      <c r="T80" s="2122"/>
      <c r="U80" s="2122"/>
      <c r="V80" s="1948"/>
      <c r="W80" s="1948"/>
      <c r="X80" s="2511"/>
      <c r="Y80" s="2511"/>
      <c r="Z80" s="1948"/>
      <c r="AA80" s="1948"/>
      <c r="AZ80" s="2550"/>
      <c r="BE80" s="2122"/>
      <c r="BF80" s="21"/>
      <c r="BG80" s="21"/>
      <c r="BH80" s="1949"/>
      <c r="BI80" s="1949"/>
      <c r="BJ80" s="515"/>
    </row>
    <row r="81" spans="14:62" s="20" customFormat="1" ht="14.25">
      <c r="N81" s="2144"/>
      <c r="Q81" s="847"/>
      <c r="R81" s="1947"/>
      <c r="T81" s="2122"/>
      <c r="U81" s="2122"/>
      <c r="V81" s="1948"/>
      <c r="W81" s="1948"/>
      <c r="X81" s="2511"/>
      <c r="Y81" s="2511"/>
      <c r="Z81" s="1948"/>
      <c r="AA81" s="1948"/>
      <c r="AZ81" s="2550"/>
      <c r="BE81" s="2122"/>
      <c r="BF81" s="21"/>
      <c r="BG81" s="21"/>
      <c r="BH81" s="1949"/>
      <c r="BI81" s="1949"/>
      <c r="BJ81" s="515"/>
    </row>
    <row r="82" spans="14:62" s="20" customFormat="1" ht="14.25">
      <c r="N82" s="2144"/>
      <c r="Q82" s="847"/>
      <c r="R82" s="1947"/>
      <c r="T82" s="2122"/>
      <c r="U82" s="2122"/>
      <c r="V82" s="1948"/>
      <c r="W82" s="1948"/>
      <c r="X82" s="2511"/>
      <c r="Y82" s="2511"/>
      <c r="Z82" s="1948"/>
      <c r="AA82" s="1948"/>
      <c r="AZ82" s="2550"/>
      <c r="BE82" s="2122"/>
      <c r="BF82" s="21"/>
      <c r="BG82" s="21"/>
      <c r="BH82" s="1949"/>
      <c r="BI82" s="1949"/>
      <c r="BJ82" s="515"/>
    </row>
    <row r="83" spans="14:62" s="20" customFormat="1" ht="14.25">
      <c r="N83" s="2144"/>
      <c r="Q83" s="847"/>
      <c r="R83" s="1947"/>
      <c r="T83" s="2122"/>
      <c r="U83" s="2122"/>
      <c r="V83" s="1948"/>
      <c r="W83" s="1948"/>
      <c r="X83" s="2511"/>
      <c r="Y83" s="2511"/>
      <c r="Z83" s="1948"/>
      <c r="AA83" s="1948"/>
      <c r="AZ83" s="2550"/>
      <c r="BE83" s="2122"/>
      <c r="BF83" s="21"/>
      <c r="BG83" s="21"/>
      <c r="BH83" s="1949"/>
      <c r="BI83" s="1949"/>
      <c r="BJ83" s="515"/>
    </row>
    <row r="84" spans="14:62" s="20" customFormat="1" ht="14.25">
      <c r="N84" s="2144"/>
      <c r="Q84" s="847"/>
      <c r="R84" s="1947"/>
      <c r="T84" s="2122"/>
      <c r="U84" s="2122"/>
      <c r="V84" s="1948"/>
      <c r="W84" s="1948"/>
      <c r="X84" s="2511"/>
      <c r="Y84" s="2511"/>
      <c r="Z84" s="1948"/>
      <c r="AA84" s="1948"/>
      <c r="AZ84" s="2550"/>
      <c r="BE84" s="2122"/>
      <c r="BF84" s="21"/>
      <c r="BG84" s="21"/>
      <c r="BH84" s="1949"/>
      <c r="BI84" s="1949"/>
      <c r="BJ84" s="515"/>
    </row>
    <row r="85" spans="14:62" s="20" customFormat="1" ht="14.25">
      <c r="N85" s="2144"/>
      <c r="Q85" s="847"/>
      <c r="R85" s="1947"/>
      <c r="T85" s="2122"/>
      <c r="U85" s="2122"/>
      <c r="V85" s="1948"/>
      <c r="W85" s="1948"/>
      <c r="X85" s="2511"/>
      <c r="Y85" s="2511"/>
      <c r="Z85" s="1948"/>
      <c r="AA85" s="1948"/>
      <c r="AZ85" s="2550"/>
      <c r="BE85" s="2122"/>
      <c r="BF85" s="21"/>
      <c r="BG85" s="21"/>
      <c r="BH85" s="1949"/>
      <c r="BI85" s="1949"/>
      <c r="BJ85" s="515"/>
    </row>
    <row r="86" spans="14:62" s="20" customFormat="1" ht="14.25">
      <c r="N86" s="2144"/>
      <c r="Q86" s="847"/>
      <c r="R86" s="1947"/>
      <c r="T86" s="2122"/>
      <c r="U86" s="2122"/>
      <c r="V86" s="1948"/>
      <c r="W86" s="1948"/>
      <c r="X86" s="2511"/>
      <c r="Y86" s="2511"/>
      <c r="Z86" s="1948"/>
      <c r="AA86" s="1948"/>
      <c r="AZ86" s="2550"/>
      <c r="BE86" s="2122"/>
      <c r="BF86" s="21"/>
      <c r="BG86" s="21"/>
      <c r="BH86" s="1949"/>
      <c r="BI86" s="1949"/>
      <c r="BJ86" s="515"/>
    </row>
    <row r="87" spans="14:62" s="20" customFormat="1" ht="14.25">
      <c r="N87" s="2144"/>
      <c r="Q87" s="847"/>
      <c r="R87" s="1947"/>
      <c r="T87" s="2122"/>
      <c r="U87" s="2122"/>
      <c r="V87" s="1948"/>
      <c r="W87" s="1948"/>
      <c r="X87" s="2511"/>
      <c r="Y87" s="2511"/>
      <c r="Z87" s="1948"/>
      <c r="AA87" s="1948"/>
      <c r="AZ87" s="2550"/>
      <c r="BE87" s="2122"/>
      <c r="BF87" s="21"/>
      <c r="BG87" s="21"/>
      <c r="BH87" s="1949"/>
      <c r="BI87" s="1949"/>
      <c r="BJ87" s="515"/>
    </row>
    <row r="88" spans="14:62" s="20" customFormat="1" ht="14.25">
      <c r="N88" s="2144"/>
      <c r="Q88" s="847"/>
      <c r="R88" s="1947"/>
      <c r="T88" s="2122"/>
      <c r="U88" s="2122"/>
      <c r="V88" s="1948"/>
      <c r="W88" s="1948"/>
      <c r="X88" s="2511"/>
      <c r="Y88" s="2511"/>
      <c r="Z88" s="1948"/>
      <c r="AA88" s="1948"/>
      <c r="AZ88" s="2550"/>
      <c r="BE88" s="2122"/>
      <c r="BF88" s="21"/>
      <c r="BG88" s="21"/>
      <c r="BH88" s="1949"/>
      <c r="BI88" s="1949"/>
      <c r="BJ88" s="515"/>
    </row>
    <row r="89" spans="14:62" s="20" customFormat="1" ht="14.25">
      <c r="N89" s="2144"/>
      <c r="Q89" s="847"/>
      <c r="R89" s="1947"/>
      <c r="T89" s="2122"/>
      <c r="U89" s="2122"/>
      <c r="V89" s="1948"/>
      <c r="W89" s="1948"/>
      <c r="X89" s="2511"/>
      <c r="Y89" s="2511"/>
      <c r="Z89" s="1948"/>
      <c r="AA89" s="1948"/>
      <c r="AZ89" s="2550"/>
      <c r="BE89" s="2122"/>
      <c r="BF89" s="21"/>
      <c r="BG89" s="21"/>
      <c r="BH89" s="1949"/>
      <c r="BI89" s="1949"/>
      <c r="BJ89" s="515"/>
    </row>
    <row r="90" spans="14:62" s="20" customFormat="1" ht="14.25">
      <c r="N90" s="2144"/>
      <c r="Q90" s="847"/>
      <c r="R90" s="1947"/>
      <c r="T90" s="2122"/>
      <c r="U90" s="2122"/>
      <c r="V90" s="1948"/>
      <c r="W90" s="1948"/>
      <c r="X90" s="2511"/>
      <c r="Y90" s="2511"/>
      <c r="Z90" s="1948"/>
      <c r="AA90" s="1948"/>
      <c r="AZ90" s="2550"/>
      <c r="BE90" s="2122"/>
      <c r="BF90" s="21"/>
      <c r="BG90" s="21"/>
      <c r="BH90" s="1949"/>
      <c r="BI90" s="1949"/>
      <c r="BJ90" s="515"/>
    </row>
    <row r="91" spans="14:62" s="20" customFormat="1" ht="14.25">
      <c r="N91" s="2144"/>
      <c r="Q91" s="847"/>
      <c r="R91" s="1947"/>
      <c r="T91" s="2122"/>
      <c r="U91" s="2122"/>
      <c r="V91" s="1948"/>
      <c r="W91" s="1948"/>
      <c r="X91" s="2511"/>
      <c r="Y91" s="2511"/>
      <c r="Z91" s="1948"/>
      <c r="AA91" s="1948"/>
      <c r="AZ91" s="2550"/>
      <c r="BE91" s="2122"/>
      <c r="BF91" s="21"/>
      <c r="BG91" s="21"/>
      <c r="BH91" s="1949"/>
      <c r="BI91" s="1949"/>
      <c r="BJ91" s="515"/>
    </row>
    <row r="92" spans="14:62" s="20" customFormat="1" ht="14.25">
      <c r="N92" s="2144"/>
      <c r="Q92" s="847"/>
      <c r="R92" s="1947"/>
      <c r="T92" s="2122"/>
      <c r="U92" s="2122"/>
      <c r="V92" s="1948"/>
      <c r="W92" s="1948"/>
      <c r="X92" s="2511"/>
      <c r="Y92" s="2511"/>
      <c r="Z92" s="1948"/>
      <c r="AA92" s="1948"/>
      <c r="AZ92" s="2550"/>
      <c r="BE92" s="2122"/>
      <c r="BF92" s="21"/>
      <c r="BG92" s="21"/>
      <c r="BH92" s="1949"/>
      <c r="BI92" s="1949"/>
      <c r="BJ92" s="515"/>
    </row>
    <row r="93" spans="14:62" s="20" customFormat="1" ht="14.25">
      <c r="N93" s="2144"/>
      <c r="Q93" s="847"/>
      <c r="R93" s="1947"/>
      <c r="T93" s="2122"/>
      <c r="U93" s="2122"/>
      <c r="V93" s="1948"/>
      <c r="W93" s="1948"/>
      <c r="X93" s="2511"/>
      <c r="Y93" s="2511"/>
      <c r="Z93" s="1948"/>
      <c r="AA93" s="1948"/>
      <c r="AZ93" s="2550"/>
      <c r="BE93" s="2122"/>
      <c r="BF93" s="21"/>
      <c r="BG93" s="21"/>
      <c r="BH93" s="1949"/>
      <c r="BI93" s="1949"/>
      <c r="BJ93" s="515"/>
    </row>
    <row r="94" spans="14:62" s="20" customFormat="1" ht="14.25">
      <c r="N94" s="2144"/>
      <c r="Q94" s="847"/>
      <c r="R94" s="1947"/>
      <c r="T94" s="2122"/>
      <c r="U94" s="2122"/>
      <c r="V94" s="1948"/>
      <c r="W94" s="1948"/>
      <c r="X94" s="2511"/>
      <c r="Y94" s="2511"/>
      <c r="Z94" s="1948"/>
      <c r="AA94" s="1948"/>
      <c r="AZ94" s="2550"/>
      <c r="BE94" s="2122"/>
      <c r="BF94" s="21"/>
      <c r="BG94" s="21"/>
      <c r="BH94" s="1949"/>
      <c r="BI94" s="1949"/>
      <c r="BJ94" s="515"/>
    </row>
    <row r="95" spans="14:62" s="20" customFormat="1" ht="14.25">
      <c r="N95" s="2144"/>
      <c r="Q95" s="847"/>
      <c r="R95" s="1947"/>
      <c r="T95" s="2122"/>
      <c r="U95" s="2122"/>
      <c r="V95" s="1948"/>
      <c r="W95" s="1948"/>
      <c r="X95" s="2511"/>
      <c r="Y95" s="2511"/>
      <c r="Z95" s="1948"/>
      <c r="AA95" s="1948"/>
      <c r="AZ95" s="2550"/>
      <c r="BE95" s="2122"/>
      <c r="BF95" s="21"/>
      <c r="BG95" s="21"/>
      <c r="BH95" s="1949"/>
      <c r="BI95" s="1949"/>
      <c r="BJ95" s="515"/>
    </row>
    <row r="96" spans="14:62" s="20" customFormat="1" ht="14.25">
      <c r="N96" s="2144"/>
      <c r="Q96" s="847"/>
      <c r="R96" s="1947"/>
      <c r="T96" s="2122"/>
      <c r="U96" s="2122"/>
      <c r="V96" s="1948"/>
      <c r="W96" s="1948"/>
      <c r="X96" s="1948"/>
      <c r="Y96" s="2511"/>
      <c r="Z96" s="1948"/>
      <c r="AA96" s="1948"/>
      <c r="AZ96" s="2550"/>
      <c r="BE96" s="2122"/>
      <c r="BF96" s="21"/>
      <c r="BG96" s="21"/>
      <c r="BH96" s="1949"/>
      <c r="BI96" s="1949"/>
      <c r="BJ96" s="515"/>
    </row>
    <row r="97" spans="14:62" s="20" customFormat="1" ht="14.25">
      <c r="N97" s="2144"/>
      <c r="Q97" s="847"/>
      <c r="R97" s="1947"/>
      <c r="T97" s="2122"/>
      <c r="U97" s="2122"/>
      <c r="V97" s="1948"/>
      <c r="W97" s="1948"/>
      <c r="X97" s="1948"/>
      <c r="Y97" s="2511"/>
      <c r="Z97" s="1948"/>
      <c r="AA97" s="1948"/>
      <c r="AZ97" s="2550"/>
      <c r="BE97" s="2122"/>
      <c r="BF97" s="21"/>
      <c r="BG97" s="21"/>
      <c r="BH97" s="1949"/>
      <c r="BI97" s="1949"/>
      <c r="BJ97" s="515"/>
    </row>
    <row r="98" spans="14:62" s="20" customFormat="1" ht="14.25">
      <c r="N98" s="2144"/>
      <c r="Q98" s="847"/>
      <c r="R98" s="1947"/>
      <c r="T98" s="2122"/>
      <c r="U98" s="2122"/>
      <c r="V98" s="1948"/>
      <c r="W98" s="1948"/>
      <c r="X98" s="1948"/>
      <c r="Y98" s="2511"/>
      <c r="Z98" s="1948"/>
      <c r="AA98" s="1948"/>
      <c r="AZ98" s="2550"/>
      <c r="BE98" s="2122"/>
      <c r="BF98" s="21"/>
      <c r="BG98" s="21"/>
      <c r="BH98" s="1949"/>
      <c r="BI98" s="1949"/>
      <c r="BJ98" s="515"/>
    </row>
    <row r="99" spans="14:62" s="20" customFormat="1" ht="14.25">
      <c r="N99" s="2144"/>
      <c r="Q99" s="847"/>
      <c r="R99" s="1947"/>
      <c r="T99" s="2122"/>
      <c r="U99" s="2122"/>
      <c r="V99" s="1948"/>
      <c r="W99" s="1948"/>
      <c r="X99" s="1948"/>
      <c r="Y99" s="2511"/>
      <c r="Z99" s="1948"/>
      <c r="AA99" s="1948"/>
      <c r="AZ99" s="2550"/>
      <c r="BE99" s="2122"/>
      <c r="BF99" s="21"/>
      <c r="BG99" s="21"/>
      <c r="BH99" s="1949"/>
      <c r="BI99" s="1949"/>
      <c r="BJ99" s="515"/>
    </row>
    <row r="100" spans="14:62" s="20" customFormat="1" ht="14.25">
      <c r="N100" s="2144"/>
      <c r="Q100" s="847"/>
      <c r="R100" s="1947"/>
      <c r="T100" s="2122"/>
      <c r="U100" s="2122"/>
      <c r="V100" s="1948"/>
      <c r="W100" s="1948"/>
      <c r="X100" s="1948"/>
      <c r="Y100" s="2511"/>
      <c r="Z100" s="1948"/>
      <c r="AA100" s="1948"/>
      <c r="AZ100" s="2550"/>
      <c r="BE100" s="2122"/>
      <c r="BF100" s="21"/>
      <c r="BG100" s="21"/>
      <c r="BH100" s="1949"/>
      <c r="BI100" s="1949"/>
      <c r="BJ100" s="515"/>
    </row>
    <row r="101" spans="14:62" s="20" customFormat="1" ht="14.25">
      <c r="N101" s="2144"/>
      <c r="Q101" s="847"/>
      <c r="R101" s="1947"/>
      <c r="T101" s="2122"/>
      <c r="U101" s="2122"/>
      <c r="V101" s="1948"/>
      <c r="W101" s="1948"/>
      <c r="X101" s="1948"/>
      <c r="Y101" s="2511"/>
      <c r="Z101" s="1948"/>
      <c r="AA101" s="1948"/>
      <c r="AZ101" s="2550"/>
      <c r="BE101" s="2122"/>
      <c r="BF101" s="21"/>
      <c r="BG101" s="21"/>
      <c r="BH101" s="1949"/>
      <c r="BI101" s="1949"/>
      <c r="BJ101" s="515"/>
    </row>
    <row r="102" spans="14:62" s="20" customFormat="1" ht="14.25">
      <c r="N102" s="2144"/>
      <c r="Q102" s="847"/>
      <c r="R102" s="1947"/>
      <c r="T102" s="2122"/>
      <c r="U102" s="2122"/>
      <c r="V102" s="1948"/>
      <c r="W102" s="1948"/>
      <c r="X102" s="1948"/>
      <c r="Y102" s="2511"/>
      <c r="Z102" s="1948"/>
      <c r="AA102" s="1948"/>
      <c r="AZ102" s="2550"/>
      <c r="BE102" s="2122"/>
      <c r="BF102" s="21"/>
      <c r="BG102" s="21"/>
      <c r="BH102" s="1949"/>
      <c r="BI102" s="1949"/>
      <c r="BJ102" s="515"/>
    </row>
    <row r="103" spans="14:62" s="20" customFormat="1" ht="14.25">
      <c r="N103" s="2144"/>
      <c r="Q103" s="847"/>
      <c r="R103" s="1947"/>
      <c r="T103" s="2122"/>
      <c r="U103" s="2122"/>
      <c r="V103" s="1948"/>
      <c r="W103" s="1948"/>
      <c r="X103" s="1948"/>
      <c r="Y103" s="2511"/>
      <c r="Z103" s="1948"/>
      <c r="AA103" s="1948"/>
      <c r="AZ103" s="2550"/>
      <c r="BE103" s="2122"/>
      <c r="BF103" s="21"/>
      <c r="BG103" s="21"/>
      <c r="BH103" s="1949"/>
      <c r="BI103" s="1949"/>
      <c r="BJ103" s="515"/>
    </row>
    <row r="104" spans="14:62" s="20" customFormat="1" ht="14.25">
      <c r="N104" s="2144"/>
      <c r="Q104" s="847"/>
      <c r="R104" s="1947"/>
      <c r="T104" s="2122"/>
      <c r="U104" s="2122"/>
      <c r="V104" s="1948"/>
      <c r="W104" s="1948"/>
      <c r="X104" s="1948"/>
      <c r="Y104" s="2511"/>
      <c r="Z104" s="1948"/>
      <c r="AA104" s="1948"/>
      <c r="AZ104" s="2550"/>
      <c r="BE104" s="2122"/>
      <c r="BF104" s="21"/>
      <c r="BG104" s="21"/>
      <c r="BH104" s="1949"/>
      <c r="BI104" s="1949"/>
      <c r="BJ104" s="515"/>
    </row>
    <row r="105" spans="14:62" s="20" customFormat="1" ht="14.25">
      <c r="N105" s="2144"/>
      <c r="Q105" s="847"/>
      <c r="R105" s="1947"/>
      <c r="T105" s="2122"/>
      <c r="U105" s="2122"/>
      <c r="V105" s="1948"/>
      <c r="W105" s="1948"/>
      <c r="X105" s="1948"/>
      <c r="Y105" s="2511"/>
      <c r="Z105" s="1948"/>
      <c r="AA105" s="1948"/>
      <c r="AZ105" s="2550"/>
      <c r="BE105" s="2122"/>
      <c r="BF105" s="21"/>
      <c r="BG105" s="21"/>
      <c r="BH105" s="1949"/>
      <c r="BI105" s="1949"/>
      <c r="BJ105" s="515"/>
    </row>
    <row r="106" spans="14:62" s="20" customFormat="1" ht="14.25">
      <c r="N106" s="2144"/>
      <c r="Q106" s="847"/>
      <c r="R106" s="1947"/>
      <c r="T106" s="2122"/>
      <c r="U106" s="2122"/>
      <c r="V106" s="1948"/>
      <c r="W106" s="1948"/>
      <c r="X106" s="1948"/>
      <c r="Y106" s="2511"/>
      <c r="Z106" s="1948"/>
      <c r="AA106" s="1948"/>
      <c r="AZ106" s="2550"/>
      <c r="BE106" s="2122"/>
      <c r="BF106" s="21"/>
      <c r="BG106" s="21"/>
      <c r="BH106" s="1949"/>
      <c r="BI106" s="1949"/>
      <c r="BJ106" s="515"/>
    </row>
    <row r="107" spans="14:62" s="20" customFormat="1" ht="14.25">
      <c r="N107" s="2144"/>
      <c r="Q107" s="847"/>
      <c r="R107" s="1947"/>
      <c r="T107" s="2122"/>
      <c r="U107" s="2122"/>
      <c r="V107" s="1948"/>
      <c r="W107" s="1948"/>
      <c r="X107" s="1948"/>
      <c r="Y107" s="2511"/>
      <c r="Z107" s="1948"/>
      <c r="AA107" s="1948"/>
      <c r="AZ107" s="2550"/>
      <c r="BE107" s="2122"/>
      <c r="BF107" s="21"/>
      <c r="BG107" s="21"/>
      <c r="BH107" s="1949"/>
      <c r="BI107" s="1949"/>
      <c r="BJ107" s="515"/>
    </row>
    <row r="108" spans="14:62" s="20" customFormat="1" ht="14.25">
      <c r="N108" s="2144"/>
      <c r="Q108" s="847"/>
      <c r="R108" s="1947"/>
      <c r="T108" s="2122"/>
      <c r="U108" s="2122"/>
      <c r="V108" s="1948"/>
      <c r="W108" s="1948"/>
      <c r="X108" s="1948"/>
      <c r="Y108" s="2511"/>
      <c r="Z108" s="1948"/>
      <c r="AA108" s="1948"/>
      <c r="AZ108" s="2550"/>
      <c r="BE108" s="2122"/>
      <c r="BF108" s="21"/>
      <c r="BG108" s="21"/>
      <c r="BH108" s="1949"/>
      <c r="BI108" s="1949"/>
      <c r="BJ108" s="515"/>
    </row>
    <row r="109" spans="14:62" s="20" customFormat="1" ht="14.25">
      <c r="N109" s="2144"/>
      <c r="Q109" s="847"/>
      <c r="R109" s="1947"/>
      <c r="T109" s="2122"/>
      <c r="U109" s="2122"/>
      <c r="V109" s="1948"/>
      <c r="W109" s="1948"/>
      <c r="X109" s="1948"/>
      <c r="Y109" s="2511"/>
      <c r="Z109" s="1948"/>
      <c r="AA109" s="1948"/>
      <c r="AZ109" s="2550"/>
      <c r="BE109" s="2122"/>
      <c r="BF109" s="21"/>
      <c r="BG109" s="21"/>
      <c r="BH109" s="1949"/>
      <c r="BI109" s="1949"/>
      <c r="BJ109" s="515"/>
    </row>
    <row r="110" spans="14:62" s="20" customFormat="1" ht="14.25">
      <c r="N110" s="2144"/>
      <c r="Q110" s="847"/>
      <c r="R110" s="1947"/>
      <c r="T110" s="2122"/>
      <c r="U110" s="2122"/>
      <c r="V110" s="1948"/>
      <c r="W110" s="1948"/>
      <c r="X110" s="1948"/>
      <c r="Y110" s="2511"/>
      <c r="Z110" s="1948"/>
      <c r="AA110" s="1948"/>
      <c r="AZ110" s="2550"/>
      <c r="BE110" s="2122"/>
      <c r="BF110" s="21"/>
      <c r="BG110" s="21"/>
      <c r="BH110" s="1949"/>
      <c r="BI110" s="1949"/>
      <c r="BJ110" s="515"/>
    </row>
    <row r="111" spans="14:62" s="20" customFormat="1" ht="14.25">
      <c r="N111" s="2144"/>
      <c r="Q111" s="847"/>
      <c r="R111" s="1947"/>
      <c r="T111" s="2122"/>
      <c r="U111" s="2122"/>
      <c r="V111" s="1948"/>
      <c r="W111" s="1948"/>
      <c r="X111" s="1948"/>
      <c r="Y111" s="2511"/>
      <c r="Z111" s="1948"/>
      <c r="AA111" s="1948"/>
      <c r="AZ111" s="2550"/>
      <c r="BE111" s="2122"/>
      <c r="BF111" s="21"/>
      <c r="BG111" s="21"/>
      <c r="BH111" s="1949"/>
      <c r="BI111" s="1949"/>
      <c r="BJ111" s="515"/>
    </row>
    <row r="112" spans="14:62" s="20" customFormat="1" ht="14.25">
      <c r="N112" s="2144"/>
      <c r="Q112" s="847"/>
      <c r="R112" s="1947"/>
      <c r="T112" s="2122"/>
      <c r="U112" s="2122"/>
      <c r="V112" s="1948"/>
      <c r="W112" s="1948"/>
      <c r="X112" s="1948"/>
      <c r="Y112" s="2511"/>
      <c r="Z112" s="1948"/>
      <c r="AA112" s="1948"/>
      <c r="AZ112" s="2550"/>
      <c r="BE112" s="2122"/>
      <c r="BF112" s="21"/>
      <c r="BG112" s="21"/>
      <c r="BH112" s="1949"/>
      <c r="BI112" s="1949"/>
      <c r="BJ112" s="515"/>
    </row>
    <row r="113" spans="14:62" s="20" customFormat="1" ht="14.25">
      <c r="N113" s="2144"/>
      <c r="Q113" s="847"/>
      <c r="R113" s="1947"/>
      <c r="T113" s="2122"/>
      <c r="U113" s="2122"/>
      <c r="V113" s="1948"/>
      <c r="W113" s="1948"/>
      <c r="X113" s="1948"/>
      <c r="Y113" s="2511"/>
      <c r="Z113" s="1948"/>
      <c r="AA113" s="1948"/>
      <c r="AZ113" s="2550"/>
      <c r="BE113" s="2122"/>
      <c r="BF113" s="21"/>
      <c r="BG113" s="21"/>
      <c r="BH113" s="1949"/>
      <c r="BI113" s="1949"/>
      <c r="BJ113" s="515"/>
    </row>
    <row r="114" spans="14:62" s="20" customFormat="1" ht="14.25">
      <c r="N114" s="2144"/>
      <c r="Q114" s="847"/>
      <c r="R114" s="1947"/>
      <c r="T114" s="2122"/>
      <c r="U114" s="2122"/>
      <c r="V114" s="1948"/>
      <c r="W114" s="1948"/>
      <c r="X114" s="1948"/>
      <c r="Y114" s="2511"/>
      <c r="Z114" s="1948"/>
      <c r="AA114" s="1948"/>
      <c r="AZ114" s="2550"/>
      <c r="BE114" s="2122"/>
      <c r="BF114" s="21"/>
      <c r="BG114" s="21"/>
      <c r="BH114" s="1949"/>
      <c r="BI114" s="1949"/>
      <c r="BJ114" s="515"/>
    </row>
    <row r="115" spans="14:62" s="20" customFormat="1" ht="14.25">
      <c r="N115" s="2144"/>
      <c r="Q115" s="847"/>
      <c r="R115" s="1947"/>
      <c r="T115" s="2122"/>
      <c r="U115" s="2122"/>
      <c r="V115" s="1948"/>
      <c r="W115" s="1948"/>
      <c r="X115" s="1948"/>
      <c r="Y115" s="2511"/>
      <c r="Z115" s="1948"/>
      <c r="AA115" s="1948"/>
      <c r="AZ115" s="2550"/>
      <c r="BE115" s="2122"/>
      <c r="BF115" s="21"/>
      <c r="BG115" s="21"/>
      <c r="BH115" s="1949"/>
      <c r="BI115" s="1949"/>
      <c r="BJ115" s="515"/>
    </row>
    <row r="116" spans="14:62" s="20" customFormat="1" ht="14.25">
      <c r="N116" s="2144"/>
      <c r="Q116" s="847"/>
      <c r="R116" s="1947"/>
      <c r="T116" s="2122"/>
      <c r="U116" s="2122"/>
      <c r="V116" s="1948"/>
      <c r="W116" s="1948"/>
      <c r="X116" s="1948"/>
      <c r="Y116" s="2511"/>
      <c r="Z116" s="1948"/>
      <c r="AA116" s="1948"/>
      <c r="AZ116" s="2550"/>
      <c r="BE116" s="2122"/>
      <c r="BF116" s="21"/>
      <c r="BG116" s="21"/>
      <c r="BH116" s="1949"/>
      <c r="BI116" s="1949"/>
      <c r="BJ116" s="515"/>
    </row>
    <row r="117" spans="14:62" s="20" customFormat="1" ht="14.25">
      <c r="N117" s="2144"/>
      <c r="Q117" s="847"/>
      <c r="R117" s="1947"/>
      <c r="T117" s="2122"/>
      <c r="U117" s="2122"/>
      <c r="V117" s="1948"/>
      <c r="W117" s="1948"/>
      <c r="X117" s="1948"/>
      <c r="Y117" s="2511"/>
      <c r="Z117" s="1948"/>
      <c r="AA117" s="1948"/>
      <c r="AZ117" s="2550"/>
      <c r="BE117" s="2122"/>
      <c r="BF117" s="21"/>
      <c r="BG117" s="21"/>
      <c r="BH117" s="1949"/>
      <c r="BI117" s="1949"/>
      <c r="BJ117" s="515"/>
    </row>
    <row r="118" spans="14:62" s="20" customFormat="1" ht="14.25">
      <c r="N118" s="2144"/>
      <c r="Q118" s="847"/>
      <c r="R118" s="1947"/>
      <c r="T118" s="2122"/>
      <c r="U118" s="2122"/>
      <c r="V118" s="1948"/>
      <c r="W118" s="1948"/>
      <c r="X118" s="1948"/>
      <c r="Y118" s="2511"/>
      <c r="Z118" s="1948"/>
      <c r="AA118" s="1948"/>
      <c r="AZ118" s="2550"/>
      <c r="BE118" s="2122"/>
      <c r="BF118" s="21"/>
      <c r="BG118" s="21"/>
      <c r="BH118" s="1949"/>
      <c r="BI118" s="1949"/>
      <c r="BJ118" s="515"/>
    </row>
    <row r="119" spans="14:62" s="20" customFormat="1" ht="14.25">
      <c r="N119" s="2144"/>
      <c r="Q119" s="847"/>
      <c r="R119" s="1947"/>
      <c r="T119" s="2122"/>
      <c r="U119" s="2122"/>
      <c r="V119" s="1948"/>
      <c r="W119" s="1948"/>
      <c r="X119" s="1948"/>
      <c r="Y119" s="2511"/>
      <c r="Z119" s="1948"/>
      <c r="AA119" s="1948"/>
      <c r="AZ119" s="2550"/>
      <c r="BE119" s="2122"/>
      <c r="BF119" s="21"/>
      <c r="BG119" s="21"/>
      <c r="BH119" s="1949"/>
      <c r="BI119" s="1949"/>
      <c r="BJ119" s="515"/>
    </row>
    <row r="120" spans="14:62" s="20" customFormat="1" ht="14.25">
      <c r="N120" s="2144"/>
      <c r="Q120" s="847"/>
      <c r="R120" s="1947"/>
      <c r="T120" s="2122"/>
      <c r="U120" s="2122"/>
      <c r="V120" s="1948"/>
      <c r="W120" s="1948"/>
      <c r="X120" s="1948"/>
      <c r="Y120" s="2511"/>
      <c r="Z120" s="1948"/>
      <c r="AA120" s="1948"/>
      <c r="AZ120" s="2550"/>
      <c r="BE120" s="2122"/>
      <c r="BF120" s="21"/>
      <c r="BG120" s="21"/>
      <c r="BH120" s="1949"/>
      <c r="BI120" s="1949"/>
      <c r="BJ120" s="515"/>
    </row>
    <row r="121" spans="14:62" s="20" customFormat="1" ht="14.25">
      <c r="N121" s="2144"/>
      <c r="Q121" s="847"/>
      <c r="R121" s="1947"/>
      <c r="T121" s="2122"/>
      <c r="U121" s="2122"/>
      <c r="V121" s="1948"/>
      <c r="W121" s="1948"/>
      <c r="X121" s="1948"/>
      <c r="Y121" s="2511"/>
      <c r="Z121" s="1948"/>
      <c r="AA121" s="1948"/>
      <c r="AZ121" s="2550"/>
      <c r="BE121" s="2122"/>
      <c r="BF121" s="21"/>
      <c r="BG121" s="21"/>
      <c r="BH121" s="1949"/>
      <c r="BI121" s="1949"/>
      <c r="BJ121" s="515"/>
    </row>
    <row r="122" spans="14:62" s="20" customFormat="1" ht="14.25">
      <c r="N122" s="2144"/>
      <c r="Q122" s="847"/>
      <c r="R122" s="1947"/>
      <c r="T122" s="2122"/>
      <c r="U122" s="2122"/>
      <c r="V122" s="1948"/>
      <c r="W122" s="1948"/>
      <c r="X122" s="1948"/>
      <c r="Y122" s="2511"/>
      <c r="Z122" s="1948"/>
      <c r="AA122" s="1948"/>
      <c r="AZ122" s="2550"/>
      <c r="BE122" s="2122"/>
      <c r="BF122" s="21"/>
      <c r="BG122" s="21"/>
      <c r="BH122" s="1949"/>
      <c r="BI122" s="1949"/>
      <c r="BJ122" s="515"/>
    </row>
    <row r="123" spans="14:62" s="20" customFormat="1" ht="14.25">
      <c r="N123" s="2144"/>
      <c r="Q123" s="847"/>
      <c r="R123" s="1947"/>
      <c r="T123" s="2122"/>
      <c r="U123" s="2122"/>
      <c r="V123" s="1948"/>
      <c r="W123" s="1948"/>
      <c r="X123" s="1948"/>
      <c r="Y123" s="2511"/>
      <c r="Z123" s="1948"/>
      <c r="AA123" s="1948"/>
      <c r="AZ123" s="2550"/>
      <c r="BE123" s="2122"/>
      <c r="BF123" s="21"/>
      <c r="BG123" s="21"/>
      <c r="BH123" s="1949"/>
      <c r="BI123" s="1949"/>
      <c r="BJ123" s="515"/>
    </row>
    <row r="124" spans="14:62" s="20" customFormat="1" ht="14.25">
      <c r="N124" s="2144"/>
      <c r="Q124" s="847"/>
      <c r="R124" s="1947"/>
      <c r="T124" s="2122"/>
      <c r="U124" s="2122"/>
      <c r="V124" s="1948"/>
      <c r="W124" s="1948"/>
      <c r="X124" s="1948"/>
      <c r="Y124" s="2511"/>
      <c r="Z124" s="1948"/>
      <c r="AA124" s="1948"/>
      <c r="AZ124" s="2550"/>
      <c r="BE124" s="2122"/>
      <c r="BF124" s="21"/>
      <c r="BG124" s="21"/>
      <c r="BH124" s="1949"/>
      <c r="BI124" s="1949"/>
      <c r="BJ124" s="515"/>
    </row>
    <row r="125" spans="14:62" s="20" customFormat="1" ht="14.25">
      <c r="N125" s="2144"/>
      <c r="Q125" s="847"/>
      <c r="R125" s="1947"/>
      <c r="T125" s="2122"/>
      <c r="U125" s="2122"/>
      <c r="V125" s="1948"/>
      <c r="W125" s="1948"/>
      <c r="X125" s="1948"/>
      <c r="Y125" s="2511"/>
      <c r="Z125" s="1948"/>
      <c r="AA125" s="1948"/>
      <c r="AZ125" s="2550"/>
      <c r="BE125" s="2122"/>
      <c r="BF125" s="21"/>
      <c r="BG125" s="21"/>
      <c r="BH125" s="1949"/>
      <c r="BI125" s="1949"/>
      <c r="BJ125" s="515"/>
    </row>
    <row r="126" spans="14:62" s="20" customFormat="1" ht="14.25">
      <c r="N126" s="2144"/>
      <c r="Q126" s="847"/>
      <c r="R126" s="1947"/>
      <c r="T126" s="2122"/>
      <c r="U126" s="2122"/>
      <c r="V126" s="1948"/>
      <c r="W126" s="1948"/>
      <c r="X126" s="1948"/>
      <c r="Y126" s="2511"/>
      <c r="Z126" s="1948"/>
      <c r="AA126" s="1948"/>
      <c r="AZ126" s="2550"/>
      <c r="BE126" s="2122"/>
      <c r="BF126" s="21"/>
      <c r="BG126" s="21"/>
      <c r="BH126" s="1949"/>
      <c r="BI126" s="1949"/>
      <c r="BJ126" s="515"/>
    </row>
    <row r="127" spans="14:62" s="20" customFormat="1" ht="14.25">
      <c r="N127" s="2144"/>
      <c r="Q127" s="847"/>
      <c r="R127" s="1947"/>
      <c r="T127" s="2122"/>
      <c r="U127" s="2122"/>
      <c r="V127" s="1948"/>
      <c r="W127" s="1948"/>
      <c r="X127" s="1948"/>
      <c r="Y127" s="2511"/>
      <c r="Z127" s="1948"/>
      <c r="AA127" s="1948"/>
      <c r="AZ127" s="2550"/>
      <c r="BE127" s="2122"/>
      <c r="BF127" s="21"/>
      <c r="BG127" s="21"/>
      <c r="BH127" s="1949"/>
      <c r="BI127" s="1949"/>
      <c r="BJ127" s="515"/>
    </row>
    <row r="128" spans="14:62" s="20" customFormat="1" ht="14.25">
      <c r="N128" s="2144"/>
      <c r="Q128" s="847"/>
      <c r="R128" s="1947"/>
      <c r="T128" s="2122"/>
      <c r="U128" s="2122"/>
      <c r="V128" s="1948"/>
      <c r="W128" s="1948"/>
      <c r="X128" s="1948"/>
      <c r="Y128" s="2511"/>
      <c r="Z128" s="1948"/>
      <c r="AA128" s="1948"/>
      <c r="AZ128" s="2550"/>
      <c r="BE128" s="2122"/>
      <c r="BF128" s="21"/>
      <c r="BG128" s="21"/>
      <c r="BH128" s="1949"/>
      <c r="BI128" s="1949"/>
      <c r="BJ128" s="515"/>
    </row>
    <row r="129" spans="14:62" s="20" customFormat="1" ht="14.25">
      <c r="N129" s="2144"/>
      <c r="Q129" s="847"/>
      <c r="R129" s="1947"/>
      <c r="T129" s="2122"/>
      <c r="U129" s="2122"/>
      <c r="V129" s="1948"/>
      <c r="W129" s="1948"/>
      <c r="X129" s="1948"/>
      <c r="Y129" s="2511"/>
      <c r="Z129" s="1948"/>
      <c r="AA129" s="1948"/>
      <c r="AZ129" s="2550"/>
      <c r="BE129" s="2122"/>
      <c r="BF129" s="21"/>
      <c r="BG129" s="21"/>
      <c r="BH129" s="1949"/>
      <c r="BI129" s="1949"/>
      <c r="BJ129" s="515"/>
    </row>
    <row r="130" spans="14:62" s="20" customFormat="1" ht="14.25">
      <c r="N130" s="2144"/>
      <c r="Q130" s="847"/>
      <c r="R130" s="1947"/>
      <c r="T130" s="2122"/>
      <c r="U130" s="2122"/>
      <c r="V130" s="1948"/>
      <c r="W130" s="1948"/>
      <c r="X130" s="1948"/>
      <c r="Y130" s="2511"/>
      <c r="Z130" s="1948"/>
      <c r="AA130" s="1948"/>
      <c r="AZ130" s="2550"/>
      <c r="BE130" s="2122"/>
      <c r="BF130" s="21"/>
      <c r="BG130" s="21"/>
      <c r="BH130" s="1949"/>
      <c r="BI130" s="1949"/>
      <c r="BJ130" s="515"/>
    </row>
    <row r="131" spans="14:62" s="20" customFormat="1" ht="14.25">
      <c r="N131" s="2144"/>
      <c r="Q131" s="847"/>
      <c r="R131" s="1947"/>
      <c r="T131" s="2122"/>
      <c r="U131" s="2122"/>
      <c r="V131" s="1948"/>
      <c r="W131" s="1948"/>
      <c r="X131" s="1948"/>
      <c r="Y131" s="2511"/>
      <c r="Z131" s="1948"/>
      <c r="AA131" s="1948"/>
      <c r="AZ131" s="2550"/>
      <c r="BE131" s="2122"/>
      <c r="BF131" s="21"/>
      <c r="BG131" s="21"/>
      <c r="BH131" s="1949"/>
      <c r="BI131" s="1949"/>
      <c r="BJ131" s="515"/>
    </row>
    <row r="132" spans="14:62" s="20" customFormat="1" ht="14.25">
      <c r="N132" s="2144"/>
      <c r="Q132" s="847"/>
      <c r="R132" s="1947"/>
      <c r="T132" s="2122"/>
      <c r="U132" s="2122"/>
      <c r="V132" s="1948"/>
      <c r="W132" s="1948"/>
      <c r="X132" s="1948"/>
      <c r="Y132" s="2511"/>
      <c r="Z132" s="1948"/>
      <c r="AA132" s="1948"/>
      <c r="AZ132" s="2550"/>
      <c r="BE132" s="2122"/>
      <c r="BF132" s="21"/>
      <c r="BG132" s="21"/>
      <c r="BH132" s="1949"/>
      <c r="BI132" s="1949"/>
      <c r="BJ132" s="515"/>
    </row>
    <row r="133" spans="14:62" s="20" customFormat="1" ht="14.25">
      <c r="N133" s="2144"/>
      <c r="Q133" s="847"/>
      <c r="R133" s="1947"/>
      <c r="T133" s="2122"/>
      <c r="U133" s="2122"/>
      <c r="V133" s="1948"/>
      <c r="W133" s="1948"/>
      <c r="X133" s="1948"/>
      <c r="Y133" s="2511"/>
      <c r="Z133" s="1948"/>
      <c r="AA133" s="1948"/>
      <c r="AZ133" s="2550"/>
      <c r="BE133" s="2122"/>
      <c r="BF133" s="21"/>
      <c r="BG133" s="21"/>
      <c r="BH133" s="1949"/>
      <c r="BI133" s="1949"/>
      <c r="BJ133" s="515"/>
    </row>
    <row r="134" spans="14:62" s="20" customFormat="1" ht="14.25">
      <c r="N134" s="2144"/>
      <c r="Q134" s="847"/>
      <c r="R134" s="1947"/>
      <c r="T134" s="2122"/>
      <c r="U134" s="2122"/>
      <c r="V134" s="1948"/>
      <c r="W134" s="1948"/>
      <c r="X134" s="1948"/>
      <c r="Y134" s="2511"/>
      <c r="Z134" s="1948"/>
      <c r="AA134" s="1948"/>
      <c r="AZ134" s="2550"/>
      <c r="BE134" s="2122"/>
      <c r="BF134" s="21"/>
      <c r="BG134" s="21"/>
      <c r="BH134" s="1949"/>
      <c r="BI134" s="1949"/>
      <c r="BJ134" s="515"/>
    </row>
    <row r="135" spans="14:62" s="20" customFormat="1" ht="14.25">
      <c r="N135" s="2144"/>
      <c r="Q135" s="847"/>
      <c r="R135" s="1947"/>
      <c r="T135" s="2122"/>
      <c r="U135" s="2122"/>
      <c r="V135" s="1948"/>
      <c r="W135" s="1948"/>
      <c r="X135" s="1948"/>
      <c r="Y135" s="2511"/>
      <c r="Z135" s="1948"/>
      <c r="AA135" s="1948"/>
      <c r="AZ135" s="2550"/>
      <c r="BE135" s="2122"/>
      <c r="BF135" s="21"/>
      <c r="BG135" s="21"/>
      <c r="BH135" s="1949"/>
      <c r="BI135" s="1949"/>
      <c r="BJ135" s="515"/>
    </row>
    <row r="136" spans="14:62" s="20" customFormat="1" ht="14.25">
      <c r="N136" s="2144"/>
      <c r="Q136" s="847"/>
      <c r="R136" s="1947"/>
      <c r="T136" s="2122"/>
      <c r="U136" s="2122"/>
      <c r="V136" s="1948"/>
      <c r="W136" s="1948"/>
      <c r="X136" s="1948"/>
      <c r="Y136" s="2511"/>
      <c r="Z136" s="1948"/>
      <c r="AA136" s="1948"/>
      <c r="AZ136" s="2550"/>
      <c r="BE136" s="2122"/>
      <c r="BF136" s="21"/>
      <c r="BG136" s="21"/>
      <c r="BH136" s="1949"/>
      <c r="BI136" s="1949"/>
      <c r="BJ136" s="515"/>
    </row>
    <row r="137" spans="14:62" s="20" customFormat="1" ht="14.25">
      <c r="N137" s="2144"/>
      <c r="Q137" s="847"/>
      <c r="R137" s="1947"/>
      <c r="T137" s="2122"/>
      <c r="U137" s="2122"/>
      <c r="V137" s="1948"/>
      <c r="W137" s="1948"/>
      <c r="X137" s="1948"/>
      <c r="Y137" s="2511"/>
      <c r="Z137" s="1948"/>
      <c r="AA137" s="1948"/>
      <c r="AZ137" s="2550"/>
      <c r="BE137" s="2122"/>
      <c r="BF137" s="21"/>
      <c r="BG137" s="21"/>
      <c r="BH137" s="1949"/>
      <c r="BI137" s="1949"/>
      <c r="BJ137" s="515"/>
    </row>
    <row r="138" spans="14:62" s="20" customFormat="1" ht="14.25">
      <c r="N138" s="2144"/>
      <c r="Q138" s="847"/>
      <c r="R138" s="1947"/>
      <c r="T138" s="2122"/>
      <c r="U138" s="2122"/>
      <c r="V138" s="1948"/>
      <c r="W138" s="1948"/>
      <c r="X138" s="1948"/>
      <c r="Y138" s="2511"/>
      <c r="Z138" s="1948"/>
      <c r="AA138" s="1948"/>
      <c r="AZ138" s="2550"/>
      <c r="BE138" s="2122"/>
      <c r="BF138" s="21"/>
      <c r="BG138" s="21"/>
      <c r="BH138" s="1949"/>
      <c r="BI138" s="1949"/>
      <c r="BJ138" s="515"/>
    </row>
    <row r="139" spans="14:62" s="20" customFormat="1" ht="14.25">
      <c r="N139" s="2144"/>
      <c r="Q139" s="847"/>
      <c r="R139" s="1947"/>
      <c r="T139" s="2122"/>
      <c r="U139" s="2122"/>
      <c r="V139" s="1948"/>
      <c r="W139" s="1948"/>
      <c r="X139" s="1948"/>
      <c r="Y139" s="2511"/>
      <c r="Z139" s="1948"/>
      <c r="AA139" s="1948"/>
      <c r="AZ139" s="2550"/>
      <c r="BE139" s="2122"/>
      <c r="BF139" s="21"/>
      <c r="BG139" s="21"/>
      <c r="BH139" s="1949"/>
      <c r="BI139" s="1949"/>
      <c r="BJ139" s="515"/>
    </row>
    <row r="140" spans="14:62" s="20" customFormat="1" ht="14.25">
      <c r="N140" s="2144"/>
      <c r="Q140" s="847"/>
      <c r="R140" s="1947"/>
      <c r="T140" s="2122"/>
      <c r="U140" s="2122"/>
      <c r="V140" s="1948"/>
      <c r="W140" s="1948"/>
      <c r="X140" s="1948"/>
      <c r="Y140" s="2511"/>
      <c r="Z140" s="1948"/>
      <c r="AA140" s="1948"/>
      <c r="AZ140" s="2550"/>
      <c r="BE140" s="2122"/>
      <c r="BF140" s="21"/>
      <c r="BG140" s="21"/>
      <c r="BH140" s="1949"/>
      <c r="BI140" s="1949"/>
      <c r="BJ140" s="515"/>
    </row>
    <row r="141" spans="14:62" s="20" customFormat="1" ht="14.25">
      <c r="N141" s="2144"/>
      <c r="Q141" s="847"/>
      <c r="R141" s="1947"/>
      <c r="T141" s="2122"/>
      <c r="U141" s="2122"/>
      <c r="V141" s="1948"/>
      <c r="W141" s="1948"/>
      <c r="X141" s="1948"/>
      <c r="Y141" s="2511"/>
      <c r="Z141" s="1948"/>
      <c r="AA141" s="1948"/>
      <c r="AZ141" s="2550"/>
      <c r="BE141" s="2122"/>
      <c r="BF141" s="21"/>
      <c r="BG141" s="21"/>
      <c r="BH141" s="1949"/>
      <c r="BI141" s="1949"/>
      <c r="BJ141" s="515"/>
    </row>
    <row r="142" spans="14:62" s="20" customFormat="1" ht="14.25">
      <c r="N142" s="2144"/>
      <c r="Q142" s="847"/>
      <c r="R142" s="1947"/>
      <c r="T142" s="2122"/>
      <c r="U142" s="2122"/>
      <c r="V142" s="1948"/>
      <c r="W142" s="1948"/>
      <c r="X142" s="1948"/>
      <c r="Y142" s="2511"/>
      <c r="Z142" s="1948"/>
      <c r="AA142" s="1948"/>
      <c r="AZ142" s="2550"/>
      <c r="BE142" s="2122"/>
      <c r="BF142" s="21"/>
      <c r="BG142" s="21"/>
      <c r="BH142" s="1949"/>
      <c r="BI142" s="1949"/>
      <c r="BJ142" s="515"/>
    </row>
    <row r="143" spans="14:62" s="20" customFormat="1" ht="14.25">
      <c r="N143" s="2144"/>
      <c r="Q143" s="847"/>
      <c r="R143" s="1947"/>
      <c r="T143" s="2122"/>
      <c r="U143" s="2122"/>
      <c r="V143" s="1948"/>
      <c r="W143" s="1948"/>
      <c r="X143" s="1948"/>
      <c r="Y143" s="2511"/>
      <c r="Z143" s="1948"/>
      <c r="AA143" s="1948"/>
      <c r="AZ143" s="2550"/>
      <c r="BE143" s="2122"/>
      <c r="BF143" s="21"/>
      <c r="BG143" s="21"/>
      <c r="BH143" s="1949"/>
      <c r="BI143" s="1949"/>
      <c r="BJ143" s="515"/>
    </row>
    <row r="144" spans="14:62" s="20" customFormat="1" ht="14.25">
      <c r="N144" s="2144"/>
      <c r="Q144" s="847"/>
      <c r="R144" s="1947"/>
      <c r="T144" s="2122"/>
      <c r="U144" s="2122"/>
      <c r="V144" s="1948"/>
      <c r="W144" s="1948"/>
      <c r="X144" s="1948"/>
      <c r="Y144" s="2511"/>
      <c r="Z144" s="1948"/>
      <c r="AA144" s="1948"/>
      <c r="AZ144" s="2550"/>
      <c r="BE144" s="2122"/>
      <c r="BF144" s="21"/>
      <c r="BG144" s="21"/>
      <c r="BH144" s="1949"/>
      <c r="BI144" s="1949"/>
      <c r="BJ144" s="515"/>
    </row>
    <row r="145" spans="14:62" s="20" customFormat="1" ht="14.25">
      <c r="N145" s="2144"/>
      <c r="Q145" s="847"/>
      <c r="R145" s="1947"/>
      <c r="T145" s="2122"/>
      <c r="U145" s="2122"/>
      <c r="V145" s="1948"/>
      <c r="W145" s="1948"/>
      <c r="X145" s="1948"/>
      <c r="Y145" s="2511"/>
      <c r="Z145" s="1948"/>
      <c r="AA145" s="1948"/>
      <c r="AZ145" s="2550"/>
      <c r="BE145" s="2122"/>
      <c r="BF145" s="21"/>
      <c r="BG145" s="21"/>
      <c r="BH145" s="1949"/>
      <c r="BI145" s="1949"/>
      <c r="BJ145" s="515"/>
    </row>
    <row r="146" spans="14:62" s="20" customFormat="1" ht="14.25">
      <c r="N146" s="2144"/>
      <c r="Q146" s="847"/>
      <c r="R146" s="1947"/>
      <c r="T146" s="2122"/>
      <c r="U146" s="2122"/>
      <c r="V146" s="1948"/>
      <c r="W146" s="1948"/>
      <c r="X146" s="1948"/>
      <c r="Y146" s="2511"/>
      <c r="Z146" s="1948"/>
      <c r="AA146" s="1948"/>
      <c r="AZ146" s="2550"/>
      <c r="BE146" s="2122"/>
      <c r="BF146" s="21"/>
      <c r="BG146" s="21"/>
      <c r="BH146" s="1949"/>
      <c r="BI146" s="1949"/>
      <c r="BJ146" s="515"/>
    </row>
    <row r="147" spans="14:62" s="20" customFormat="1" ht="14.25">
      <c r="N147" s="2144"/>
      <c r="Q147" s="847"/>
      <c r="R147" s="1947"/>
      <c r="T147" s="2122"/>
      <c r="U147" s="2122"/>
      <c r="V147" s="1948"/>
      <c r="W147" s="1948"/>
      <c r="X147" s="1948"/>
      <c r="Y147" s="2511"/>
      <c r="Z147" s="1948"/>
      <c r="AA147" s="1948"/>
      <c r="AZ147" s="2550"/>
      <c r="BE147" s="2122"/>
      <c r="BF147" s="21"/>
      <c r="BG147" s="21"/>
      <c r="BH147" s="1949"/>
      <c r="BI147" s="1949"/>
      <c r="BJ147" s="515"/>
    </row>
    <row r="148" spans="14:62" s="20" customFormat="1" ht="14.25">
      <c r="N148" s="2144"/>
      <c r="Q148" s="847"/>
      <c r="R148" s="1947"/>
      <c r="T148" s="2122"/>
      <c r="U148" s="2122"/>
      <c r="V148" s="1948"/>
      <c r="W148" s="1948"/>
      <c r="X148" s="1948"/>
      <c r="Y148" s="2511"/>
      <c r="Z148" s="1948"/>
      <c r="AA148" s="1948"/>
      <c r="AZ148" s="2550"/>
      <c r="BE148" s="2122"/>
      <c r="BF148" s="21"/>
      <c r="BG148" s="21"/>
      <c r="BH148" s="1949"/>
      <c r="BI148" s="1949"/>
      <c r="BJ148" s="515"/>
    </row>
    <row r="149" spans="14:62" s="20" customFormat="1" ht="14.25">
      <c r="N149" s="2144"/>
      <c r="Q149" s="847"/>
      <c r="R149" s="1947"/>
      <c r="T149" s="2122"/>
      <c r="U149" s="2122"/>
      <c r="V149" s="1948"/>
      <c r="W149" s="1948"/>
      <c r="X149" s="1948"/>
      <c r="Y149" s="2511"/>
      <c r="Z149" s="1948"/>
      <c r="AA149" s="1948"/>
      <c r="AZ149" s="2550"/>
      <c r="BE149" s="2122"/>
      <c r="BF149" s="21"/>
      <c r="BG149" s="21"/>
      <c r="BH149" s="1949"/>
      <c r="BI149" s="1949"/>
      <c r="BJ149" s="515"/>
    </row>
    <row r="150" spans="14:62" s="20" customFormat="1" ht="14.25">
      <c r="N150" s="2144"/>
      <c r="Q150" s="847"/>
      <c r="R150" s="1947"/>
      <c r="T150" s="2122"/>
      <c r="U150" s="2122"/>
      <c r="V150" s="1948"/>
      <c r="W150" s="1948"/>
      <c r="X150" s="1948"/>
      <c r="Y150" s="2511"/>
      <c r="Z150" s="1948"/>
      <c r="AA150" s="1948"/>
      <c r="AZ150" s="2550"/>
      <c r="BE150" s="2122"/>
      <c r="BF150" s="21"/>
      <c r="BG150" s="21"/>
      <c r="BH150" s="1949"/>
      <c r="BI150" s="1949"/>
      <c r="BJ150" s="515"/>
    </row>
    <row r="151" spans="14:62" s="20" customFormat="1" ht="14.25">
      <c r="N151" s="2144"/>
      <c r="Q151" s="847"/>
      <c r="R151" s="1947"/>
      <c r="T151" s="2122"/>
      <c r="U151" s="2122"/>
      <c r="V151" s="1948"/>
      <c r="W151" s="1948"/>
      <c r="X151" s="1948"/>
      <c r="Y151" s="2511"/>
      <c r="Z151" s="1948"/>
      <c r="AA151" s="1948"/>
      <c r="AZ151" s="2550"/>
      <c r="BE151" s="2122"/>
      <c r="BF151" s="21"/>
      <c r="BG151" s="21"/>
      <c r="BH151" s="1949"/>
      <c r="BI151" s="1949"/>
      <c r="BJ151" s="515"/>
    </row>
    <row r="152" spans="14:62" s="20" customFormat="1" ht="14.25">
      <c r="N152" s="2144"/>
      <c r="Q152" s="847"/>
      <c r="R152" s="1947"/>
      <c r="T152" s="2122"/>
      <c r="U152" s="2122"/>
      <c r="V152" s="1948"/>
      <c r="W152" s="1948"/>
      <c r="X152" s="1948"/>
      <c r="Y152" s="2511"/>
      <c r="Z152" s="1948"/>
      <c r="AA152" s="1948"/>
      <c r="AZ152" s="2550"/>
      <c r="BE152" s="2122"/>
      <c r="BF152" s="21"/>
      <c r="BG152" s="21"/>
      <c r="BH152" s="1949"/>
      <c r="BI152" s="1949"/>
      <c r="BJ152" s="515"/>
    </row>
    <row r="153" spans="14:62" s="20" customFormat="1" ht="14.25">
      <c r="N153" s="2144"/>
      <c r="Q153" s="847"/>
      <c r="R153" s="1947"/>
      <c r="T153" s="2122"/>
      <c r="U153" s="2122"/>
      <c r="V153" s="1948"/>
      <c r="W153" s="1948"/>
      <c r="X153" s="1948"/>
      <c r="Y153" s="2511"/>
      <c r="Z153" s="1948"/>
      <c r="AA153" s="1948"/>
      <c r="AZ153" s="2550"/>
      <c r="BE153" s="2122"/>
      <c r="BF153" s="21"/>
      <c r="BG153" s="21"/>
      <c r="BH153" s="1949"/>
      <c r="BI153" s="1949"/>
      <c r="BJ153" s="515"/>
    </row>
    <row r="154" spans="14:62" s="20" customFormat="1" ht="14.25">
      <c r="N154" s="2144"/>
      <c r="Q154" s="847"/>
      <c r="R154" s="1947"/>
      <c r="T154" s="2122"/>
      <c r="U154" s="2122"/>
      <c r="V154" s="1948"/>
      <c r="W154" s="1948"/>
      <c r="X154" s="1948"/>
      <c r="Y154" s="2511"/>
      <c r="Z154" s="1948"/>
      <c r="AA154" s="1948"/>
      <c r="AZ154" s="2550"/>
      <c r="BE154" s="2122"/>
      <c r="BF154" s="21"/>
      <c r="BG154" s="21"/>
      <c r="BH154" s="1949"/>
      <c r="BI154" s="1949"/>
      <c r="BJ154" s="515"/>
    </row>
    <row r="155" spans="14:62" s="20" customFormat="1" ht="14.25">
      <c r="N155" s="2144"/>
      <c r="Q155" s="847"/>
      <c r="R155" s="1947"/>
      <c r="T155" s="2122"/>
      <c r="U155" s="2122"/>
      <c r="V155" s="1948"/>
      <c r="W155" s="1948"/>
      <c r="X155" s="1948"/>
      <c r="Y155" s="2511"/>
      <c r="Z155" s="1948"/>
      <c r="AA155" s="1948"/>
      <c r="AZ155" s="2550"/>
      <c r="BE155" s="2122"/>
      <c r="BF155" s="21"/>
      <c r="BG155" s="21"/>
      <c r="BH155" s="1949"/>
      <c r="BI155" s="1949"/>
      <c r="BJ155" s="515"/>
    </row>
    <row r="156" spans="14:62" s="20" customFormat="1" ht="14.25">
      <c r="N156" s="2144"/>
      <c r="Q156" s="847"/>
      <c r="R156" s="1947"/>
      <c r="T156" s="2122"/>
      <c r="U156" s="2122"/>
      <c r="V156" s="1948"/>
      <c r="W156" s="1948"/>
      <c r="X156" s="1948"/>
      <c r="Y156" s="2511"/>
      <c r="Z156" s="1948"/>
      <c r="AA156" s="1948"/>
      <c r="AZ156" s="2550"/>
      <c r="BE156" s="2122"/>
      <c r="BF156" s="21"/>
      <c r="BG156" s="21"/>
      <c r="BH156" s="1949"/>
      <c r="BI156" s="1949"/>
      <c r="BJ156" s="515"/>
    </row>
    <row r="157" spans="14:62" s="20" customFormat="1" ht="14.25">
      <c r="N157" s="2144"/>
      <c r="Q157" s="847"/>
      <c r="R157" s="1947"/>
      <c r="T157" s="2122"/>
      <c r="U157" s="2122"/>
      <c r="V157" s="1948"/>
      <c r="W157" s="1948"/>
      <c r="X157" s="1948"/>
      <c r="Y157" s="2511"/>
      <c r="Z157" s="1948"/>
      <c r="AA157" s="1948"/>
      <c r="AZ157" s="2550"/>
      <c r="BE157" s="2122"/>
      <c r="BF157" s="21"/>
      <c r="BG157" s="21"/>
      <c r="BH157" s="1949"/>
      <c r="BI157" s="1949"/>
      <c r="BJ157" s="515"/>
    </row>
    <row r="158" spans="14:62" s="20" customFormat="1" ht="14.25">
      <c r="N158" s="2144"/>
      <c r="Q158" s="847"/>
      <c r="R158" s="1947"/>
      <c r="T158" s="2122"/>
      <c r="U158" s="2122"/>
      <c r="V158" s="1948"/>
      <c r="W158" s="1948"/>
      <c r="X158" s="1948"/>
      <c r="Y158" s="2511"/>
      <c r="Z158" s="1948"/>
      <c r="AA158" s="1948"/>
      <c r="AZ158" s="2550"/>
      <c r="BE158" s="2122"/>
      <c r="BF158" s="21"/>
      <c r="BG158" s="21"/>
      <c r="BH158" s="1949"/>
      <c r="BI158" s="1949"/>
      <c r="BJ158" s="515"/>
    </row>
    <row r="159" spans="14:62" s="20" customFormat="1" ht="14.25">
      <c r="N159" s="2144"/>
      <c r="Q159" s="847"/>
      <c r="R159" s="1947"/>
      <c r="T159" s="2122"/>
      <c r="U159" s="2122"/>
      <c r="V159" s="1948"/>
      <c r="W159" s="1948"/>
      <c r="X159" s="1948"/>
      <c r="Y159" s="2511"/>
      <c r="Z159" s="1948"/>
      <c r="AA159" s="1948"/>
      <c r="AZ159" s="2550"/>
      <c r="BE159" s="2122"/>
      <c r="BF159" s="21"/>
      <c r="BG159" s="21"/>
      <c r="BH159" s="1949"/>
      <c r="BI159" s="1949"/>
      <c r="BJ159" s="515"/>
    </row>
    <row r="160" spans="14:62" s="20" customFormat="1" ht="14.25">
      <c r="N160" s="2144"/>
      <c r="Q160" s="847"/>
      <c r="R160" s="1947"/>
      <c r="T160" s="2122"/>
      <c r="U160" s="2122"/>
      <c r="V160" s="1948"/>
      <c r="W160" s="1948"/>
      <c r="X160" s="1948"/>
      <c r="Y160" s="2511"/>
      <c r="Z160" s="1948"/>
      <c r="AA160" s="1948"/>
      <c r="AZ160" s="2550"/>
      <c r="BE160" s="2122"/>
      <c r="BF160" s="21"/>
      <c r="BG160" s="21"/>
      <c r="BH160" s="1949"/>
      <c r="BI160" s="1949"/>
      <c r="BJ160" s="515"/>
    </row>
    <row r="161" spans="14:62" s="20" customFormat="1" ht="14.25">
      <c r="N161" s="2144"/>
      <c r="Q161" s="847"/>
      <c r="R161" s="1947"/>
      <c r="T161" s="2122"/>
      <c r="U161" s="2122"/>
      <c r="V161" s="1948"/>
      <c r="W161" s="1948"/>
      <c r="X161" s="1948"/>
      <c r="Y161" s="2511"/>
      <c r="Z161" s="1948"/>
      <c r="AA161" s="1948"/>
      <c r="AZ161" s="2550"/>
      <c r="BE161" s="2122"/>
      <c r="BF161" s="21"/>
      <c r="BG161" s="21"/>
      <c r="BH161" s="1949"/>
      <c r="BI161" s="1949"/>
      <c r="BJ161" s="515"/>
    </row>
    <row r="162" spans="14:62" s="20" customFormat="1" ht="14.25">
      <c r="N162" s="2144"/>
      <c r="Q162" s="847"/>
      <c r="R162" s="1947"/>
      <c r="T162" s="2122"/>
      <c r="U162" s="2122"/>
      <c r="V162" s="1948"/>
      <c r="W162" s="1948"/>
      <c r="X162" s="1948"/>
      <c r="Y162" s="2511"/>
      <c r="Z162" s="1948"/>
      <c r="AA162" s="1948"/>
      <c r="AZ162" s="2550"/>
      <c r="BE162" s="2122"/>
      <c r="BF162" s="21"/>
      <c r="BG162" s="21"/>
      <c r="BH162" s="1949"/>
      <c r="BI162" s="1949"/>
      <c r="BJ162" s="515"/>
    </row>
    <row r="163" spans="14:62" s="20" customFormat="1" ht="14.25">
      <c r="N163" s="2144"/>
      <c r="Q163" s="847"/>
      <c r="R163" s="1947"/>
      <c r="T163" s="2122"/>
      <c r="U163" s="2122"/>
      <c r="V163" s="1948"/>
      <c r="W163" s="1948"/>
      <c r="X163" s="1948"/>
      <c r="Y163" s="2511"/>
      <c r="Z163" s="1948"/>
      <c r="AA163" s="1948"/>
      <c r="AZ163" s="2550"/>
      <c r="BE163" s="2122"/>
      <c r="BF163" s="21"/>
      <c r="BG163" s="21"/>
      <c r="BH163" s="1949"/>
      <c r="BI163" s="1949"/>
      <c r="BJ163" s="515"/>
    </row>
    <row r="164" spans="14:62" s="20" customFormat="1" ht="14.25">
      <c r="N164" s="2144"/>
      <c r="Q164" s="847"/>
      <c r="R164" s="1947"/>
      <c r="T164" s="2122"/>
      <c r="U164" s="2122"/>
      <c r="V164" s="1948"/>
      <c r="W164" s="1948"/>
      <c r="X164" s="1948"/>
      <c r="Y164" s="2511"/>
      <c r="Z164" s="1948"/>
      <c r="AA164" s="1948"/>
      <c r="AZ164" s="2550"/>
      <c r="BE164" s="2122"/>
      <c r="BF164" s="21"/>
      <c r="BG164" s="21"/>
      <c r="BH164" s="1949"/>
      <c r="BI164" s="1949"/>
      <c r="BJ164" s="515"/>
    </row>
    <row r="165" spans="14:62" s="20" customFormat="1" ht="14.25">
      <c r="N165" s="2144"/>
      <c r="Q165" s="847"/>
      <c r="R165" s="1947"/>
      <c r="T165" s="2122"/>
      <c r="U165" s="2122"/>
      <c r="V165" s="1948"/>
      <c r="W165" s="1948"/>
      <c r="X165" s="1948"/>
      <c r="Y165" s="2511"/>
      <c r="Z165" s="1948"/>
      <c r="AA165" s="1948"/>
      <c r="AZ165" s="2550"/>
      <c r="BE165" s="2122"/>
      <c r="BF165" s="21"/>
      <c r="BG165" s="21"/>
      <c r="BH165" s="1949"/>
      <c r="BI165" s="1949"/>
      <c r="BJ165" s="515"/>
    </row>
    <row r="166" spans="14:62" s="20" customFormat="1" ht="14.25">
      <c r="N166" s="2144"/>
      <c r="Q166" s="847"/>
      <c r="R166" s="1947"/>
      <c r="T166" s="2122"/>
      <c r="U166" s="2122"/>
      <c r="V166" s="1948"/>
      <c r="W166" s="1948"/>
      <c r="X166" s="1948"/>
      <c r="Y166" s="2511"/>
      <c r="Z166" s="1948"/>
      <c r="AA166" s="1948"/>
      <c r="AZ166" s="2550"/>
      <c r="BE166" s="2122"/>
      <c r="BF166" s="21"/>
      <c r="BG166" s="21"/>
      <c r="BH166" s="1949"/>
      <c r="BI166" s="1949"/>
      <c r="BJ166" s="515"/>
    </row>
    <row r="167" spans="14:62" s="20" customFormat="1" ht="14.25">
      <c r="N167" s="2144"/>
      <c r="Q167" s="847"/>
      <c r="R167" s="1947"/>
      <c r="T167" s="2122"/>
      <c r="U167" s="2122"/>
      <c r="V167" s="1948"/>
      <c r="W167" s="1948"/>
      <c r="X167" s="1948"/>
      <c r="Y167" s="2511"/>
      <c r="Z167" s="1948"/>
      <c r="AA167" s="1948"/>
      <c r="AZ167" s="2550"/>
      <c r="BE167" s="2122"/>
      <c r="BF167" s="21"/>
      <c r="BG167" s="21"/>
      <c r="BH167" s="1949"/>
      <c r="BI167" s="1949"/>
      <c r="BJ167" s="515"/>
    </row>
    <row r="168" spans="14:62" s="20" customFormat="1" ht="14.25">
      <c r="N168" s="2144"/>
      <c r="Q168" s="847"/>
      <c r="R168" s="1947"/>
      <c r="T168" s="2122"/>
      <c r="U168" s="2122"/>
      <c r="V168" s="1948"/>
      <c r="W168" s="1948"/>
      <c r="X168" s="1948"/>
      <c r="Y168" s="2511"/>
      <c r="Z168" s="1948"/>
      <c r="AA168" s="1948"/>
      <c r="AZ168" s="2550"/>
      <c r="BE168" s="2122"/>
      <c r="BF168" s="21"/>
      <c r="BG168" s="21"/>
      <c r="BH168" s="1949"/>
      <c r="BI168" s="1949"/>
      <c r="BJ168" s="515"/>
    </row>
    <row r="169" spans="14:62" s="20" customFormat="1" ht="14.25">
      <c r="N169" s="2144"/>
      <c r="Q169" s="847"/>
      <c r="R169" s="1947"/>
      <c r="T169" s="2122"/>
      <c r="U169" s="2122"/>
      <c r="V169" s="1948"/>
      <c r="W169" s="1948"/>
      <c r="X169" s="1948"/>
      <c r="Y169" s="2511"/>
      <c r="Z169" s="1948"/>
      <c r="AA169" s="1948"/>
      <c r="AZ169" s="2550"/>
      <c r="BE169" s="2122"/>
      <c r="BF169" s="21"/>
      <c r="BG169" s="21"/>
      <c r="BH169" s="1949"/>
      <c r="BI169" s="1949"/>
      <c r="BJ169" s="515"/>
    </row>
    <row r="170" spans="14:62" s="20" customFormat="1" ht="14.25">
      <c r="N170" s="2144"/>
      <c r="Q170" s="847"/>
      <c r="R170" s="1947"/>
      <c r="T170" s="2122"/>
      <c r="U170" s="2122"/>
      <c r="V170" s="1948"/>
      <c r="W170" s="1948"/>
      <c r="X170" s="1948"/>
      <c r="Y170" s="2511"/>
      <c r="Z170" s="1948"/>
      <c r="AA170" s="1948"/>
      <c r="AZ170" s="2550"/>
      <c r="BE170" s="2122"/>
      <c r="BF170" s="21"/>
      <c r="BG170" s="21"/>
      <c r="BH170" s="1949"/>
      <c r="BI170" s="1949"/>
      <c r="BJ170" s="515"/>
    </row>
    <row r="171" spans="14:62" s="20" customFormat="1" ht="14.25">
      <c r="N171" s="2144"/>
      <c r="Q171" s="847"/>
      <c r="R171" s="1947"/>
      <c r="T171" s="2122"/>
      <c r="U171" s="2122"/>
      <c r="V171" s="1948"/>
      <c r="W171" s="1948"/>
      <c r="X171" s="1948"/>
      <c r="Y171" s="2511"/>
      <c r="Z171" s="1948"/>
      <c r="AA171" s="1948"/>
      <c r="AZ171" s="2550"/>
      <c r="BE171" s="2122"/>
      <c r="BF171" s="21"/>
      <c r="BG171" s="21"/>
      <c r="BH171" s="1949"/>
      <c r="BI171" s="1949"/>
      <c r="BJ171" s="515"/>
    </row>
    <row r="172" spans="14:62" s="20" customFormat="1" ht="14.25">
      <c r="N172" s="2144"/>
      <c r="Q172" s="847"/>
      <c r="R172" s="1947"/>
      <c r="T172" s="2122"/>
      <c r="U172" s="2122"/>
      <c r="V172" s="1948"/>
      <c r="W172" s="1948"/>
      <c r="X172" s="1948"/>
      <c r="Y172" s="2511"/>
      <c r="Z172" s="1948"/>
      <c r="AA172" s="1948"/>
      <c r="AZ172" s="2550"/>
      <c r="BE172" s="2122"/>
      <c r="BF172" s="21"/>
      <c r="BG172" s="21"/>
      <c r="BH172" s="1949"/>
      <c r="BI172" s="1949"/>
      <c r="BJ172" s="515"/>
    </row>
    <row r="173" spans="14:62" s="20" customFormat="1" ht="14.25">
      <c r="N173" s="2144"/>
      <c r="Q173" s="847"/>
      <c r="R173" s="1947"/>
      <c r="T173" s="2122"/>
      <c r="U173" s="2122"/>
      <c r="V173" s="1948"/>
      <c r="W173" s="1948"/>
      <c r="X173" s="1948"/>
      <c r="Y173" s="2511"/>
      <c r="Z173" s="1948"/>
      <c r="AA173" s="1948"/>
      <c r="AZ173" s="2550"/>
      <c r="BE173" s="2122"/>
      <c r="BF173" s="21"/>
      <c r="BG173" s="21"/>
      <c r="BH173" s="1949"/>
      <c r="BI173" s="1949"/>
      <c r="BJ173" s="515"/>
    </row>
    <row r="174" spans="14:62" s="20" customFormat="1" ht="14.25">
      <c r="N174" s="2144"/>
      <c r="Q174" s="847"/>
      <c r="R174" s="1947"/>
      <c r="T174" s="2122"/>
      <c r="U174" s="2122"/>
      <c r="V174" s="1948"/>
      <c r="W174" s="1948"/>
      <c r="X174" s="1948"/>
      <c r="Y174" s="2511"/>
      <c r="Z174" s="1948"/>
      <c r="AA174" s="1948"/>
      <c r="AZ174" s="2550"/>
      <c r="BE174" s="2122"/>
      <c r="BF174" s="21"/>
      <c r="BG174" s="21"/>
      <c r="BH174" s="1949"/>
      <c r="BI174" s="1949"/>
      <c r="BJ174" s="515"/>
    </row>
    <row r="175" spans="14:62" s="20" customFormat="1" ht="14.25">
      <c r="N175" s="2144"/>
      <c r="Q175" s="847"/>
      <c r="R175" s="1947"/>
      <c r="T175" s="2122"/>
      <c r="U175" s="2122"/>
      <c r="V175" s="1948"/>
      <c r="W175" s="1948"/>
      <c r="X175" s="1948"/>
      <c r="Y175" s="2511"/>
      <c r="Z175" s="1948"/>
      <c r="AA175" s="1948"/>
      <c r="AZ175" s="2550"/>
      <c r="BE175" s="2122"/>
      <c r="BF175" s="21"/>
      <c r="BG175" s="21"/>
      <c r="BH175" s="1949"/>
      <c r="BI175" s="1949"/>
      <c r="BJ175" s="515"/>
    </row>
    <row r="176" spans="14:62" s="20" customFormat="1" ht="14.25">
      <c r="N176" s="2144"/>
      <c r="Q176" s="847"/>
      <c r="R176" s="1947"/>
      <c r="T176" s="2122"/>
      <c r="U176" s="2122"/>
      <c r="V176" s="1948"/>
      <c r="W176" s="1948"/>
      <c r="X176" s="1948"/>
      <c r="Y176" s="2511"/>
      <c r="Z176" s="1948"/>
      <c r="AA176" s="1948"/>
      <c r="AZ176" s="2550"/>
      <c r="BE176" s="2122"/>
      <c r="BF176" s="21"/>
      <c r="BG176" s="21"/>
      <c r="BH176" s="1949"/>
      <c r="BI176" s="1949"/>
      <c r="BJ176" s="515"/>
    </row>
    <row r="177" spans="14:62" s="20" customFormat="1" ht="14.25">
      <c r="N177" s="2144"/>
      <c r="Q177" s="847"/>
      <c r="R177" s="1947"/>
      <c r="T177" s="2122"/>
      <c r="U177" s="2122"/>
      <c r="V177" s="1948"/>
      <c r="W177" s="1948"/>
      <c r="X177" s="1948"/>
      <c r="Y177" s="2511"/>
      <c r="Z177" s="1948"/>
      <c r="AA177" s="1948"/>
      <c r="AZ177" s="2550"/>
      <c r="BE177" s="2122"/>
      <c r="BF177" s="21"/>
      <c r="BG177" s="21"/>
      <c r="BH177" s="1949"/>
      <c r="BI177" s="1949"/>
      <c r="BJ177" s="515"/>
    </row>
    <row r="178" spans="14:62" s="20" customFormat="1" ht="14.25">
      <c r="N178" s="2144"/>
      <c r="Q178" s="847"/>
      <c r="R178" s="1947"/>
      <c r="T178" s="2122"/>
      <c r="U178" s="2122"/>
      <c r="V178" s="1948"/>
      <c r="W178" s="1948"/>
      <c r="X178" s="1948"/>
      <c r="Y178" s="2511"/>
      <c r="Z178" s="1948"/>
      <c r="AA178" s="1948"/>
      <c r="AZ178" s="2550"/>
      <c r="BE178" s="2122"/>
      <c r="BF178" s="21"/>
      <c r="BG178" s="21"/>
      <c r="BH178" s="1949"/>
      <c r="BI178" s="1949"/>
      <c r="BJ178" s="515"/>
    </row>
    <row r="179" spans="14:62" s="20" customFormat="1" ht="14.25">
      <c r="N179" s="2144"/>
      <c r="Q179" s="847"/>
      <c r="R179" s="1947"/>
      <c r="T179" s="2122"/>
      <c r="U179" s="2122"/>
      <c r="V179" s="1948"/>
      <c r="W179" s="1948"/>
      <c r="X179" s="1948"/>
      <c r="Y179" s="2511"/>
      <c r="Z179" s="1948"/>
      <c r="AA179" s="1948"/>
      <c r="AZ179" s="2550"/>
      <c r="BE179" s="2122"/>
      <c r="BF179" s="21"/>
      <c r="BG179" s="21"/>
      <c r="BH179" s="1949"/>
      <c r="BI179" s="1949"/>
      <c r="BJ179" s="515"/>
    </row>
    <row r="180" spans="14:62" s="20" customFormat="1" ht="14.25">
      <c r="N180" s="2144"/>
      <c r="Q180" s="847"/>
      <c r="R180" s="1947"/>
      <c r="T180" s="2122"/>
      <c r="U180" s="2122"/>
      <c r="V180" s="1948"/>
      <c r="W180" s="1948"/>
      <c r="X180" s="1948"/>
      <c r="Y180" s="2511"/>
      <c r="Z180" s="1948"/>
      <c r="AA180" s="1948"/>
      <c r="AZ180" s="2550"/>
      <c r="BE180" s="2122"/>
      <c r="BF180" s="21"/>
      <c r="BG180" s="21"/>
      <c r="BH180" s="1949"/>
      <c r="BI180" s="1949"/>
      <c r="BJ180" s="515"/>
    </row>
    <row r="181" spans="14:62" s="20" customFormat="1" ht="14.25">
      <c r="N181" s="2144"/>
      <c r="Q181" s="847"/>
      <c r="R181" s="1947"/>
      <c r="T181" s="2122"/>
      <c r="U181" s="2122"/>
      <c r="V181" s="1948"/>
      <c r="W181" s="1948"/>
      <c r="X181" s="1948"/>
      <c r="Y181" s="2511"/>
      <c r="Z181" s="1948"/>
      <c r="AA181" s="1948"/>
      <c r="AZ181" s="2550"/>
      <c r="BE181" s="2122"/>
      <c r="BF181" s="21"/>
      <c r="BG181" s="21"/>
      <c r="BH181" s="1949"/>
      <c r="BI181" s="1949"/>
      <c r="BJ181" s="515"/>
    </row>
    <row r="182" spans="14:62" s="20" customFormat="1" ht="14.25">
      <c r="N182" s="2144"/>
      <c r="Q182" s="847"/>
      <c r="R182" s="1947"/>
      <c r="T182" s="2122"/>
      <c r="U182" s="2122"/>
      <c r="V182" s="1948"/>
      <c r="W182" s="1948"/>
      <c r="X182" s="1948"/>
      <c r="Y182" s="2511"/>
      <c r="Z182" s="1948"/>
      <c r="AA182" s="1948"/>
      <c r="AZ182" s="2550"/>
      <c r="BE182" s="2122"/>
      <c r="BF182" s="21"/>
      <c r="BG182" s="21"/>
      <c r="BH182" s="1949"/>
      <c r="BI182" s="1949"/>
      <c r="BJ182" s="515"/>
    </row>
    <row r="183" spans="14:62" s="20" customFormat="1" ht="14.25">
      <c r="N183" s="2144"/>
      <c r="Q183" s="847"/>
      <c r="R183" s="1947"/>
      <c r="T183" s="2122"/>
      <c r="U183" s="2122"/>
      <c r="V183" s="1948"/>
      <c r="W183" s="1948"/>
      <c r="X183" s="1948"/>
      <c r="Y183" s="2511"/>
      <c r="Z183" s="1948"/>
      <c r="AA183" s="1948"/>
      <c r="AZ183" s="2550"/>
      <c r="BE183" s="2122"/>
      <c r="BF183" s="21"/>
      <c r="BG183" s="21"/>
      <c r="BH183" s="1949"/>
      <c r="BI183" s="1949"/>
      <c r="BJ183" s="515"/>
    </row>
    <row r="184" spans="14:62" s="20" customFormat="1" ht="14.25">
      <c r="N184" s="2144"/>
      <c r="Q184" s="847"/>
      <c r="R184" s="1947"/>
      <c r="T184" s="2122"/>
      <c r="U184" s="2122"/>
      <c r="V184" s="1948"/>
      <c r="W184" s="1948"/>
      <c r="X184" s="1948"/>
      <c r="Y184" s="2511"/>
      <c r="Z184" s="1948"/>
      <c r="AA184" s="1948"/>
      <c r="AZ184" s="2550"/>
      <c r="BE184" s="2122"/>
      <c r="BF184" s="21"/>
      <c r="BG184" s="21"/>
      <c r="BH184" s="1949"/>
      <c r="BI184" s="1949"/>
      <c r="BJ184" s="515"/>
    </row>
    <row r="185" spans="14:62" s="20" customFormat="1" ht="14.25">
      <c r="N185" s="2144"/>
      <c r="Q185" s="847"/>
      <c r="R185" s="1947"/>
      <c r="T185" s="2122"/>
      <c r="U185" s="2122"/>
      <c r="V185" s="1948"/>
      <c r="W185" s="1948"/>
      <c r="X185" s="1948"/>
      <c r="Y185" s="2511"/>
      <c r="Z185" s="1948"/>
      <c r="AA185" s="1948"/>
      <c r="AZ185" s="2550"/>
      <c r="BE185" s="2122"/>
      <c r="BF185" s="21"/>
      <c r="BG185" s="21"/>
      <c r="BH185" s="1949"/>
      <c r="BI185" s="1949"/>
      <c r="BJ185" s="515"/>
    </row>
    <row r="186" spans="14:62" s="20" customFormat="1" ht="14.25">
      <c r="N186" s="2144"/>
      <c r="Q186" s="847"/>
      <c r="R186" s="1947"/>
      <c r="T186" s="2122"/>
      <c r="U186" s="2122"/>
      <c r="V186" s="1948"/>
      <c r="W186" s="1948"/>
      <c r="X186" s="1948"/>
      <c r="Y186" s="2511"/>
      <c r="Z186" s="1948"/>
      <c r="AA186" s="1948"/>
      <c r="AZ186" s="2550"/>
      <c r="BE186" s="2122"/>
      <c r="BF186" s="21"/>
      <c r="BG186" s="21"/>
      <c r="BH186" s="1949"/>
      <c r="BI186" s="1949"/>
      <c r="BJ186" s="515"/>
    </row>
    <row r="187" spans="14:62" s="20" customFormat="1" ht="14.25">
      <c r="N187" s="2144"/>
      <c r="Q187" s="847"/>
      <c r="R187" s="1947"/>
      <c r="T187" s="2122"/>
      <c r="U187" s="2122"/>
      <c r="V187" s="1948"/>
      <c r="W187" s="1948"/>
      <c r="X187" s="1948"/>
      <c r="Y187" s="2511"/>
      <c r="Z187" s="1948"/>
      <c r="AA187" s="1948"/>
      <c r="AZ187" s="2550"/>
      <c r="BE187" s="2122"/>
      <c r="BF187" s="21"/>
      <c r="BG187" s="21"/>
      <c r="BH187" s="1949"/>
      <c r="BI187" s="1949"/>
      <c r="BJ187" s="515"/>
    </row>
    <row r="188" spans="14:62" s="20" customFormat="1" ht="14.25">
      <c r="N188" s="2144"/>
      <c r="Q188" s="847"/>
      <c r="R188" s="1947"/>
      <c r="T188" s="2122"/>
      <c r="U188" s="2122"/>
      <c r="V188" s="1948"/>
      <c r="W188" s="1948"/>
      <c r="X188" s="1948"/>
      <c r="Y188" s="2511"/>
      <c r="Z188" s="1948"/>
      <c r="AA188" s="1948"/>
      <c r="AZ188" s="2550"/>
      <c r="BE188" s="2122"/>
      <c r="BF188" s="21"/>
      <c r="BG188" s="21"/>
      <c r="BH188" s="1949"/>
      <c r="BI188" s="1949"/>
      <c r="BJ188" s="515"/>
    </row>
    <row r="189" spans="14:62" s="20" customFormat="1" ht="14.25">
      <c r="N189" s="2144"/>
      <c r="Q189" s="847"/>
      <c r="R189" s="1947"/>
      <c r="T189" s="2122"/>
      <c r="U189" s="2122"/>
      <c r="V189" s="1948"/>
      <c r="W189" s="1948"/>
      <c r="X189" s="1948"/>
      <c r="Y189" s="2511"/>
      <c r="Z189" s="1948"/>
      <c r="AA189" s="1948"/>
      <c r="AZ189" s="2550"/>
      <c r="BE189" s="2122"/>
      <c r="BF189" s="21"/>
      <c r="BG189" s="21"/>
      <c r="BH189" s="1949"/>
      <c r="BI189" s="1949"/>
      <c r="BJ189" s="515"/>
    </row>
    <row r="190" spans="14:62" s="20" customFormat="1" ht="14.25">
      <c r="N190" s="2144"/>
      <c r="Q190" s="847"/>
      <c r="R190" s="1947"/>
      <c r="T190" s="2122"/>
      <c r="U190" s="2122"/>
      <c r="V190" s="1948"/>
      <c r="W190" s="1948"/>
      <c r="X190" s="1948"/>
      <c r="Y190" s="2511"/>
      <c r="Z190" s="1948"/>
      <c r="AA190" s="1948"/>
      <c r="AZ190" s="2550"/>
      <c r="BE190" s="2122"/>
      <c r="BF190" s="21"/>
      <c r="BG190" s="21"/>
      <c r="BH190" s="1949"/>
      <c r="BI190" s="1949"/>
      <c r="BJ190" s="515"/>
    </row>
    <row r="191" spans="14:62" s="20" customFormat="1" ht="14.25">
      <c r="N191" s="2144"/>
      <c r="Q191" s="847"/>
      <c r="R191" s="1947"/>
      <c r="T191" s="2122"/>
      <c r="U191" s="2122"/>
      <c r="V191" s="1948"/>
      <c r="W191" s="1948"/>
      <c r="X191" s="1948"/>
      <c r="Y191" s="2511"/>
      <c r="Z191" s="1948"/>
      <c r="AA191" s="1948"/>
      <c r="AZ191" s="2550"/>
      <c r="BE191" s="2122"/>
      <c r="BF191" s="21"/>
      <c r="BG191" s="21"/>
      <c r="BH191" s="1949"/>
      <c r="BI191" s="1949"/>
      <c r="BJ191" s="515"/>
    </row>
    <row r="192" spans="14:62" s="20" customFormat="1" ht="14.25">
      <c r="N192" s="2144"/>
      <c r="Q192" s="847"/>
      <c r="R192" s="1947"/>
      <c r="T192" s="2122"/>
      <c r="U192" s="2122"/>
      <c r="V192" s="1948"/>
      <c r="W192" s="1948"/>
      <c r="X192" s="1948"/>
      <c r="Y192" s="2511"/>
      <c r="Z192" s="1948"/>
      <c r="AA192" s="1948"/>
      <c r="AZ192" s="2550"/>
      <c r="BE192" s="2122"/>
      <c r="BF192" s="21"/>
      <c r="BG192" s="21"/>
      <c r="BH192" s="1949"/>
      <c r="BI192" s="1949"/>
      <c r="BJ192" s="515"/>
    </row>
    <row r="193" spans="14:62" s="20" customFormat="1" ht="14.25">
      <c r="N193" s="2144"/>
      <c r="Q193" s="847"/>
      <c r="R193" s="1947"/>
      <c r="T193" s="2122"/>
      <c r="U193" s="2122"/>
      <c r="V193" s="1948"/>
      <c r="W193" s="1948"/>
      <c r="X193" s="1948"/>
      <c r="Y193" s="2511"/>
      <c r="Z193" s="1948"/>
      <c r="AA193" s="1948"/>
      <c r="AZ193" s="2550"/>
      <c r="BE193" s="2122"/>
      <c r="BF193" s="21"/>
      <c r="BG193" s="21"/>
      <c r="BH193" s="1949"/>
      <c r="BI193" s="1949"/>
      <c r="BJ193" s="515"/>
    </row>
    <row r="194" spans="14:62" s="20" customFormat="1" ht="14.25">
      <c r="N194" s="2144"/>
      <c r="Q194" s="847"/>
      <c r="R194" s="1947"/>
      <c r="T194" s="2122"/>
      <c r="U194" s="2122"/>
      <c r="V194" s="1948"/>
      <c r="W194" s="1948"/>
      <c r="X194" s="1948"/>
      <c r="Y194" s="2511"/>
      <c r="Z194" s="1948"/>
      <c r="AA194" s="1948"/>
      <c r="AZ194" s="2550"/>
      <c r="BE194" s="2122"/>
      <c r="BF194" s="21"/>
      <c r="BG194" s="21"/>
      <c r="BH194" s="1949"/>
      <c r="BI194" s="1949"/>
      <c r="BJ194" s="515"/>
    </row>
    <row r="195" spans="14:62" s="20" customFormat="1" ht="14.25">
      <c r="N195" s="2144"/>
      <c r="Q195" s="847"/>
      <c r="R195" s="1947"/>
      <c r="T195" s="2122"/>
      <c r="U195" s="2122"/>
      <c r="V195" s="1948"/>
      <c r="W195" s="1948"/>
      <c r="X195" s="1948"/>
      <c r="Y195" s="2511"/>
      <c r="Z195" s="1948"/>
      <c r="AA195" s="1948"/>
      <c r="AZ195" s="2550"/>
      <c r="BE195" s="2122"/>
      <c r="BF195" s="21"/>
      <c r="BG195" s="21"/>
      <c r="BH195" s="1949"/>
      <c r="BI195" s="1949"/>
      <c r="BJ195" s="515"/>
    </row>
    <row r="196" spans="14:62" s="20" customFormat="1" ht="14.25">
      <c r="N196" s="2144"/>
      <c r="Q196" s="847"/>
      <c r="R196" s="1947"/>
      <c r="T196" s="2122"/>
      <c r="U196" s="2122"/>
      <c r="V196" s="1948"/>
      <c r="W196" s="1948"/>
      <c r="X196" s="1948"/>
      <c r="Y196" s="2511"/>
      <c r="Z196" s="1948"/>
      <c r="AA196" s="1948"/>
      <c r="AZ196" s="2550"/>
      <c r="BE196" s="2122"/>
      <c r="BF196" s="21"/>
      <c r="BG196" s="21"/>
      <c r="BH196" s="1949"/>
      <c r="BI196" s="1949"/>
      <c r="BJ196" s="515"/>
    </row>
    <row r="197" spans="14:62" s="20" customFormat="1" ht="14.25">
      <c r="N197" s="2144"/>
      <c r="Q197" s="847"/>
      <c r="R197" s="1947"/>
      <c r="T197" s="2122"/>
      <c r="U197" s="2122"/>
      <c r="V197" s="1948"/>
      <c r="W197" s="1948"/>
      <c r="X197" s="1948"/>
      <c r="Y197" s="2511"/>
      <c r="Z197" s="1948"/>
      <c r="AA197" s="1948"/>
      <c r="AZ197" s="2550"/>
      <c r="BE197" s="2122"/>
      <c r="BF197" s="21"/>
      <c r="BG197" s="21"/>
      <c r="BH197" s="1949"/>
      <c r="BI197" s="1949"/>
      <c r="BJ197" s="515"/>
    </row>
    <row r="198" spans="14:62" s="20" customFormat="1" ht="14.25">
      <c r="N198" s="2144"/>
      <c r="Q198" s="847"/>
      <c r="R198" s="1947"/>
      <c r="T198" s="2122"/>
      <c r="U198" s="2122"/>
      <c r="V198" s="1948"/>
      <c r="W198" s="1948"/>
      <c r="X198" s="1948"/>
      <c r="Y198" s="2511"/>
      <c r="Z198" s="1948"/>
      <c r="AA198" s="1948"/>
      <c r="AZ198" s="2550"/>
      <c r="BE198" s="2122"/>
      <c r="BF198" s="21"/>
      <c r="BG198" s="21"/>
      <c r="BH198" s="1949"/>
      <c r="BI198" s="1949"/>
      <c r="BJ198" s="515"/>
    </row>
    <row r="199" spans="14:62" s="20" customFormat="1" ht="14.25">
      <c r="N199" s="2144"/>
      <c r="Q199" s="847"/>
      <c r="R199" s="1947"/>
      <c r="T199" s="2122"/>
      <c r="U199" s="2122"/>
      <c r="V199" s="1948"/>
      <c r="W199" s="1948"/>
      <c r="X199" s="1948"/>
      <c r="Y199" s="2511"/>
      <c r="Z199" s="1948"/>
      <c r="AA199" s="1948"/>
      <c r="AZ199" s="2550"/>
      <c r="BE199" s="2122"/>
      <c r="BF199" s="21"/>
      <c r="BG199" s="21"/>
      <c r="BH199" s="1949"/>
      <c r="BI199" s="1949"/>
      <c r="BJ199" s="515"/>
    </row>
    <row r="200" spans="14:62" s="20" customFormat="1" ht="14.25">
      <c r="N200" s="2144"/>
      <c r="Q200" s="847"/>
      <c r="R200" s="1947"/>
      <c r="T200" s="2122"/>
      <c r="U200" s="2122"/>
      <c r="V200" s="1948"/>
      <c r="W200" s="1948"/>
      <c r="X200" s="1948"/>
      <c r="Y200" s="2511"/>
      <c r="Z200" s="1948"/>
      <c r="AA200" s="1948"/>
      <c r="AZ200" s="2550"/>
      <c r="BE200" s="2122"/>
      <c r="BF200" s="21"/>
      <c r="BG200" s="21"/>
      <c r="BH200" s="1949"/>
      <c r="BI200" s="1949"/>
      <c r="BJ200" s="515"/>
    </row>
    <row r="201" spans="14:62" s="20" customFormat="1" ht="14.25">
      <c r="N201" s="2144"/>
      <c r="Q201" s="847"/>
      <c r="R201" s="1947"/>
      <c r="T201" s="2122"/>
      <c r="U201" s="2122"/>
      <c r="V201" s="1948"/>
      <c r="W201" s="1948"/>
      <c r="X201" s="1948"/>
      <c r="Y201" s="2511"/>
      <c r="Z201" s="1948"/>
      <c r="AA201" s="1948"/>
      <c r="AZ201" s="2550"/>
      <c r="BE201" s="2122"/>
      <c r="BF201" s="21"/>
      <c r="BG201" s="21"/>
      <c r="BH201" s="1949"/>
      <c r="BI201" s="1949"/>
      <c r="BJ201" s="515"/>
    </row>
    <row r="202" spans="14:62" s="20" customFormat="1" ht="14.25">
      <c r="N202" s="2144"/>
      <c r="Q202" s="847"/>
      <c r="R202" s="1947"/>
      <c r="T202" s="2122"/>
      <c r="U202" s="2122"/>
      <c r="V202" s="1948"/>
      <c r="W202" s="1948"/>
      <c r="X202" s="1948"/>
      <c r="Y202" s="2511"/>
      <c r="Z202" s="1948"/>
      <c r="AA202" s="1948"/>
      <c r="AZ202" s="2550"/>
      <c r="BE202" s="2122"/>
      <c r="BF202" s="21"/>
      <c r="BG202" s="21"/>
      <c r="BH202" s="1949"/>
      <c r="BI202" s="1949"/>
      <c r="BJ202" s="515"/>
    </row>
    <row r="203" spans="14:62" s="20" customFormat="1" ht="14.25">
      <c r="N203" s="2144"/>
      <c r="Q203" s="847"/>
      <c r="R203" s="1947"/>
      <c r="T203" s="2122"/>
      <c r="U203" s="2122"/>
      <c r="V203" s="1948"/>
      <c r="W203" s="1948"/>
      <c r="X203" s="1948"/>
      <c r="Y203" s="2511"/>
      <c r="Z203" s="1948"/>
      <c r="AA203" s="1948"/>
      <c r="AZ203" s="2550"/>
      <c r="BE203" s="2122"/>
      <c r="BF203" s="21"/>
      <c r="BG203" s="21"/>
      <c r="BH203" s="1949"/>
      <c r="BI203" s="1949"/>
      <c r="BJ203" s="515"/>
    </row>
    <row r="204" spans="14:62" s="20" customFormat="1" ht="14.25">
      <c r="N204" s="2144"/>
      <c r="Q204" s="847"/>
      <c r="R204" s="1947"/>
      <c r="T204" s="2122"/>
      <c r="U204" s="2122"/>
      <c r="V204" s="1948"/>
      <c r="W204" s="1948"/>
      <c r="X204" s="1948"/>
      <c r="Y204" s="2511"/>
      <c r="Z204" s="1948"/>
      <c r="AA204" s="1948"/>
      <c r="AZ204" s="2550"/>
      <c r="BE204" s="2122"/>
      <c r="BF204" s="21"/>
      <c r="BG204" s="21"/>
      <c r="BH204" s="1949"/>
      <c r="BI204" s="1949"/>
      <c r="BJ204" s="515"/>
    </row>
    <row r="205" spans="14:62" s="20" customFormat="1" ht="14.25">
      <c r="N205" s="2144"/>
      <c r="Q205" s="847"/>
      <c r="R205" s="1947"/>
      <c r="T205" s="2122"/>
      <c r="U205" s="2122"/>
      <c r="V205" s="1948"/>
      <c r="W205" s="1948"/>
      <c r="X205" s="1948"/>
      <c r="Y205" s="2511"/>
      <c r="Z205" s="1948"/>
      <c r="AA205" s="1948"/>
      <c r="AZ205" s="2550"/>
      <c r="BE205" s="2122"/>
      <c r="BF205" s="21"/>
      <c r="BG205" s="21"/>
      <c r="BH205" s="1949"/>
      <c r="BI205" s="1949"/>
      <c r="BJ205" s="515"/>
    </row>
    <row r="206" spans="14:62" s="20" customFormat="1" ht="14.25">
      <c r="N206" s="2144"/>
      <c r="Q206" s="847"/>
      <c r="R206" s="1947"/>
      <c r="T206" s="2122"/>
      <c r="U206" s="2122"/>
      <c r="V206" s="1948"/>
      <c r="W206" s="1948"/>
      <c r="X206" s="1948"/>
      <c r="Y206" s="2511"/>
      <c r="Z206" s="1948"/>
      <c r="AA206" s="1948"/>
      <c r="AZ206" s="2550"/>
      <c r="BE206" s="2122"/>
      <c r="BF206" s="21"/>
      <c r="BG206" s="21"/>
      <c r="BH206" s="1949"/>
      <c r="BI206" s="1949"/>
      <c r="BJ206" s="515"/>
    </row>
    <row r="207" spans="14:62" s="20" customFormat="1" ht="14.25">
      <c r="N207" s="2144"/>
      <c r="Q207" s="847"/>
      <c r="R207" s="1947"/>
      <c r="T207" s="2122"/>
      <c r="U207" s="2122"/>
      <c r="V207" s="1948"/>
      <c r="W207" s="1948"/>
      <c r="X207" s="1948"/>
      <c r="Y207" s="2511"/>
      <c r="Z207" s="1948"/>
      <c r="AA207" s="1948"/>
      <c r="AZ207" s="2550"/>
      <c r="BE207" s="2122"/>
      <c r="BF207" s="21"/>
      <c r="BG207" s="21"/>
      <c r="BH207" s="1949"/>
      <c r="BI207" s="1949"/>
      <c r="BJ207" s="515"/>
    </row>
    <row r="208" spans="14:62" s="20" customFormat="1" ht="14.25">
      <c r="N208" s="2144"/>
      <c r="Q208" s="847"/>
      <c r="R208" s="1947"/>
      <c r="T208" s="2122"/>
      <c r="U208" s="2122"/>
      <c r="V208" s="1948"/>
      <c r="W208" s="1948"/>
      <c r="X208" s="1948"/>
      <c r="Y208" s="2511"/>
      <c r="Z208" s="1948"/>
      <c r="AA208" s="1948"/>
      <c r="AZ208" s="2550"/>
      <c r="BE208" s="2122"/>
      <c r="BF208" s="21"/>
      <c r="BG208" s="21"/>
      <c r="BH208" s="1949"/>
      <c r="BI208" s="1949"/>
      <c r="BJ208" s="515"/>
    </row>
    <row r="209" spans="14:62" s="20" customFormat="1" ht="14.25">
      <c r="N209" s="2144"/>
      <c r="Q209" s="847"/>
      <c r="R209" s="1947"/>
      <c r="T209" s="2122"/>
      <c r="U209" s="2122"/>
      <c r="V209" s="1948"/>
      <c r="W209" s="1948"/>
      <c r="X209" s="1948"/>
      <c r="Y209" s="2511"/>
      <c r="Z209" s="1948"/>
      <c r="AA209" s="1948"/>
      <c r="AZ209" s="2550"/>
      <c r="BE209" s="2122"/>
      <c r="BF209" s="21"/>
      <c r="BG209" s="21"/>
      <c r="BH209" s="1949"/>
      <c r="BI209" s="1949"/>
      <c r="BJ209" s="515"/>
    </row>
    <row r="210" spans="14:62" s="20" customFormat="1" ht="14.25">
      <c r="N210" s="2144"/>
      <c r="Q210" s="847"/>
      <c r="R210" s="1947"/>
      <c r="T210" s="2122"/>
      <c r="U210" s="2122"/>
      <c r="V210" s="1948"/>
      <c r="W210" s="1948"/>
      <c r="X210" s="1948"/>
      <c r="Y210" s="2511"/>
      <c r="Z210" s="1948"/>
      <c r="AA210" s="1948"/>
      <c r="AZ210" s="2550"/>
      <c r="BE210" s="2122"/>
      <c r="BF210" s="21"/>
      <c r="BG210" s="21"/>
      <c r="BH210" s="1949"/>
      <c r="BI210" s="1949"/>
      <c r="BJ210" s="515"/>
    </row>
    <row r="211" spans="14:62" s="20" customFormat="1" ht="14.25">
      <c r="N211" s="2144"/>
      <c r="Q211" s="847"/>
      <c r="R211" s="1947"/>
      <c r="T211" s="2122"/>
      <c r="U211" s="2122"/>
      <c r="V211" s="1948"/>
      <c r="W211" s="1948"/>
      <c r="X211" s="1948"/>
      <c r="Y211" s="2511"/>
      <c r="Z211" s="1948"/>
      <c r="AA211" s="1948"/>
      <c r="AZ211" s="2550"/>
      <c r="BE211" s="2122"/>
      <c r="BF211" s="21"/>
      <c r="BG211" s="21"/>
      <c r="BH211" s="1949"/>
      <c r="BI211" s="1949"/>
      <c r="BJ211" s="515"/>
    </row>
    <row r="212" spans="14:62" s="20" customFormat="1" ht="14.25">
      <c r="N212" s="2144"/>
      <c r="Q212" s="847"/>
      <c r="R212" s="1947"/>
      <c r="T212" s="2122"/>
      <c r="U212" s="2122"/>
      <c r="V212" s="1948"/>
      <c r="W212" s="1948"/>
      <c r="X212" s="1948"/>
      <c r="Y212" s="2511"/>
      <c r="Z212" s="1948"/>
      <c r="AA212" s="1948"/>
      <c r="AZ212" s="2550"/>
      <c r="BE212" s="2122"/>
      <c r="BF212" s="21"/>
      <c r="BG212" s="21"/>
      <c r="BH212" s="1949"/>
      <c r="BI212" s="1949"/>
      <c r="BJ212" s="515"/>
    </row>
    <row r="213" spans="14:62" s="20" customFormat="1" ht="14.25">
      <c r="N213" s="2144"/>
      <c r="Q213" s="847"/>
      <c r="R213" s="1947"/>
      <c r="T213" s="2122"/>
      <c r="U213" s="2122"/>
      <c r="V213" s="1948"/>
      <c r="W213" s="1948"/>
      <c r="X213" s="1948"/>
      <c r="Y213" s="2511"/>
      <c r="Z213" s="1948"/>
      <c r="AA213" s="1948"/>
      <c r="AZ213" s="2550"/>
      <c r="BE213" s="2122"/>
      <c r="BF213" s="21"/>
      <c r="BG213" s="21"/>
      <c r="BH213" s="1949"/>
      <c r="BI213" s="1949"/>
      <c r="BJ213" s="515"/>
    </row>
    <row r="214" spans="14:62" s="20" customFormat="1" ht="14.25">
      <c r="N214" s="2144"/>
      <c r="Q214" s="847"/>
      <c r="R214" s="1947"/>
      <c r="T214" s="2122"/>
      <c r="U214" s="2122"/>
      <c r="V214" s="1948"/>
      <c r="W214" s="1948"/>
      <c r="X214" s="1948"/>
      <c r="Y214" s="2511"/>
      <c r="Z214" s="1948"/>
      <c r="AA214" s="1948"/>
      <c r="AZ214" s="2550"/>
      <c r="BE214" s="2122"/>
      <c r="BF214" s="21"/>
      <c r="BG214" s="21"/>
      <c r="BH214" s="1949"/>
      <c r="BI214" s="1949"/>
      <c r="BJ214" s="515"/>
    </row>
    <row r="215" spans="14:62" s="20" customFormat="1" ht="14.25">
      <c r="N215" s="2144"/>
      <c r="Q215" s="847"/>
      <c r="R215" s="1947"/>
      <c r="T215" s="2122"/>
      <c r="U215" s="2122"/>
      <c r="V215" s="1948"/>
      <c r="W215" s="1948"/>
      <c r="X215" s="1948"/>
      <c r="Y215" s="2511"/>
      <c r="Z215" s="1948"/>
      <c r="AA215" s="1948"/>
      <c r="AZ215" s="2550"/>
      <c r="BE215" s="2122"/>
      <c r="BF215" s="21"/>
      <c r="BG215" s="21"/>
      <c r="BH215" s="1949"/>
      <c r="BI215" s="1949"/>
      <c r="BJ215" s="515"/>
    </row>
    <row r="216" spans="14:62" s="20" customFormat="1" ht="14.25">
      <c r="N216" s="2144"/>
      <c r="Q216" s="847"/>
      <c r="R216" s="1947"/>
      <c r="T216" s="2122"/>
      <c r="U216" s="2122"/>
      <c r="V216" s="1948"/>
      <c r="W216" s="1948"/>
      <c r="X216" s="1948"/>
      <c r="Y216" s="2511"/>
      <c r="Z216" s="1948"/>
      <c r="AA216" s="1948"/>
      <c r="AZ216" s="2550"/>
      <c r="BE216" s="2122"/>
      <c r="BF216" s="21"/>
      <c r="BG216" s="21"/>
      <c r="BH216" s="1949"/>
      <c r="BI216" s="1949"/>
      <c r="BJ216" s="515"/>
    </row>
    <row r="217" spans="14:62" s="20" customFormat="1" ht="14.25">
      <c r="N217" s="2144"/>
      <c r="Q217" s="847"/>
      <c r="R217" s="1947"/>
      <c r="T217" s="2122"/>
      <c r="U217" s="2122"/>
      <c r="V217" s="1948"/>
      <c r="W217" s="1948"/>
      <c r="X217" s="1948"/>
      <c r="Y217" s="2511"/>
      <c r="Z217" s="1948"/>
      <c r="AA217" s="1948"/>
      <c r="AZ217" s="2550"/>
      <c r="BE217" s="2122"/>
      <c r="BF217" s="21"/>
      <c r="BG217" s="21"/>
      <c r="BH217" s="1949"/>
      <c r="BI217" s="1949"/>
      <c r="BJ217" s="515"/>
    </row>
    <row r="218" spans="14:62" s="20" customFormat="1" ht="14.25">
      <c r="N218" s="2144"/>
      <c r="Q218" s="847"/>
      <c r="R218" s="1947"/>
      <c r="T218" s="2122"/>
      <c r="U218" s="2122"/>
      <c r="V218" s="1948"/>
      <c r="W218" s="1948"/>
      <c r="X218" s="1948"/>
      <c r="Y218" s="2511"/>
      <c r="Z218" s="1948"/>
      <c r="AA218" s="1948"/>
      <c r="AZ218" s="2550"/>
      <c r="BE218" s="2122"/>
      <c r="BF218" s="21"/>
      <c r="BG218" s="21"/>
      <c r="BH218" s="1949"/>
      <c r="BI218" s="1949"/>
      <c r="BJ218" s="515"/>
    </row>
    <row r="219" spans="14:62" s="20" customFormat="1" ht="14.25">
      <c r="N219" s="2144"/>
      <c r="Q219" s="847"/>
      <c r="R219" s="1947"/>
      <c r="T219" s="2122"/>
      <c r="U219" s="2122"/>
      <c r="V219" s="1948"/>
      <c r="W219" s="1948"/>
      <c r="X219" s="1948"/>
      <c r="Y219" s="2511"/>
      <c r="Z219" s="1948"/>
      <c r="AA219" s="1948"/>
      <c r="AZ219" s="2550"/>
      <c r="BE219" s="2122"/>
      <c r="BF219" s="21"/>
      <c r="BG219" s="21"/>
      <c r="BH219" s="1949"/>
      <c r="BI219" s="1949"/>
      <c r="BJ219" s="515"/>
    </row>
    <row r="220" spans="14:62" s="20" customFormat="1" ht="14.25">
      <c r="N220" s="2144"/>
      <c r="Q220" s="847"/>
      <c r="R220" s="1947"/>
      <c r="T220" s="2122"/>
      <c r="U220" s="2122"/>
      <c r="V220" s="1948"/>
      <c r="W220" s="1948"/>
      <c r="X220" s="1948"/>
      <c r="Y220" s="2511"/>
      <c r="Z220" s="1948"/>
      <c r="AA220" s="1948"/>
      <c r="AZ220" s="2550"/>
      <c r="BE220" s="2122"/>
      <c r="BF220" s="21"/>
      <c r="BG220" s="21"/>
      <c r="BH220" s="1949"/>
      <c r="BI220" s="1949"/>
      <c r="BJ220" s="515"/>
    </row>
    <row r="221" spans="14:62" s="20" customFormat="1" ht="14.25">
      <c r="N221" s="2144"/>
      <c r="Q221" s="847"/>
      <c r="R221" s="1947"/>
      <c r="T221" s="2122"/>
      <c r="U221" s="2122"/>
      <c r="V221" s="1948"/>
      <c r="W221" s="1948"/>
      <c r="X221" s="1948"/>
      <c r="Y221" s="2511"/>
      <c r="Z221" s="1948"/>
      <c r="AA221" s="1948"/>
      <c r="AZ221" s="2550"/>
      <c r="BE221" s="2122"/>
      <c r="BF221" s="21"/>
      <c r="BG221" s="21"/>
      <c r="BH221" s="1949"/>
      <c r="BI221" s="1949"/>
      <c r="BJ221" s="515"/>
    </row>
    <row r="222" spans="14:62" s="20" customFormat="1" ht="14.25">
      <c r="N222" s="2144"/>
      <c r="Q222" s="847"/>
      <c r="R222" s="1947"/>
      <c r="T222" s="2122"/>
      <c r="U222" s="2122"/>
      <c r="V222" s="1948"/>
      <c r="W222" s="1948"/>
      <c r="X222" s="1948"/>
      <c r="Y222" s="2511"/>
      <c r="Z222" s="1948"/>
      <c r="AA222" s="1948"/>
      <c r="AZ222" s="2550"/>
      <c r="BE222" s="2122"/>
      <c r="BF222" s="21"/>
      <c r="BG222" s="21"/>
      <c r="BH222" s="1949"/>
      <c r="BI222" s="1949"/>
      <c r="BJ222" s="515"/>
    </row>
    <row r="223" spans="14:62" s="20" customFormat="1" ht="14.25">
      <c r="N223" s="2144"/>
      <c r="Q223" s="847"/>
      <c r="R223" s="1947"/>
      <c r="T223" s="2122"/>
      <c r="U223" s="2122"/>
      <c r="V223" s="1948"/>
      <c r="W223" s="1948"/>
      <c r="X223" s="1948"/>
      <c r="Y223" s="2511"/>
      <c r="Z223" s="1948"/>
      <c r="AA223" s="1948"/>
      <c r="AZ223" s="2550"/>
      <c r="BE223" s="2122"/>
      <c r="BF223" s="21"/>
      <c r="BG223" s="21"/>
      <c r="BH223" s="1949"/>
      <c r="BI223" s="1949"/>
      <c r="BJ223" s="515"/>
    </row>
    <row r="224" spans="14:62" s="20" customFormat="1" ht="14.25">
      <c r="N224" s="2144"/>
      <c r="Q224" s="847"/>
      <c r="R224" s="1947"/>
      <c r="T224" s="2122"/>
      <c r="U224" s="2122"/>
      <c r="V224" s="1948"/>
      <c r="W224" s="1948"/>
      <c r="X224" s="1948"/>
      <c r="Y224" s="2511"/>
      <c r="Z224" s="1948"/>
      <c r="AA224" s="1948"/>
      <c r="AZ224" s="2550"/>
      <c r="BE224" s="2122"/>
      <c r="BF224" s="21"/>
      <c r="BG224" s="21"/>
      <c r="BH224" s="1949"/>
      <c r="BI224" s="1949"/>
      <c r="BJ224" s="515"/>
    </row>
    <row r="225" spans="14:62" s="20" customFormat="1" ht="14.25">
      <c r="N225" s="2144"/>
      <c r="Q225" s="847"/>
      <c r="R225" s="1947"/>
      <c r="T225" s="2122"/>
      <c r="U225" s="2122"/>
      <c r="V225" s="1948"/>
      <c r="W225" s="1948"/>
      <c r="X225" s="1948"/>
      <c r="Y225" s="2511"/>
      <c r="Z225" s="1948"/>
      <c r="AA225" s="1948"/>
      <c r="AZ225" s="2550"/>
      <c r="BE225" s="2122"/>
      <c r="BF225" s="21"/>
      <c r="BG225" s="21"/>
      <c r="BH225" s="1949"/>
      <c r="BI225" s="1949"/>
      <c r="BJ225" s="515"/>
    </row>
    <row r="226" spans="14:62" s="20" customFormat="1" ht="14.25">
      <c r="N226" s="2144"/>
      <c r="Q226" s="847"/>
      <c r="R226" s="1947"/>
      <c r="T226" s="2122"/>
      <c r="U226" s="2122"/>
      <c r="V226" s="1948"/>
      <c r="W226" s="1948"/>
      <c r="X226" s="1948"/>
      <c r="Y226" s="2511"/>
      <c r="Z226" s="1948"/>
      <c r="AA226" s="1948"/>
      <c r="AZ226" s="2550"/>
      <c r="BE226" s="2122"/>
      <c r="BF226" s="21"/>
      <c r="BG226" s="21"/>
      <c r="BH226" s="1949"/>
      <c r="BI226" s="1949"/>
      <c r="BJ226" s="515"/>
    </row>
    <row r="227" spans="14:62" s="20" customFormat="1" ht="14.25">
      <c r="N227" s="2144"/>
      <c r="Q227" s="847"/>
      <c r="R227" s="1947"/>
      <c r="T227" s="2122"/>
      <c r="U227" s="2122"/>
      <c r="V227" s="1948"/>
      <c r="W227" s="1948"/>
      <c r="X227" s="1948"/>
      <c r="Y227" s="2511"/>
      <c r="Z227" s="1948"/>
      <c r="AA227" s="1948"/>
      <c r="AZ227" s="2550"/>
      <c r="BE227" s="2122"/>
      <c r="BF227" s="21"/>
      <c r="BG227" s="21"/>
      <c r="BH227" s="1949"/>
      <c r="BI227" s="1949"/>
      <c r="BJ227" s="515"/>
    </row>
    <row r="228" spans="14:62" s="20" customFormat="1" ht="14.25">
      <c r="N228" s="2144"/>
      <c r="Q228" s="847"/>
      <c r="R228" s="1947"/>
      <c r="T228" s="2122"/>
      <c r="U228" s="2122"/>
      <c r="V228" s="1948"/>
      <c r="W228" s="1948"/>
      <c r="X228" s="1948"/>
      <c r="Y228" s="2511"/>
      <c r="Z228" s="1948"/>
      <c r="AA228" s="1948"/>
      <c r="AZ228" s="2550"/>
      <c r="BE228" s="2122"/>
      <c r="BF228" s="21"/>
      <c r="BG228" s="21"/>
      <c r="BH228" s="1949"/>
      <c r="BI228" s="1949"/>
      <c r="BJ228" s="515"/>
    </row>
    <row r="229" spans="14:62" s="20" customFormat="1" ht="14.25">
      <c r="N229" s="2144"/>
      <c r="Q229" s="847"/>
      <c r="R229" s="1947"/>
      <c r="T229" s="2122"/>
      <c r="U229" s="2122"/>
      <c r="V229" s="1948"/>
      <c r="W229" s="1948"/>
      <c r="X229" s="1948"/>
      <c r="Y229" s="2511"/>
      <c r="Z229" s="1948"/>
      <c r="AA229" s="1948"/>
      <c r="AZ229" s="2550"/>
      <c r="BE229" s="2122"/>
      <c r="BF229" s="21"/>
      <c r="BG229" s="21"/>
      <c r="BH229" s="1949"/>
      <c r="BI229" s="1949"/>
      <c r="BJ229" s="515"/>
    </row>
    <row r="230" spans="14:62" s="20" customFormat="1" ht="14.25">
      <c r="N230" s="2144"/>
      <c r="Q230" s="847"/>
      <c r="R230" s="1947"/>
      <c r="T230" s="2122"/>
      <c r="U230" s="2122"/>
      <c r="V230" s="1948"/>
      <c r="W230" s="1948"/>
      <c r="X230" s="1948"/>
      <c r="Y230" s="2511"/>
      <c r="Z230" s="1948"/>
      <c r="AA230" s="1948"/>
      <c r="AZ230" s="2550"/>
      <c r="BE230" s="2122"/>
      <c r="BF230" s="21"/>
      <c r="BG230" s="21"/>
      <c r="BH230" s="1949"/>
      <c r="BI230" s="1949"/>
      <c r="BJ230" s="515"/>
    </row>
    <row r="231" spans="14:62" s="20" customFormat="1" ht="14.25">
      <c r="N231" s="2144"/>
      <c r="Q231" s="847"/>
      <c r="R231" s="1947"/>
      <c r="T231" s="2122"/>
      <c r="U231" s="2122"/>
      <c r="V231" s="1948"/>
      <c r="W231" s="1948"/>
      <c r="X231" s="1948"/>
      <c r="Y231" s="2511"/>
      <c r="Z231" s="1948"/>
      <c r="AA231" s="1948"/>
      <c r="AZ231" s="2550"/>
      <c r="BE231" s="2122"/>
      <c r="BF231" s="21"/>
      <c r="BG231" s="21"/>
      <c r="BH231" s="1949"/>
      <c r="BI231" s="1949"/>
      <c r="BJ231" s="515"/>
    </row>
    <row r="232" spans="14:62" s="20" customFormat="1" ht="14.25">
      <c r="N232" s="2144"/>
      <c r="Q232" s="847"/>
      <c r="R232" s="1947"/>
      <c r="T232" s="2122"/>
      <c r="U232" s="2122"/>
      <c r="V232" s="1948"/>
      <c r="W232" s="1948"/>
      <c r="X232" s="1948"/>
      <c r="Y232" s="2511"/>
      <c r="Z232" s="1948"/>
      <c r="AA232" s="1948"/>
      <c r="AZ232" s="2550"/>
      <c r="BE232" s="2122"/>
      <c r="BF232" s="21"/>
      <c r="BG232" s="21"/>
      <c r="BH232" s="1949"/>
      <c r="BI232" s="1949"/>
      <c r="BJ232" s="515"/>
    </row>
    <row r="233" spans="14:62" s="20" customFormat="1" ht="14.25">
      <c r="N233" s="2144"/>
      <c r="Q233" s="847"/>
      <c r="R233" s="1947"/>
      <c r="T233" s="2122"/>
      <c r="U233" s="2122"/>
      <c r="V233" s="1948"/>
      <c r="W233" s="1948"/>
      <c r="X233" s="1948"/>
      <c r="Y233" s="2511"/>
      <c r="Z233" s="1948"/>
      <c r="AA233" s="1948"/>
      <c r="AZ233" s="2550"/>
      <c r="BE233" s="2122"/>
      <c r="BF233" s="21"/>
      <c r="BG233" s="21"/>
      <c r="BH233" s="1949"/>
      <c r="BI233" s="1949"/>
      <c r="BJ233" s="515"/>
    </row>
    <row r="234" spans="14:62" s="20" customFormat="1" ht="14.25">
      <c r="N234" s="2144"/>
      <c r="Q234" s="847"/>
      <c r="R234" s="1947"/>
      <c r="T234" s="2122"/>
      <c r="U234" s="2122"/>
      <c r="V234" s="1948"/>
      <c r="W234" s="1948"/>
      <c r="X234" s="1948"/>
      <c r="Y234" s="2511"/>
      <c r="Z234" s="1948"/>
      <c r="AA234" s="1948"/>
      <c r="AZ234" s="2550"/>
      <c r="BE234" s="2122"/>
      <c r="BF234" s="21"/>
      <c r="BG234" s="21"/>
      <c r="BH234" s="1949"/>
      <c r="BI234" s="1949"/>
      <c r="BJ234" s="515"/>
    </row>
    <row r="235" spans="14:62" s="20" customFormat="1" ht="14.25">
      <c r="N235" s="2144"/>
      <c r="Q235" s="847"/>
      <c r="R235" s="1947"/>
      <c r="T235" s="2122"/>
      <c r="U235" s="2122"/>
      <c r="V235" s="1948"/>
      <c r="W235" s="1948"/>
      <c r="X235" s="1948"/>
      <c r="Y235" s="2511"/>
      <c r="Z235" s="1948"/>
      <c r="AA235" s="1948"/>
      <c r="AZ235" s="2550"/>
      <c r="BE235" s="2122"/>
      <c r="BF235" s="21"/>
      <c r="BG235" s="21"/>
      <c r="BH235" s="1949"/>
      <c r="BI235" s="1949"/>
      <c r="BJ235" s="515"/>
    </row>
    <row r="236" spans="14:62" s="20" customFormat="1" ht="14.25">
      <c r="N236" s="2144"/>
      <c r="Q236" s="847"/>
      <c r="R236" s="1947"/>
      <c r="T236" s="2122"/>
      <c r="U236" s="2122"/>
      <c r="V236" s="1948"/>
      <c r="W236" s="1948"/>
      <c r="X236" s="1948"/>
      <c r="Y236" s="2511"/>
      <c r="Z236" s="1948"/>
      <c r="AA236" s="1948"/>
      <c r="AZ236" s="2550"/>
      <c r="BE236" s="2122"/>
      <c r="BF236" s="21"/>
      <c r="BG236" s="21"/>
      <c r="BH236" s="1949"/>
      <c r="BI236" s="1949"/>
      <c r="BJ236" s="515"/>
    </row>
    <row r="237" spans="14:62" s="20" customFormat="1" ht="14.25">
      <c r="N237" s="2144"/>
      <c r="Q237" s="847"/>
      <c r="R237" s="1947"/>
      <c r="T237" s="2122"/>
      <c r="U237" s="2122"/>
      <c r="V237" s="1948"/>
      <c r="W237" s="1948"/>
      <c r="X237" s="1948"/>
      <c r="Y237" s="2511"/>
      <c r="Z237" s="1948"/>
      <c r="AA237" s="1948"/>
      <c r="AZ237" s="2550"/>
      <c r="BE237" s="2122"/>
      <c r="BF237" s="21"/>
      <c r="BG237" s="21"/>
      <c r="BH237" s="1949"/>
      <c r="BI237" s="1949"/>
      <c r="BJ237" s="515"/>
    </row>
    <row r="238" spans="14:62" s="20" customFormat="1" ht="14.25">
      <c r="N238" s="2144"/>
      <c r="Q238" s="847"/>
      <c r="R238" s="1947"/>
      <c r="T238" s="2122"/>
      <c r="U238" s="2122"/>
      <c r="V238" s="1948"/>
      <c r="W238" s="1948"/>
      <c r="X238" s="1948"/>
      <c r="Y238" s="2511"/>
      <c r="Z238" s="1948"/>
      <c r="AA238" s="1948"/>
      <c r="AZ238" s="2550"/>
      <c r="BE238" s="2122"/>
      <c r="BF238" s="21"/>
      <c r="BG238" s="21"/>
      <c r="BH238" s="1949"/>
      <c r="BI238" s="1949"/>
      <c r="BJ238" s="515"/>
    </row>
    <row r="239" spans="14:62" s="20" customFormat="1" ht="14.25">
      <c r="N239" s="2144"/>
      <c r="Q239" s="847"/>
      <c r="R239" s="1947"/>
      <c r="T239" s="2122"/>
      <c r="U239" s="2122"/>
      <c r="V239" s="1948"/>
      <c r="W239" s="1948"/>
      <c r="X239" s="1948"/>
      <c r="Y239" s="2511"/>
      <c r="Z239" s="1948"/>
      <c r="AA239" s="1948"/>
      <c r="AZ239" s="2550"/>
      <c r="BE239" s="2122"/>
      <c r="BF239" s="21"/>
      <c r="BG239" s="21"/>
      <c r="BH239" s="1949"/>
      <c r="BI239" s="1949"/>
      <c r="BJ239" s="515"/>
    </row>
    <row r="240" spans="14:62" s="20" customFormat="1" ht="14.25">
      <c r="N240" s="2144"/>
      <c r="Q240" s="847"/>
      <c r="R240" s="1947"/>
      <c r="T240" s="2122"/>
      <c r="U240" s="2122"/>
      <c r="V240" s="1948"/>
      <c r="W240" s="1948"/>
      <c r="X240" s="1948"/>
      <c r="Y240" s="2511"/>
      <c r="Z240" s="1948"/>
      <c r="AA240" s="1948"/>
      <c r="AZ240" s="2550"/>
      <c r="BE240" s="2122"/>
      <c r="BF240" s="21"/>
      <c r="BG240" s="21"/>
      <c r="BH240" s="1949"/>
      <c r="BI240" s="1949"/>
      <c r="BJ240" s="515"/>
    </row>
    <row r="241" spans="14:62" s="20" customFormat="1" ht="14.25">
      <c r="N241" s="2144"/>
      <c r="Q241" s="847"/>
      <c r="R241" s="1947"/>
      <c r="T241" s="2122"/>
      <c r="U241" s="2122"/>
      <c r="V241" s="1948"/>
      <c r="W241" s="1948"/>
      <c r="X241" s="1948"/>
      <c r="Y241" s="2511"/>
      <c r="Z241" s="1948"/>
      <c r="AA241" s="1948"/>
      <c r="AZ241" s="2550"/>
      <c r="BE241" s="2122"/>
      <c r="BF241" s="21"/>
      <c r="BG241" s="21"/>
      <c r="BH241" s="1949"/>
      <c r="BI241" s="1949"/>
      <c r="BJ241" s="515"/>
    </row>
    <row r="242" spans="14:62" s="20" customFormat="1" ht="14.25">
      <c r="N242" s="2144"/>
      <c r="Q242" s="847"/>
      <c r="R242" s="1947"/>
      <c r="T242" s="2122"/>
      <c r="U242" s="2122"/>
      <c r="V242" s="1948"/>
      <c r="W242" s="1948"/>
      <c r="X242" s="1948"/>
      <c r="Y242" s="2511"/>
      <c r="Z242" s="1948"/>
      <c r="AA242" s="1948"/>
      <c r="AZ242" s="2550"/>
      <c r="BE242" s="2122"/>
      <c r="BF242" s="21"/>
      <c r="BG242" s="21"/>
      <c r="BH242" s="1949"/>
      <c r="BI242" s="1949"/>
      <c r="BJ242" s="515"/>
    </row>
    <row r="243" spans="14:62" s="20" customFormat="1" ht="14.25">
      <c r="N243" s="2144"/>
      <c r="Q243" s="847"/>
      <c r="R243" s="1947"/>
      <c r="T243" s="2122"/>
      <c r="U243" s="2122"/>
      <c r="V243" s="1948"/>
      <c r="W243" s="1948"/>
      <c r="X243" s="1948"/>
      <c r="Y243" s="2511"/>
      <c r="Z243" s="1948"/>
      <c r="AA243" s="1948"/>
      <c r="AZ243" s="2550"/>
      <c r="BE243" s="2122"/>
      <c r="BF243" s="21"/>
      <c r="BG243" s="21"/>
      <c r="BH243" s="1949"/>
      <c r="BI243" s="1949"/>
      <c r="BJ243" s="515"/>
    </row>
    <row r="244" spans="14:62" s="20" customFormat="1" ht="14.25">
      <c r="N244" s="2144"/>
      <c r="Q244" s="847"/>
      <c r="R244" s="1947"/>
      <c r="T244" s="2122"/>
      <c r="U244" s="2122"/>
      <c r="V244" s="1948"/>
      <c r="W244" s="1948"/>
      <c r="X244" s="1948"/>
      <c r="Y244" s="2511"/>
      <c r="Z244" s="1948"/>
      <c r="AA244" s="1948"/>
      <c r="AZ244" s="2550"/>
      <c r="BE244" s="2122"/>
      <c r="BF244" s="21"/>
      <c r="BG244" s="21"/>
      <c r="BH244" s="1949"/>
      <c r="BI244" s="1949"/>
      <c r="BJ244" s="515"/>
    </row>
    <row r="245" spans="14:62" s="20" customFormat="1" ht="14.25">
      <c r="N245" s="2144"/>
      <c r="Q245" s="847"/>
      <c r="R245" s="1947"/>
      <c r="T245" s="2122"/>
      <c r="U245" s="2122"/>
      <c r="V245" s="1948"/>
      <c r="W245" s="1948"/>
      <c r="X245" s="1948"/>
      <c r="Y245" s="2511"/>
      <c r="Z245" s="1948"/>
      <c r="AA245" s="1948"/>
      <c r="AZ245" s="2550"/>
      <c r="BE245" s="2122"/>
      <c r="BF245" s="21"/>
      <c r="BG245" s="21"/>
      <c r="BH245" s="1949"/>
      <c r="BI245" s="1949"/>
      <c r="BJ245" s="515"/>
    </row>
    <row r="246" spans="14:62" s="20" customFormat="1" ht="14.25">
      <c r="N246" s="2144"/>
      <c r="Q246" s="847"/>
      <c r="R246" s="1947"/>
      <c r="T246" s="2122"/>
      <c r="U246" s="2122"/>
      <c r="V246" s="1948"/>
      <c r="W246" s="1948"/>
      <c r="X246" s="1948"/>
      <c r="Y246" s="2511"/>
      <c r="Z246" s="1948"/>
      <c r="AA246" s="1948"/>
      <c r="AZ246" s="2550"/>
      <c r="BE246" s="2122"/>
      <c r="BF246" s="21"/>
      <c r="BG246" s="21"/>
      <c r="BH246" s="1949"/>
      <c r="BI246" s="1949"/>
      <c r="BJ246" s="515"/>
    </row>
    <row r="247" spans="14:62" s="20" customFormat="1" ht="14.25">
      <c r="N247" s="2144"/>
      <c r="Q247" s="847"/>
      <c r="R247" s="1947"/>
      <c r="T247" s="2122"/>
      <c r="U247" s="2122"/>
      <c r="V247" s="1948"/>
      <c r="W247" s="1948"/>
      <c r="X247" s="1948"/>
      <c r="Y247" s="2511"/>
      <c r="Z247" s="1948"/>
      <c r="AA247" s="1948"/>
      <c r="AZ247" s="2550"/>
      <c r="BE247" s="2122"/>
      <c r="BF247" s="21"/>
      <c r="BG247" s="21"/>
      <c r="BH247" s="1949"/>
      <c r="BI247" s="1949"/>
      <c r="BJ247" s="515"/>
    </row>
    <row r="248" spans="14:62" s="20" customFormat="1" ht="14.25">
      <c r="N248" s="2144"/>
      <c r="Q248" s="847"/>
      <c r="R248" s="1947"/>
      <c r="T248" s="2122"/>
      <c r="U248" s="2122"/>
      <c r="V248" s="1948"/>
      <c r="W248" s="1948"/>
      <c r="X248" s="1948"/>
      <c r="Y248" s="2511"/>
      <c r="Z248" s="1948"/>
      <c r="AA248" s="1948"/>
      <c r="AZ248" s="2550"/>
      <c r="BE248" s="2122"/>
      <c r="BF248" s="21"/>
      <c r="BG248" s="21"/>
      <c r="BH248" s="1949"/>
      <c r="BI248" s="1949"/>
      <c r="BJ248" s="515"/>
    </row>
    <row r="249" spans="14:62" s="20" customFormat="1" ht="14.25">
      <c r="N249" s="2144"/>
      <c r="Q249" s="847"/>
      <c r="R249" s="1947"/>
      <c r="T249" s="2122"/>
      <c r="U249" s="2122"/>
      <c r="V249" s="1948"/>
      <c r="W249" s="1948"/>
      <c r="X249" s="1948"/>
      <c r="Y249" s="2511"/>
      <c r="Z249" s="1948"/>
      <c r="AA249" s="1948"/>
      <c r="AZ249" s="2550"/>
      <c r="BE249" s="2122"/>
      <c r="BF249" s="21"/>
      <c r="BG249" s="21"/>
      <c r="BH249" s="1949"/>
      <c r="BI249" s="1949"/>
      <c r="BJ249" s="515"/>
    </row>
    <row r="250" spans="14:62" s="20" customFormat="1" ht="14.25">
      <c r="N250" s="2144"/>
      <c r="Q250" s="847"/>
      <c r="R250" s="1947"/>
      <c r="T250" s="2122"/>
      <c r="U250" s="2122"/>
      <c r="V250" s="1948"/>
      <c r="W250" s="1948"/>
      <c r="X250" s="1948"/>
      <c r="Y250" s="2511"/>
      <c r="Z250" s="1948"/>
      <c r="AA250" s="1948"/>
      <c r="AZ250" s="2550"/>
      <c r="BE250" s="2122"/>
      <c r="BF250" s="21"/>
      <c r="BG250" s="21"/>
      <c r="BH250" s="1949"/>
      <c r="BI250" s="1949"/>
      <c r="BJ250" s="515"/>
    </row>
    <row r="251" spans="14:62" s="20" customFormat="1" ht="14.25">
      <c r="N251" s="2144"/>
      <c r="Q251" s="847"/>
      <c r="R251" s="1947"/>
      <c r="T251" s="2122"/>
      <c r="U251" s="2122"/>
      <c r="V251" s="1948"/>
      <c r="W251" s="1948"/>
      <c r="X251" s="1948"/>
      <c r="Y251" s="2511"/>
      <c r="Z251" s="1948"/>
      <c r="AA251" s="1948"/>
      <c r="AZ251" s="2550"/>
      <c r="BE251" s="2122"/>
      <c r="BF251" s="21"/>
      <c r="BG251" s="21"/>
      <c r="BH251" s="1949"/>
      <c r="BI251" s="1949"/>
      <c r="BJ251" s="515"/>
    </row>
    <row r="252" spans="14:62" s="20" customFormat="1" ht="14.25">
      <c r="N252" s="2144"/>
      <c r="Q252" s="847"/>
      <c r="R252" s="1947"/>
      <c r="T252" s="2122"/>
      <c r="U252" s="2122"/>
      <c r="V252" s="1948"/>
      <c r="W252" s="1948"/>
      <c r="X252" s="1948"/>
      <c r="Y252" s="2511"/>
      <c r="Z252" s="1948"/>
      <c r="AA252" s="1948"/>
      <c r="AZ252" s="2550"/>
      <c r="BE252" s="2122"/>
      <c r="BF252" s="21"/>
      <c r="BG252" s="21"/>
      <c r="BH252" s="1949"/>
      <c r="BI252" s="1949"/>
      <c r="BJ252" s="515"/>
    </row>
    <row r="253" spans="14:62" s="20" customFormat="1" ht="14.25">
      <c r="N253" s="2144"/>
      <c r="Q253" s="847"/>
      <c r="R253" s="1947"/>
      <c r="T253" s="2122"/>
      <c r="U253" s="2122"/>
      <c r="V253" s="1948"/>
      <c r="W253" s="1948"/>
      <c r="X253" s="1948"/>
      <c r="Y253" s="2511"/>
      <c r="Z253" s="1948"/>
      <c r="AA253" s="1948"/>
      <c r="AZ253" s="2550"/>
      <c r="BE253" s="2122"/>
      <c r="BF253" s="21"/>
      <c r="BG253" s="21"/>
      <c r="BH253" s="1949"/>
      <c r="BI253" s="1949"/>
      <c r="BJ253" s="515"/>
    </row>
    <row r="254" spans="14:62" s="20" customFormat="1" ht="14.25">
      <c r="N254" s="2144"/>
      <c r="Q254" s="847"/>
      <c r="R254" s="1947"/>
      <c r="T254" s="2122"/>
      <c r="U254" s="2122"/>
      <c r="V254" s="1948"/>
      <c r="W254" s="1948"/>
      <c r="X254" s="1948"/>
      <c r="Y254" s="2511"/>
      <c r="Z254" s="1948"/>
      <c r="AA254" s="1948"/>
      <c r="AZ254" s="2550"/>
      <c r="BE254" s="2122"/>
      <c r="BF254" s="21"/>
      <c r="BG254" s="21"/>
      <c r="BH254" s="1949"/>
      <c r="BI254" s="1949"/>
      <c r="BJ254" s="515"/>
    </row>
    <row r="255" spans="14:62" s="20" customFormat="1" ht="14.25">
      <c r="N255" s="2144"/>
      <c r="Q255" s="847"/>
      <c r="R255" s="1947"/>
      <c r="T255" s="2122"/>
      <c r="U255" s="2122"/>
      <c r="V255" s="1948"/>
      <c r="W255" s="1948"/>
      <c r="X255" s="1948"/>
      <c r="Y255" s="2511"/>
      <c r="Z255" s="1948"/>
      <c r="AA255" s="1948"/>
      <c r="AZ255" s="2550"/>
      <c r="BE255" s="2122"/>
      <c r="BF255" s="21"/>
      <c r="BG255" s="21"/>
      <c r="BH255" s="1949"/>
      <c r="BI255" s="1949"/>
      <c r="BJ255" s="515"/>
    </row>
    <row r="256" spans="14:62" s="20" customFormat="1" ht="14.25">
      <c r="N256" s="2144"/>
      <c r="Q256" s="847"/>
      <c r="R256" s="1947"/>
      <c r="T256" s="2122"/>
      <c r="U256" s="2122"/>
      <c r="V256" s="1948"/>
      <c r="W256" s="1948"/>
      <c r="X256" s="1948"/>
      <c r="Y256" s="2511"/>
      <c r="Z256" s="1948"/>
      <c r="AA256" s="1948"/>
      <c r="AZ256" s="2550"/>
      <c r="BE256" s="2122"/>
      <c r="BF256" s="21"/>
      <c r="BG256" s="21"/>
      <c r="BH256" s="1949"/>
      <c r="BI256" s="1949"/>
      <c r="BJ256" s="515"/>
    </row>
    <row r="257" spans="14:62" s="20" customFormat="1" ht="14.25">
      <c r="N257" s="2144"/>
      <c r="Q257" s="847"/>
      <c r="R257" s="1947"/>
      <c r="T257" s="2122"/>
      <c r="U257" s="2122"/>
      <c r="V257" s="1948"/>
      <c r="W257" s="1948"/>
      <c r="X257" s="1948"/>
      <c r="Y257" s="2511"/>
      <c r="Z257" s="1948"/>
      <c r="AA257" s="1948"/>
      <c r="AZ257" s="2550"/>
      <c r="BE257" s="2122"/>
      <c r="BF257" s="21"/>
      <c r="BG257" s="21"/>
      <c r="BH257" s="1949"/>
      <c r="BI257" s="1949"/>
      <c r="BJ257" s="515"/>
    </row>
    <row r="258" spans="14:62" s="20" customFormat="1" ht="14.25">
      <c r="N258" s="2144"/>
      <c r="Q258" s="847"/>
      <c r="R258" s="1947"/>
      <c r="T258" s="2122"/>
      <c r="U258" s="2122"/>
      <c r="V258" s="1948"/>
      <c r="W258" s="1948"/>
      <c r="X258" s="1948"/>
      <c r="Y258" s="2511"/>
      <c r="Z258" s="1948"/>
      <c r="AA258" s="1948"/>
      <c r="AZ258" s="2550"/>
      <c r="BE258" s="2122"/>
      <c r="BF258" s="21"/>
      <c r="BG258" s="21"/>
      <c r="BH258" s="1949"/>
      <c r="BI258" s="1949"/>
      <c r="BJ258" s="515"/>
    </row>
    <row r="259" spans="14:62" s="20" customFormat="1" ht="14.25">
      <c r="N259" s="2144"/>
      <c r="Q259" s="847"/>
      <c r="R259" s="1947"/>
      <c r="T259" s="2122"/>
      <c r="U259" s="2122"/>
      <c r="V259" s="1948"/>
      <c r="W259" s="1948"/>
      <c r="X259" s="1948"/>
      <c r="Y259" s="2511"/>
      <c r="Z259" s="1948"/>
      <c r="AA259" s="1948"/>
      <c r="AZ259" s="2550"/>
      <c r="BE259" s="2122"/>
      <c r="BF259" s="21"/>
      <c r="BG259" s="21"/>
      <c r="BH259" s="1949"/>
      <c r="BI259" s="1949"/>
      <c r="BJ259" s="515"/>
    </row>
    <row r="260" spans="14:62" s="20" customFormat="1" ht="14.25">
      <c r="N260" s="2144"/>
      <c r="Q260" s="847"/>
      <c r="R260" s="1947"/>
      <c r="T260" s="2122"/>
      <c r="U260" s="2122"/>
      <c r="V260" s="1948"/>
      <c r="W260" s="1948"/>
      <c r="X260" s="1948"/>
      <c r="Y260" s="2511"/>
      <c r="Z260" s="1948"/>
      <c r="AA260" s="1948"/>
      <c r="AZ260" s="2550"/>
      <c r="BE260" s="2122"/>
      <c r="BF260" s="21"/>
      <c r="BG260" s="21"/>
      <c r="BH260" s="1949"/>
      <c r="BI260" s="1949"/>
      <c r="BJ260" s="515"/>
    </row>
    <row r="261" spans="14:62" s="20" customFormat="1" ht="14.25">
      <c r="N261" s="2144"/>
      <c r="Q261" s="847"/>
      <c r="R261" s="1947"/>
      <c r="T261" s="2122"/>
      <c r="U261" s="2122"/>
      <c r="V261" s="1948"/>
      <c r="W261" s="1948"/>
      <c r="X261" s="1948"/>
      <c r="Y261" s="2511"/>
      <c r="Z261" s="1948"/>
      <c r="AA261" s="1948"/>
      <c r="AZ261" s="2550"/>
      <c r="BE261" s="2122"/>
      <c r="BF261" s="21"/>
      <c r="BG261" s="21"/>
      <c r="BH261" s="1949"/>
      <c r="BI261" s="1949"/>
      <c r="BJ261" s="515"/>
    </row>
    <row r="262" spans="14:62" s="20" customFormat="1" ht="14.25">
      <c r="N262" s="2144"/>
      <c r="Q262" s="847"/>
      <c r="R262" s="1947"/>
      <c r="T262" s="2122"/>
      <c r="U262" s="2122"/>
      <c r="V262" s="1948"/>
      <c r="W262" s="1948"/>
      <c r="X262" s="1948"/>
      <c r="Y262" s="2511"/>
      <c r="Z262" s="1948"/>
      <c r="AA262" s="1948"/>
      <c r="AZ262" s="2550"/>
      <c r="BE262" s="2122"/>
      <c r="BF262" s="21"/>
      <c r="BG262" s="21"/>
      <c r="BH262" s="1949"/>
      <c r="BI262" s="1949"/>
      <c r="BJ262" s="515"/>
    </row>
    <row r="263" spans="14:62" s="20" customFormat="1" ht="14.25">
      <c r="N263" s="2144"/>
      <c r="Q263" s="847"/>
      <c r="R263" s="1947"/>
      <c r="T263" s="2122"/>
      <c r="U263" s="2122"/>
      <c r="V263" s="1948"/>
      <c r="W263" s="1948"/>
      <c r="X263" s="1948"/>
      <c r="Y263" s="2511"/>
      <c r="Z263" s="1948"/>
      <c r="AA263" s="1948"/>
      <c r="AZ263" s="2550"/>
      <c r="BE263" s="2122"/>
      <c r="BF263" s="21"/>
      <c r="BG263" s="21"/>
      <c r="BH263" s="1949"/>
      <c r="BI263" s="1949"/>
      <c r="BJ263" s="515"/>
    </row>
    <row r="264" spans="14:62" s="20" customFormat="1" ht="14.25">
      <c r="N264" s="2144"/>
      <c r="Q264" s="847"/>
      <c r="R264" s="1947"/>
      <c r="T264" s="2122"/>
      <c r="U264" s="2122"/>
      <c r="V264" s="1948"/>
      <c r="W264" s="1948"/>
      <c r="X264" s="1948"/>
      <c r="Y264" s="2511"/>
      <c r="Z264" s="1948"/>
      <c r="AA264" s="1948"/>
      <c r="AZ264" s="2550"/>
      <c r="BE264" s="2122"/>
      <c r="BF264" s="21"/>
      <c r="BG264" s="21"/>
      <c r="BH264" s="1949"/>
      <c r="BI264" s="1949"/>
      <c r="BJ264" s="515"/>
    </row>
    <row r="265" spans="14:62" s="20" customFormat="1" ht="14.25">
      <c r="N265" s="2144"/>
      <c r="Q265" s="847"/>
      <c r="R265" s="1947"/>
      <c r="T265" s="2122"/>
      <c r="U265" s="2122"/>
      <c r="V265" s="1948"/>
      <c r="W265" s="1948"/>
      <c r="X265" s="1948"/>
      <c r="Y265" s="2511"/>
      <c r="Z265" s="1948"/>
      <c r="AA265" s="1948"/>
      <c r="AZ265" s="2550"/>
      <c r="BE265" s="2122"/>
      <c r="BF265" s="21"/>
      <c r="BG265" s="21"/>
      <c r="BH265" s="1949"/>
      <c r="BI265" s="1949"/>
      <c r="BJ265" s="515"/>
    </row>
    <row r="266" spans="14:62" s="20" customFormat="1" ht="14.25">
      <c r="N266" s="2144"/>
      <c r="Q266" s="847"/>
      <c r="R266" s="1947"/>
      <c r="T266" s="2122"/>
      <c r="U266" s="2122"/>
      <c r="V266" s="1948"/>
      <c r="W266" s="1948"/>
      <c r="X266" s="1948"/>
      <c r="Y266" s="2511"/>
      <c r="Z266" s="1948"/>
      <c r="AA266" s="1948"/>
      <c r="AZ266" s="2550"/>
      <c r="BE266" s="2122"/>
      <c r="BF266" s="21"/>
      <c r="BG266" s="21"/>
      <c r="BH266" s="1949"/>
      <c r="BI266" s="1949"/>
      <c r="BJ266" s="515"/>
    </row>
    <row r="267" spans="14:62" s="20" customFormat="1" ht="14.25">
      <c r="N267" s="2144"/>
      <c r="Q267" s="847"/>
      <c r="R267" s="1947"/>
      <c r="T267" s="2122"/>
      <c r="U267" s="2122"/>
      <c r="V267" s="1948"/>
      <c r="W267" s="1948"/>
      <c r="X267" s="1948"/>
      <c r="Y267" s="2511"/>
      <c r="Z267" s="1948"/>
      <c r="AA267" s="1948"/>
      <c r="AZ267" s="2550"/>
      <c r="BE267" s="2122"/>
      <c r="BF267" s="21"/>
      <c r="BG267" s="21"/>
      <c r="BH267" s="1949"/>
      <c r="BI267" s="1949"/>
      <c r="BJ267" s="515"/>
    </row>
    <row r="268" spans="14:62" s="20" customFormat="1" ht="14.25">
      <c r="N268" s="2144"/>
      <c r="Q268" s="847"/>
      <c r="R268" s="1947"/>
      <c r="T268" s="2122"/>
      <c r="U268" s="2122"/>
      <c r="V268" s="1948"/>
      <c r="W268" s="1948"/>
      <c r="X268" s="1948"/>
      <c r="Y268" s="2511"/>
      <c r="Z268" s="1948"/>
      <c r="AA268" s="1948"/>
      <c r="AZ268" s="2550"/>
      <c r="BE268" s="2122"/>
      <c r="BF268" s="21"/>
      <c r="BG268" s="21"/>
      <c r="BH268" s="1949"/>
      <c r="BI268" s="1949"/>
      <c r="BJ268" s="515"/>
    </row>
    <row r="269" spans="14:62" s="20" customFormat="1" ht="14.25">
      <c r="N269" s="2144"/>
      <c r="Q269" s="847"/>
      <c r="R269" s="1947"/>
      <c r="T269" s="2122"/>
      <c r="U269" s="2122"/>
      <c r="V269" s="1948"/>
      <c r="W269" s="1948"/>
      <c r="X269" s="1948"/>
      <c r="Y269" s="2511"/>
      <c r="Z269" s="1948"/>
      <c r="AA269" s="1948"/>
      <c r="AZ269" s="2550"/>
      <c r="BE269" s="2122"/>
      <c r="BF269" s="21"/>
      <c r="BG269" s="21"/>
      <c r="BH269" s="1949"/>
      <c r="BI269" s="1949"/>
      <c r="BJ269" s="515"/>
    </row>
    <row r="270" spans="14:62" s="20" customFormat="1" ht="14.25">
      <c r="N270" s="2144"/>
      <c r="Q270" s="847"/>
      <c r="R270" s="1947"/>
      <c r="T270" s="2122"/>
      <c r="U270" s="2122"/>
      <c r="V270" s="1948"/>
      <c r="W270" s="1948"/>
      <c r="X270" s="1948"/>
      <c r="Y270" s="2511"/>
      <c r="Z270" s="1948"/>
      <c r="AA270" s="1948"/>
      <c r="AZ270" s="2550"/>
      <c r="BE270" s="2122"/>
      <c r="BF270" s="21"/>
      <c r="BG270" s="21"/>
      <c r="BH270" s="1949"/>
      <c r="BI270" s="1949"/>
      <c r="BJ270" s="515"/>
    </row>
    <row r="271" spans="14:62" s="20" customFormat="1" ht="14.25">
      <c r="N271" s="2144"/>
      <c r="Q271" s="847"/>
      <c r="R271" s="1947"/>
      <c r="T271" s="2122"/>
      <c r="U271" s="2122"/>
      <c r="V271" s="1948"/>
      <c r="W271" s="1948"/>
      <c r="X271" s="1948"/>
      <c r="Y271" s="2511"/>
      <c r="Z271" s="1948"/>
      <c r="AA271" s="1948"/>
      <c r="AZ271" s="2550"/>
      <c r="BE271" s="2122"/>
      <c r="BF271" s="21"/>
      <c r="BG271" s="21"/>
      <c r="BH271" s="1949"/>
      <c r="BI271" s="1949"/>
      <c r="BJ271" s="515"/>
    </row>
    <row r="272" spans="14:62" s="20" customFormat="1" ht="14.25">
      <c r="N272" s="2144"/>
      <c r="Q272" s="847"/>
      <c r="R272" s="1947"/>
      <c r="T272" s="2122"/>
      <c r="U272" s="2122"/>
      <c r="V272" s="1948"/>
      <c r="W272" s="1948"/>
      <c r="X272" s="1948"/>
      <c r="Y272" s="2511"/>
      <c r="Z272" s="1948"/>
      <c r="AA272" s="1948"/>
      <c r="AZ272" s="2550"/>
      <c r="BE272" s="2122"/>
      <c r="BF272" s="21"/>
      <c r="BG272" s="21"/>
      <c r="BH272" s="1949"/>
      <c r="BI272" s="1949"/>
      <c r="BJ272" s="515"/>
    </row>
    <row r="273" spans="14:62" s="20" customFormat="1" ht="14.25">
      <c r="N273" s="2144"/>
      <c r="Q273" s="847"/>
      <c r="R273" s="1947"/>
      <c r="T273" s="2122"/>
      <c r="U273" s="2122"/>
      <c r="V273" s="1948"/>
      <c r="W273" s="1948"/>
      <c r="X273" s="1948"/>
      <c r="Y273" s="2511"/>
      <c r="Z273" s="1948"/>
      <c r="AA273" s="1948"/>
      <c r="AZ273" s="2550"/>
      <c r="BE273" s="2122"/>
      <c r="BF273" s="21"/>
      <c r="BG273" s="21"/>
      <c r="BH273" s="1949"/>
      <c r="BI273" s="1949"/>
      <c r="BJ273" s="515"/>
    </row>
    <row r="274" spans="14:62" s="20" customFormat="1" ht="14.25">
      <c r="N274" s="2144"/>
      <c r="Q274" s="847"/>
      <c r="R274" s="1947"/>
      <c r="T274" s="2122"/>
      <c r="U274" s="2122"/>
      <c r="V274" s="1948"/>
      <c r="W274" s="1948"/>
      <c r="X274" s="1948"/>
      <c r="Y274" s="2511"/>
      <c r="Z274" s="1948"/>
      <c r="AA274" s="1948"/>
      <c r="AZ274" s="2550"/>
      <c r="BE274" s="2122"/>
      <c r="BF274" s="21"/>
      <c r="BG274" s="21"/>
      <c r="BH274" s="1949"/>
      <c r="BI274" s="1949"/>
      <c r="BJ274" s="515"/>
    </row>
    <row r="275" spans="14:62" s="20" customFormat="1" ht="14.25">
      <c r="N275" s="2144"/>
      <c r="Q275" s="847"/>
      <c r="R275" s="1947"/>
      <c r="T275" s="2122"/>
      <c r="U275" s="2122"/>
      <c r="V275" s="1948"/>
      <c r="W275" s="1948"/>
      <c r="X275" s="1948"/>
      <c r="Y275" s="2511"/>
      <c r="Z275" s="1948"/>
      <c r="AA275" s="1948"/>
      <c r="AZ275" s="2550"/>
      <c r="BE275" s="2122"/>
      <c r="BF275" s="21"/>
      <c r="BG275" s="21"/>
      <c r="BH275" s="1949"/>
      <c r="BI275" s="1949"/>
      <c r="BJ275" s="515"/>
    </row>
    <row r="276" spans="14:62" s="20" customFormat="1" ht="14.25">
      <c r="N276" s="2144"/>
      <c r="Q276" s="847"/>
      <c r="R276" s="1947"/>
      <c r="T276" s="2122"/>
      <c r="U276" s="2122"/>
      <c r="V276" s="1948"/>
      <c r="W276" s="1948"/>
      <c r="X276" s="1948"/>
      <c r="Y276" s="2511"/>
      <c r="Z276" s="1948"/>
      <c r="AA276" s="1948"/>
      <c r="AZ276" s="2550"/>
      <c r="BE276" s="2122"/>
      <c r="BF276" s="21"/>
      <c r="BG276" s="21"/>
      <c r="BH276" s="1949"/>
      <c r="BI276" s="1949"/>
      <c r="BJ276" s="515"/>
    </row>
    <row r="277" spans="14:62" s="20" customFormat="1" ht="14.25">
      <c r="N277" s="2144"/>
      <c r="Q277" s="847"/>
      <c r="R277" s="1947"/>
      <c r="T277" s="2122"/>
      <c r="U277" s="2122"/>
      <c r="V277" s="1948"/>
      <c r="W277" s="1948"/>
      <c r="X277" s="1948"/>
      <c r="Y277" s="2511"/>
      <c r="Z277" s="1948"/>
      <c r="AA277" s="1948"/>
      <c r="AZ277" s="2550"/>
      <c r="BE277" s="2122"/>
      <c r="BF277" s="21"/>
      <c r="BG277" s="21"/>
      <c r="BH277" s="1949"/>
      <c r="BI277" s="1949"/>
      <c r="BJ277" s="515"/>
    </row>
    <row r="278" spans="14:62" s="20" customFormat="1" ht="14.25">
      <c r="N278" s="2144"/>
      <c r="Q278" s="847"/>
      <c r="R278" s="1947"/>
      <c r="T278" s="2122"/>
      <c r="U278" s="2122"/>
      <c r="V278" s="1948"/>
      <c r="W278" s="1948"/>
      <c r="X278" s="1948"/>
      <c r="Y278" s="2511"/>
      <c r="Z278" s="1948"/>
      <c r="AA278" s="1948"/>
      <c r="AZ278" s="2550"/>
      <c r="BE278" s="2122"/>
      <c r="BF278" s="21"/>
      <c r="BG278" s="21"/>
      <c r="BH278" s="1949"/>
      <c r="BI278" s="1949"/>
      <c r="BJ278" s="515"/>
    </row>
    <row r="279" spans="14:62" s="20" customFormat="1" ht="14.25">
      <c r="N279" s="2144"/>
      <c r="Q279" s="847"/>
      <c r="R279" s="1947"/>
      <c r="T279" s="2122"/>
      <c r="U279" s="2122"/>
      <c r="V279" s="1948"/>
      <c r="W279" s="1948"/>
      <c r="X279" s="1948"/>
      <c r="Y279" s="2511"/>
      <c r="Z279" s="1948"/>
      <c r="AA279" s="1948"/>
      <c r="AZ279" s="2550"/>
      <c r="BE279" s="2122"/>
      <c r="BF279" s="21"/>
      <c r="BG279" s="21"/>
      <c r="BH279" s="1949"/>
      <c r="BI279" s="1949"/>
      <c r="BJ279" s="515"/>
    </row>
    <row r="280" spans="14:62" s="20" customFormat="1" ht="14.25">
      <c r="N280" s="2144"/>
      <c r="Q280" s="847"/>
      <c r="R280" s="1947"/>
      <c r="T280" s="2122"/>
      <c r="U280" s="2122"/>
      <c r="V280" s="1948"/>
      <c r="W280" s="1948"/>
      <c r="X280" s="1948"/>
      <c r="Y280" s="2511"/>
      <c r="Z280" s="1948"/>
      <c r="AA280" s="1948"/>
      <c r="AZ280" s="2550"/>
      <c r="BE280" s="2122"/>
      <c r="BF280" s="21"/>
      <c r="BG280" s="21"/>
      <c r="BH280" s="1949"/>
      <c r="BI280" s="1949"/>
      <c r="BJ280" s="515"/>
    </row>
    <row r="281" spans="14:62" s="20" customFormat="1" ht="14.25">
      <c r="N281" s="2144"/>
      <c r="Q281" s="847"/>
      <c r="R281" s="1947"/>
      <c r="T281" s="2122"/>
      <c r="U281" s="2122"/>
      <c r="V281" s="1948"/>
      <c r="W281" s="1948"/>
      <c r="X281" s="1948"/>
      <c r="Y281" s="2511"/>
      <c r="Z281" s="1948"/>
      <c r="AA281" s="1948"/>
      <c r="AZ281" s="2550"/>
      <c r="BE281" s="2122"/>
      <c r="BF281" s="21"/>
      <c r="BG281" s="21"/>
      <c r="BH281" s="1949"/>
      <c r="BI281" s="1949"/>
      <c r="BJ281" s="515"/>
    </row>
    <row r="282" spans="14:62" s="20" customFormat="1" ht="14.25">
      <c r="N282" s="2144"/>
      <c r="Q282" s="847"/>
      <c r="R282" s="1947"/>
      <c r="T282" s="2122"/>
      <c r="U282" s="2122"/>
      <c r="V282" s="1948"/>
      <c r="W282" s="1948"/>
      <c r="X282" s="1948"/>
      <c r="Y282" s="2511"/>
      <c r="Z282" s="1948"/>
      <c r="AA282" s="1948"/>
      <c r="AZ282" s="2550"/>
      <c r="BE282" s="2122"/>
      <c r="BF282" s="21"/>
      <c r="BG282" s="21"/>
      <c r="BH282" s="1949"/>
      <c r="BI282" s="1949"/>
      <c r="BJ282" s="515"/>
    </row>
    <row r="283" spans="14:62" s="20" customFormat="1" ht="14.25">
      <c r="N283" s="2144"/>
      <c r="Q283" s="847"/>
      <c r="R283" s="1947"/>
      <c r="T283" s="2122"/>
      <c r="U283" s="2122"/>
      <c r="V283" s="1948"/>
      <c r="W283" s="1948"/>
      <c r="X283" s="1948"/>
      <c r="Y283" s="2511"/>
      <c r="Z283" s="1948"/>
      <c r="AA283" s="1948"/>
      <c r="AZ283" s="2550"/>
      <c r="BE283" s="2122"/>
      <c r="BF283" s="21"/>
      <c r="BG283" s="21"/>
      <c r="BH283" s="1949"/>
      <c r="BI283" s="1949"/>
      <c r="BJ283" s="515"/>
    </row>
    <row r="284" spans="14:62" s="20" customFormat="1" ht="14.25">
      <c r="N284" s="2144"/>
      <c r="Q284" s="847"/>
      <c r="R284" s="1947"/>
      <c r="T284" s="2122"/>
      <c r="U284" s="2122"/>
      <c r="V284" s="1948"/>
      <c r="W284" s="1948"/>
      <c r="X284" s="1948"/>
      <c r="Y284" s="2511"/>
      <c r="Z284" s="1948"/>
      <c r="AA284" s="1948"/>
      <c r="AZ284" s="2550"/>
      <c r="BE284" s="2122"/>
      <c r="BF284" s="21"/>
      <c r="BG284" s="21"/>
      <c r="BH284" s="1949"/>
      <c r="BI284" s="1949"/>
      <c r="BJ284" s="515"/>
    </row>
    <row r="285" spans="14:62" s="20" customFormat="1" ht="14.25">
      <c r="N285" s="2144"/>
      <c r="Q285" s="847"/>
      <c r="R285" s="1947"/>
      <c r="T285" s="2122"/>
      <c r="U285" s="2122"/>
      <c r="V285" s="1948"/>
      <c r="W285" s="1948"/>
      <c r="X285" s="1948"/>
      <c r="Y285" s="2511"/>
      <c r="Z285" s="1948"/>
      <c r="AA285" s="1948"/>
      <c r="AZ285" s="2550"/>
      <c r="BE285" s="2122"/>
      <c r="BF285" s="21"/>
      <c r="BG285" s="21"/>
      <c r="BH285" s="1949"/>
      <c r="BI285" s="1949"/>
      <c r="BJ285" s="515"/>
    </row>
    <row r="286" spans="14:62" s="20" customFormat="1" ht="14.25">
      <c r="N286" s="2144"/>
      <c r="Q286" s="847"/>
      <c r="R286" s="1947"/>
      <c r="T286" s="2122"/>
      <c r="U286" s="2122"/>
      <c r="V286" s="1948"/>
      <c r="W286" s="1948"/>
      <c r="X286" s="1948"/>
      <c r="Y286" s="2511"/>
      <c r="Z286" s="1948"/>
      <c r="AA286" s="1948"/>
      <c r="AZ286" s="2550"/>
      <c r="BE286" s="2122"/>
      <c r="BF286" s="21"/>
      <c r="BG286" s="21"/>
      <c r="BH286" s="1949"/>
      <c r="BI286" s="1949"/>
      <c r="BJ286" s="515"/>
    </row>
    <row r="287" spans="14:62" s="20" customFormat="1" ht="14.25">
      <c r="N287" s="2144"/>
      <c r="Q287" s="847"/>
      <c r="R287" s="1947"/>
      <c r="T287" s="2122"/>
      <c r="U287" s="2122"/>
      <c r="V287" s="1948"/>
      <c r="W287" s="1948"/>
      <c r="X287" s="1948"/>
      <c r="Y287" s="2511"/>
      <c r="Z287" s="1948"/>
      <c r="AA287" s="1948"/>
      <c r="AZ287" s="2550"/>
      <c r="BE287" s="2122"/>
      <c r="BF287" s="21"/>
      <c r="BG287" s="21"/>
      <c r="BH287" s="1949"/>
      <c r="BI287" s="1949"/>
      <c r="BJ287" s="515"/>
    </row>
    <row r="288" spans="14:62" s="20" customFormat="1" ht="14.25">
      <c r="N288" s="2144"/>
      <c r="Q288" s="847"/>
      <c r="R288" s="1947"/>
      <c r="T288" s="2122"/>
      <c r="U288" s="2122"/>
      <c r="V288" s="1948"/>
      <c r="W288" s="1948"/>
      <c r="X288" s="1948"/>
      <c r="Y288" s="2511"/>
      <c r="Z288" s="1948"/>
      <c r="AA288" s="1948"/>
      <c r="AZ288" s="2550"/>
      <c r="BE288" s="2122"/>
      <c r="BF288" s="21"/>
      <c r="BG288" s="21"/>
      <c r="BH288" s="1949"/>
      <c r="BI288" s="1949"/>
      <c r="BJ288" s="515"/>
    </row>
    <row r="289" spans="14:62" s="20" customFormat="1" ht="14.25">
      <c r="N289" s="2144"/>
      <c r="Q289" s="847"/>
      <c r="R289" s="1947"/>
      <c r="T289" s="2122"/>
      <c r="U289" s="2122"/>
      <c r="V289" s="1948"/>
      <c r="W289" s="1948"/>
      <c r="X289" s="1948"/>
      <c r="Y289" s="2511"/>
      <c r="Z289" s="1948"/>
      <c r="AA289" s="1948"/>
      <c r="AZ289" s="2550"/>
      <c r="BE289" s="2122"/>
      <c r="BF289" s="21"/>
      <c r="BG289" s="21"/>
      <c r="BH289" s="1949"/>
      <c r="BI289" s="1949"/>
      <c r="BJ289" s="515"/>
    </row>
    <row r="290" spans="14:62" s="20" customFormat="1" ht="14.25">
      <c r="N290" s="2144"/>
      <c r="Q290" s="847"/>
      <c r="R290" s="1947"/>
      <c r="T290" s="2122"/>
      <c r="U290" s="2122"/>
      <c r="V290" s="1948"/>
      <c r="W290" s="1948"/>
      <c r="X290" s="1948"/>
      <c r="Y290" s="2511"/>
      <c r="Z290" s="1948"/>
      <c r="AA290" s="1948"/>
      <c r="AZ290" s="2550"/>
      <c r="BE290" s="2122"/>
      <c r="BF290" s="21"/>
      <c r="BG290" s="21"/>
      <c r="BH290" s="1949"/>
      <c r="BI290" s="1949"/>
      <c r="BJ290" s="515"/>
    </row>
    <row r="291" spans="14:62" s="20" customFormat="1" ht="14.25">
      <c r="N291" s="2144"/>
      <c r="Q291" s="847"/>
      <c r="R291" s="1947"/>
      <c r="T291" s="2122"/>
      <c r="U291" s="2122"/>
      <c r="V291" s="1948"/>
      <c r="W291" s="1948"/>
      <c r="X291" s="1948"/>
      <c r="Y291" s="2511"/>
      <c r="Z291" s="1948"/>
      <c r="AA291" s="1948"/>
      <c r="AZ291" s="2550"/>
      <c r="BE291" s="2122"/>
      <c r="BF291" s="21"/>
      <c r="BG291" s="21"/>
      <c r="BH291" s="1949"/>
      <c r="BI291" s="1949"/>
      <c r="BJ291" s="515"/>
    </row>
    <row r="292" spans="14:62" s="20" customFormat="1" ht="14.25">
      <c r="N292" s="2144"/>
      <c r="Q292" s="847"/>
      <c r="R292" s="1947"/>
      <c r="T292" s="2122"/>
      <c r="U292" s="2122"/>
      <c r="V292" s="1948"/>
      <c r="W292" s="1948"/>
      <c r="X292" s="1948"/>
      <c r="Y292" s="2511"/>
      <c r="Z292" s="1948"/>
      <c r="AA292" s="1948"/>
      <c r="AZ292" s="2550"/>
      <c r="BE292" s="2122"/>
      <c r="BF292" s="21"/>
      <c r="BG292" s="21"/>
      <c r="BH292" s="1949"/>
      <c r="BI292" s="1949"/>
      <c r="BJ292" s="515"/>
    </row>
    <row r="293" spans="14:62" s="20" customFormat="1" ht="14.25">
      <c r="N293" s="2144"/>
      <c r="Q293" s="847"/>
      <c r="R293" s="1947"/>
      <c r="T293" s="2122"/>
      <c r="U293" s="2122"/>
      <c r="V293" s="1948"/>
      <c r="W293" s="1948"/>
      <c r="X293" s="1948"/>
      <c r="Y293" s="2511"/>
      <c r="Z293" s="1948"/>
      <c r="AA293" s="1948"/>
      <c r="AZ293" s="2550"/>
      <c r="BE293" s="2122"/>
      <c r="BF293" s="21"/>
      <c r="BG293" s="21"/>
      <c r="BH293" s="1949"/>
      <c r="BI293" s="1949"/>
      <c r="BJ293" s="515"/>
    </row>
    <row r="294" spans="14:62" s="20" customFormat="1" ht="14.25">
      <c r="N294" s="2144"/>
      <c r="Q294" s="847"/>
      <c r="R294" s="1947"/>
      <c r="T294" s="2122"/>
      <c r="U294" s="2122"/>
      <c r="V294" s="1948"/>
      <c r="W294" s="1948"/>
      <c r="X294" s="1948"/>
      <c r="Y294" s="2511"/>
      <c r="Z294" s="1948"/>
      <c r="AA294" s="1948"/>
      <c r="AZ294" s="2550"/>
      <c r="BE294" s="2122"/>
      <c r="BF294" s="21"/>
      <c r="BG294" s="21"/>
      <c r="BH294" s="1949"/>
      <c r="BI294" s="1949"/>
      <c r="BJ294" s="515"/>
    </row>
    <row r="295" spans="14:62" s="20" customFormat="1" ht="14.25">
      <c r="N295" s="2144"/>
      <c r="Q295" s="847"/>
      <c r="R295" s="1947"/>
      <c r="T295" s="2122"/>
      <c r="U295" s="2122"/>
      <c r="V295" s="1948"/>
      <c r="W295" s="1948"/>
      <c r="X295" s="1948"/>
      <c r="Y295" s="2511"/>
      <c r="Z295" s="1948"/>
      <c r="AA295" s="1948"/>
      <c r="AZ295" s="2550"/>
      <c r="BE295" s="2122"/>
      <c r="BF295" s="21"/>
      <c r="BG295" s="21"/>
      <c r="BH295" s="1949"/>
      <c r="BI295" s="1949"/>
      <c r="BJ295" s="515"/>
    </row>
    <row r="296" spans="14:62" s="20" customFormat="1" ht="14.25">
      <c r="N296" s="2144"/>
      <c r="Q296" s="847"/>
      <c r="R296" s="1947"/>
      <c r="T296" s="2122"/>
      <c r="U296" s="2122"/>
      <c r="V296" s="1948"/>
      <c r="W296" s="1948"/>
      <c r="X296" s="1948"/>
      <c r="Y296" s="2511"/>
      <c r="Z296" s="1948"/>
      <c r="AA296" s="1948"/>
      <c r="AZ296" s="2550"/>
      <c r="BE296" s="2122"/>
      <c r="BF296" s="21"/>
      <c r="BG296" s="21"/>
      <c r="BH296" s="1949"/>
      <c r="BI296" s="1949"/>
      <c r="BJ296" s="515"/>
    </row>
    <row r="297" spans="14:62" s="20" customFormat="1" ht="14.25">
      <c r="N297" s="2144"/>
      <c r="Q297" s="847"/>
      <c r="R297" s="1947"/>
      <c r="T297" s="2122"/>
      <c r="U297" s="2122"/>
      <c r="V297" s="1948"/>
      <c r="W297" s="1948"/>
      <c r="X297" s="1948"/>
      <c r="Y297" s="2511"/>
      <c r="Z297" s="1948"/>
      <c r="AA297" s="1948"/>
      <c r="AZ297" s="2550"/>
      <c r="BE297" s="2122"/>
      <c r="BF297" s="21"/>
      <c r="BG297" s="21"/>
      <c r="BH297" s="1949"/>
      <c r="BI297" s="1949"/>
      <c r="BJ297" s="515"/>
    </row>
    <row r="298" spans="14:62" s="20" customFormat="1" ht="14.25">
      <c r="N298" s="2144"/>
      <c r="Q298" s="847"/>
      <c r="R298" s="1947"/>
      <c r="T298" s="2122"/>
      <c r="U298" s="2122"/>
      <c r="V298" s="1948"/>
      <c r="W298" s="1948"/>
      <c r="X298" s="1948"/>
      <c r="Y298" s="2511"/>
      <c r="Z298" s="1948"/>
      <c r="AA298" s="1948"/>
      <c r="AZ298" s="2550"/>
      <c r="BE298" s="2122"/>
      <c r="BF298" s="21"/>
      <c r="BG298" s="21"/>
      <c r="BH298" s="1949"/>
      <c r="BI298" s="1949"/>
      <c r="BJ298" s="515"/>
    </row>
    <row r="299" spans="14:62" s="20" customFormat="1" ht="14.25">
      <c r="N299" s="2144"/>
      <c r="Q299" s="847"/>
      <c r="R299" s="1947"/>
      <c r="T299" s="2122"/>
      <c r="U299" s="2122"/>
      <c r="V299" s="1948"/>
      <c r="W299" s="1948"/>
      <c r="X299" s="1948"/>
      <c r="Y299" s="2511"/>
      <c r="Z299" s="1948"/>
      <c r="AA299" s="1948"/>
      <c r="AZ299" s="2550"/>
      <c r="BE299" s="2122"/>
      <c r="BF299" s="21"/>
      <c r="BG299" s="21"/>
      <c r="BH299" s="1949"/>
      <c r="BI299" s="1949"/>
      <c r="BJ299" s="515"/>
    </row>
    <row r="300" spans="14:62" s="20" customFormat="1" ht="14.25">
      <c r="N300" s="2144"/>
      <c r="Q300" s="847"/>
      <c r="R300" s="1947"/>
      <c r="T300" s="2122"/>
      <c r="U300" s="2122"/>
      <c r="V300" s="1948"/>
      <c r="W300" s="1948"/>
      <c r="X300" s="1948"/>
      <c r="Y300" s="2511"/>
      <c r="Z300" s="1948"/>
      <c r="AA300" s="1948"/>
      <c r="AZ300" s="2550"/>
      <c r="BE300" s="2122"/>
      <c r="BF300" s="21"/>
      <c r="BG300" s="21"/>
      <c r="BH300" s="1949"/>
      <c r="BI300" s="1949"/>
      <c r="BJ300" s="515"/>
    </row>
    <row r="301" spans="14:62" s="20" customFormat="1" ht="14.25">
      <c r="N301" s="2144"/>
      <c r="Q301" s="847"/>
      <c r="R301" s="1947"/>
      <c r="T301" s="2122"/>
      <c r="U301" s="2122"/>
      <c r="V301" s="1948"/>
      <c r="W301" s="1948"/>
      <c r="X301" s="1948"/>
      <c r="Y301" s="2511"/>
      <c r="Z301" s="1948"/>
      <c r="AA301" s="1948"/>
      <c r="AZ301" s="2550"/>
      <c r="BE301" s="2122"/>
      <c r="BF301" s="21"/>
      <c r="BG301" s="21"/>
      <c r="BH301" s="1949"/>
      <c r="BI301" s="1949"/>
      <c r="BJ301" s="515"/>
    </row>
    <row r="302" spans="14:62" s="20" customFormat="1" ht="14.25">
      <c r="N302" s="2144"/>
      <c r="Q302" s="847"/>
      <c r="R302" s="1947"/>
      <c r="T302" s="2122"/>
      <c r="U302" s="2122"/>
      <c r="V302" s="1948"/>
      <c r="W302" s="1948"/>
      <c r="X302" s="1948"/>
      <c r="Y302" s="2511"/>
      <c r="Z302" s="1948"/>
      <c r="AA302" s="1948"/>
      <c r="AZ302" s="2550"/>
      <c r="BE302" s="2122"/>
      <c r="BF302" s="21"/>
      <c r="BG302" s="21"/>
      <c r="BH302" s="1949"/>
      <c r="BI302" s="1949"/>
      <c r="BJ302" s="515"/>
    </row>
    <row r="303" spans="14:62" s="20" customFormat="1" ht="14.25">
      <c r="N303" s="2144"/>
      <c r="Q303" s="847"/>
      <c r="R303" s="1947"/>
      <c r="T303" s="2122"/>
      <c r="U303" s="2122"/>
      <c r="V303" s="1948"/>
      <c r="W303" s="1948"/>
      <c r="X303" s="1948"/>
      <c r="Y303" s="2511"/>
      <c r="Z303" s="1948"/>
      <c r="AA303" s="1948"/>
      <c r="AZ303" s="2550"/>
      <c r="BE303" s="2122"/>
      <c r="BF303" s="21"/>
      <c r="BG303" s="21"/>
      <c r="BH303" s="1949"/>
      <c r="BI303" s="1949"/>
      <c r="BJ303" s="515"/>
    </row>
    <row r="304" spans="14:62" s="20" customFormat="1" ht="14.25">
      <c r="N304" s="2144"/>
      <c r="Q304" s="847"/>
      <c r="R304" s="1947"/>
      <c r="T304" s="2122"/>
      <c r="U304" s="2122"/>
      <c r="V304" s="1948"/>
      <c r="W304" s="1948"/>
      <c r="X304" s="1948"/>
      <c r="Y304" s="2511"/>
      <c r="Z304" s="1948"/>
      <c r="AA304" s="1948"/>
      <c r="AZ304" s="2550"/>
      <c r="BE304" s="2122"/>
      <c r="BF304" s="21"/>
      <c r="BG304" s="21"/>
      <c r="BH304" s="1949"/>
      <c r="BI304" s="1949"/>
      <c r="BJ304" s="515"/>
    </row>
    <row r="305" spans="14:62" s="20" customFormat="1" ht="14.25">
      <c r="N305" s="2144"/>
      <c r="Q305" s="847"/>
      <c r="R305" s="1947"/>
      <c r="T305" s="2122"/>
      <c r="U305" s="2122"/>
      <c r="V305" s="1948"/>
      <c r="W305" s="1948"/>
      <c r="X305" s="1948"/>
      <c r="Y305" s="2511"/>
      <c r="Z305" s="1948"/>
      <c r="AA305" s="1948"/>
      <c r="AZ305" s="2550"/>
      <c r="BE305" s="2122"/>
      <c r="BF305" s="21"/>
      <c r="BG305" s="21"/>
      <c r="BH305" s="1949"/>
      <c r="BI305" s="1949"/>
      <c r="BJ305" s="515"/>
    </row>
    <row r="306" spans="14:62" s="20" customFormat="1" ht="14.25">
      <c r="N306" s="2144"/>
      <c r="Q306" s="847"/>
      <c r="R306" s="1947"/>
      <c r="T306" s="2122"/>
      <c r="U306" s="2122"/>
      <c r="V306" s="1948"/>
      <c r="W306" s="1948"/>
      <c r="X306" s="1948"/>
      <c r="Y306" s="2511"/>
      <c r="Z306" s="1948"/>
      <c r="AA306" s="1948"/>
      <c r="AZ306" s="2550"/>
      <c r="BE306" s="2122"/>
      <c r="BF306" s="21"/>
      <c r="BG306" s="21"/>
      <c r="BH306" s="1949"/>
      <c r="BI306" s="1949"/>
      <c r="BJ306" s="515"/>
    </row>
    <row r="307" spans="14:62" s="20" customFormat="1" ht="14.25">
      <c r="N307" s="2144"/>
      <c r="Q307" s="847"/>
      <c r="R307" s="1947"/>
      <c r="T307" s="2122"/>
      <c r="U307" s="2122"/>
      <c r="V307" s="1948"/>
      <c r="W307" s="1948"/>
      <c r="X307" s="1948"/>
      <c r="Y307" s="2511"/>
      <c r="Z307" s="1948"/>
      <c r="AA307" s="1948"/>
      <c r="AZ307" s="2550"/>
      <c r="BE307" s="2122"/>
      <c r="BF307" s="21"/>
      <c r="BG307" s="21"/>
      <c r="BH307" s="1949"/>
      <c r="BI307" s="1949"/>
      <c r="BJ307" s="515"/>
    </row>
    <row r="308" spans="14:62" s="20" customFormat="1" ht="14.25">
      <c r="N308" s="2144"/>
      <c r="Q308" s="847"/>
      <c r="R308" s="1947"/>
      <c r="T308" s="2122"/>
      <c r="U308" s="2122"/>
      <c r="V308" s="1948"/>
      <c r="W308" s="1948"/>
      <c r="X308" s="1948"/>
      <c r="Y308" s="2511"/>
      <c r="Z308" s="1948"/>
      <c r="AA308" s="1948"/>
      <c r="AZ308" s="2550"/>
      <c r="BE308" s="2122"/>
      <c r="BF308" s="21"/>
      <c r="BG308" s="21"/>
      <c r="BH308" s="1949"/>
      <c r="BI308" s="1949"/>
      <c r="BJ308" s="515"/>
    </row>
    <row r="309" spans="14:62" s="20" customFormat="1" ht="14.25">
      <c r="N309" s="2144"/>
      <c r="Q309" s="847"/>
      <c r="R309" s="1947"/>
      <c r="T309" s="2122"/>
      <c r="U309" s="2122"/>
      <c r="V309" s="1948"/>
      <c r="W309" s="1948"/>
      <c r="X309" s="1948"/>
      <c r="Y309" s="2511"/>
      <c r="Z309" s="1948"/>
      <c r="AA309" s="1948"/>
      <c r="AZ309" s="2550"/>
      <c r="BE309" s="2122"/>
      <c r="BF309" s="21"/>
      <c r="BG309" s="21"/>
      <c r="BH309" s="1949"/>
      <c r="BI309" s="1949"/>
      <c r="BJ309" s="515"/>
    </row>
    <row r="310" spans="14:62" s="20" customFormat="1" ht="14.25">
      <c r="N310" s="2144"/>
      <c r="Q310" s="847"/>
      <c r="R310" s="1947"/>
      <c r="T310" s="2122"/>
      <c r="U310" s="2122"/>
      <c r="V310" s="1948"/>
      <c r="W310" s="1948"/>
      <c r="X310" s="1948"/>
      <c r="Y310" s="2511"/>
      <c r="Z310" s="1948"/>
      <c r="AA310" s="1948"/>
      <c r="AZ310" s="2550"/>
      <c r="BE310" s="2122"/>
      <c r="BF310" s="21"/>
      <c r="BG310" s="21"/>
      <c r="BH310" s="1949"/>
      <c r="BI310" s="1949"/>
      <c r="BJ310" s="515"/>
    </row>
    <row r="311" spans="14:62" s="20" customFormat="1" ht="14.25">
      <c r="N311" s="2144"/>
      <c r="Q311" s="847"/>
      <c r="R311" s="1947"/>
      <c r="T311" s="2122"/>
      <c r="U311" s="2122"/>
      <c r="V311" s="1948"/>
      <c r="W311" s="1948"/>
      <c r="X311" s="1948"/>
      <c r="Y311" s="2511"/>
      <c r="Z311" s="1948"/>
      <c r="AA311" s="1948"/>
      <c r="AZ311" s="2550"/>
      <c r="BE311" s="2122"/>
      <c r="BF311" s="21"/>
      <c r="BG311" s="21"/>
      <c r="BH311" s="1949"/>
      <c r="BI311" s="1949"/>
      <c r="BJ311" s="515"/>
    </row>
    <row r="312" spans="14:62" s="20" customFormat="1" ht="14.25">
      <c r="N312" s="2144"/>
      <c r="Q312" s="847"/>
      <c r="R312" s="1947"/>
      <c r="T312" s="2122"/>
      <c r="U312" s="2122"/>
      <c r="V312" s="1948"/>
      <c r="W312" s="1948"/>
      <c r="X312" s="1948"/>
      <c r="Y312" s="2511"/>
      <c r="Z312" s="1948"/>
      <c r="AA312" s="1948"/>
      <c r="AZ312" s="2550"/>
      <c r="BE312" s="2122"/>
      <c r="BF312" s="21"/>
      <c r="BG312" s="21"/>
      <c r="BH312" s="1949"/>
      <c r="BI312" s="1949"/>
      <c r="BJ312" s="515"/>
    </row>
    <row r="313" spans="14:62" s="20" customFormat="1" ht="14.25">
      <c r="N313" s="2144"/>
      <c r="Q313" s="847"/>
      <c r="R313" s="1947"/>
      <c r="T313" s="2122"/>
      <c r="U313" s="2122"/>
      <c r="V313" s="1948"/>
      <c r="W313" s="1948"/>
      <c r="X313" s="1948"/>
      <c r="Y313" s="2511"/>
      <c r="Z313" s="1948"/>
      <c r="AA313" s="1948"/>
      <c r="AZ313" s="2550"/>
      <c r="BE313" s="2122"/>
      <c r="BF313" s="21"/>
      <c r="BG313" s="21"/>
      <c r="BH313" s="1949"/>
      <c r="BI313" s="1949"/>
      <c r="BJ313" s="515"/>
    </row>
    <row r="314" spans="14:62" s="20" customFormat="1" ht="14.25">
      <c r="N314" s="2144"/>
      <c r="Q314" s="847"/>
      <c r="R314" s="1947"/>
      <c r="T314" s="2122"/>
      <c r="U314" s="2122"/>
      <c r="V314" s="1948"/>
      <c r="W314" s="1948"/>
      <c r="X314" s="1948"/>
      <c r="Y314" s="2511"/>
      <c r="Z314" s="1948"/>
      <c r="AA314" s="1948"/>
      <c r="AZ314" s="2550"/>
      <c r="BE314" s="2122"/>
      <c r="BF314" s="21"/>
      <c r="BG314" s="21"/>
      <c r="BH314" s="1949"/>
      <c r="BI314" s="1949"/>
      <c r="BJ314" s="515"/>
    </row>
    <row r="315" spans="14:62" s="20" customFormat="1" ht="14.25">
      <c r="N315" s="2144"/>
      <c r="Q315" s="847"/>
      <c r="R315" s="1947"/>
      <c r="T315" s="2122"/>
      <c r="U315" s="2122"/>
      <c r="V315" s="1948"/>
      <c r="W315" s="1948"/>
      <c r="X315" s="1948"/>
      <c r="Y315" s="2511"/>
      <c r="Z315" s="1948"/>
      <c r="AA315" s="1948"/>
      <c r="AZ315" s="2550"/>
      <c r="BE315" s="2122"/>
      <c r="BF315" s="21"/>
      <c r="BG315" s="21"/>
      <c r="BH315" s="1949"/>
      <c r="BI315" s="1949"/>
      <c r="BJ315" s="515"/>
    </row>
    <row r="316" spans="14:62" s="20" customFormat="1" ht="14.25">
      <c r="N316" s="2144"/>
      <c r="Q316" s="847"/>
      <c r="R316" s="1947"/>
      <c r="T316" s="2122"/>
      <c r="U316" s="2122"/>
      <c r="V316" s="1948"/>
      <c r="W316" s="1948"/>
      <c r="X316" s="1948"/>
      <c r="Y316" s="2511"/>
      <c r="Z316" s="1948"/>
      <c r="AA316" s="1948"/>
      <c r="AZ316" s="2550"/>
      <c r="BE316" s="2122"/>
      <c r="BF316" s="21"/>
      <c r="BG316" s="21"/>
      <c r="BH316" s="1949"/>
      <c r="BI316" s="1949"/>
      <c r="BJ316" s="515"/>
    </row>
    <row r="317" spans="14:62" s="20" customFormat="1" ht="14.25">
      <c r="N317" s="2144"/>
      <c r="Q317" s="847"/>
      <c r="R317" s="1947"/>
      <c r="T317" s="2122"/>
      <c r="U317" s="2122"/>
      <c r="V317" s="1948"/>
      <c r="W317" s="1948"/>
      <c r="X317" s="1948"/>
      <c r="Y317" s="2511"/>
      <c r="Z317" s="1948"/>
      <c r="AA317" s="1948"/>
      <c r="AZ317" s="2550"/>
      <c r="BE317" s="2122"/>
      <c r="BF317" s="21"/>
      <c r="BG317" s="21"/>
      <c r="BH317" s="1949"/>
      <c r="BI317" s="1949"/>
      <c r="BJ317" s="515"/>
    </row>
    <row r="318" spans="14:62" s="20" customFormat="1" ht="14.25">
      <c r="N318" s="2144"/>
      <c r="Q318" s="847"/>
      <c r="R318" s="1947"/>
      <c r="T318" s="2122"/>
      <c r="U318" s="2122"/>
      <c r="V318" s="1948"/>
      <c r="W318" s="1948"/>
      <c r="X318" s="1948"/>
      <c r="Y318" s="2511"/>
      <c r="Z318" s="1948"/>
      <c r="AA318" s="1948"/>
      <c r="AZ318" s="2550"/>
      <c r="BE318" s="2122"/>
      <c r="BF318" s="21"/>
      <c r="BG318" s="21"/>
      <c r="BH318" s="1949"/>
      <c r="BI318" s="1949"/>
      <c r="BJ318" s="515"/>
    </row>
    <row r="319" spans="14:62" s="20" customFormat="1" ht="14.25">
      <c r="N319" s="2144"/>
      <c r="Q319" s="847"/>
      <c r="R319" s="1947"/>
      <c r="T319" s="2122"/>
      <c r="U319" s="2122"/>
      <c r="V319" s="1948"/>
      <c r="W319" s="1948"/>
      <c r="X319" s="1948"/>
      <c r="Y319" s="2511"/>
      <c r="Z319" s="1948"/>
      <c r="AA319" s="1948"/>
      <c r="AZ319" s="2550"/>
      <c r="BE319" s="2122"/>
      <c r="BF319" s="21"/>
      <c r="BG319" s="21"/>
      <c r="BH319" s="1949"/>
      <c r="BI319" s="1949"/>
      <c r="BJ319" s="515"/>
    </row>
    <row r="320" spans="14:62" s="20" customFormat="1" ht="14.25">
      <c r="N320" s="2144"/>
      <c r="Q320" s="847"/>
      <c r="R320" s="1947"/>
      <c r="T320" s="2122"/>
      <c r="U320" s="2122"/>
      <c r="V320" s="1948"/>
      <c r="W320" s="1948"/>
      <c r="X320" s="1948"/>
      <c r="Y320" s="2511"/>
      <c r="Z320" s="1948"/>
      <c r="AA320" s="1948"/>
      <c r="AZ320" s="2550"/>
      <c r="BE320" s="2122"/>
      <c r="BF320" s="21"/>
      <c r="BG320" s="21"/>
      <c r="BH320" s="1949"/>
      <c r="BI320" s="1949"/>
      <c r="BJ320" s="515"/>
    </row>
    <row r="321" spans="14:62" s="20" customFormat="1" ht="14.25">
      <c r="N321" s="2144"/>
      <c r="Q321" s="847"/>
      <c r="R321" s="1947"/>
      <c r="T321" s="2122"/>
      <c r="U321" s="2122"/>
      <c r="V321" s="1948"/>
      <c r="W321" s="1948"/>
      <c r="X321" s="1948"/>
      <c r="Y321" s="2511"/>
      <c r="Z321" s="1948"/>
      <c r="AA321" s="1948"/>
      <c r="AZ321" s="2550"/>
      <c r="BE321" s="2122"/>
      <c r="BF321" s="21"/>
      <c r="BG321" s="21"/>
      <c r="BH321" s="1949"/>
      <c r="BI321" s="1949"/>
      <c r="BJ321" s="515"/>
    </row>
    <row r="322" spans="14:62" s="20" customFormat="1" ht="14.25">
      <c r="N322" s="2144"/>
      <c r="Q322" s="847"/>
      <c r="R322" s="1947"/>
      <c r="T322" s="2122"/>
      <c r="U322" s="2122"/>
      <c r="V322" s="1948"/>
      <c r="W322" s="1948"/>
      <c r="X322" s="1948"/>
      <c r="Y322" s="2511"/>
      <c r="Z322" s="1948"/>
      <c r="AA322" s="1948"/>
      <c r="AZ322" s="2550"/>
      <c r="BE322" s="2122"/>
      <c r="BF322" s="21"/>
      <c r="BG322" s="21"/>
      <c r="BH322" s="1949"/>
      <c r="BI322" s="1949"/>
      <c r="BJ322" s="515"/>
    </row>
    <row r="323" spans="14:62" s="20" customFormat="1" ht="14.25">
      <c r="N323" s="2144"/>
      <c r="Q323" s="847"/>
      <c r="R323" s="1947"/>
      <c r="T323" s="2122"/>
      <c r="U323" s="2122"/>
      <c r="V323" s="1948"/>
      <c r="W323" s="1948"/>
      <c r="X323" s="1948"/>
      <c r="Y323" s="2511"/>
      <c r="Z323" s="1948"/>
      <c r="AA323" s="1948"/>
      <c r="AZ323" s="2550"/>
      <c r="BE323" s="2122"/>
      <c r="BF323" s="21"/>
      <c r="BG323" s="21"/>
      <c r="BH323" s="1949"/>
      <c r="BI323" s="1949"/>
      <c r="BJ323" s="515"/>
    </row>
    <row r="324" spans="14:62" s="20" customFormat="1" ht="14.25">
      <c r="N324" s="2144"/>
      <c r="Q324" s="847"/>
      <c r="R324" s="1947"/>
      <c r="T324" s="2122"/>
      <c r="U324" s="2122"/>
      <c r="V324" s="1948"/>
      <c r="W324" s="1948"/>
      <c r="X324" s="1948"/>
      <c r="Y324" s="2511"/>
      <c r="Z324" s="1948"/>
      <c r="AA324" s="1948"/>
      <c r="AZ324" s="2550"/>
      <c r="BE324" s="2122"/>
      <c r="BF324" s="21"/>
      <c r="BG324" s="21"/>
      <c r="BH324" s="1949"/>
      <c r="BI324" s="1949"/>
      <c r="BJ324" s="515"/>
    </row>
    <row r="325" spans="14:62" s="20" customFormat="1" ht="14.25">
      <c r="N325" s="2144"/>
      <c r="Q325" s="847"/>
      <c r="R325" s="1947"/>
      <c r="T325" s="2122"/>
      <c r="U325" s="2122"/>
      <c r="V325" s="1948"/>
      <c r="W325" s="1948"/>
      <c r="X325" s="1948"/>
      <c r="Y325" s="2511"/>
      <c r="Z325" s="1948"/>
      <c r="AA325" s="1948"/>
      <c r="AZ325" s="2550"/>
      <c r="BE325" s="2122"/>
      <c r="BF325" s="21"/>
      <c r="BG325" s="21"/>
      <c r="BH325" s="1949"/>
      <c r="BI325" s="1949"/>
      <c r="BJ325" s="515"/>
    </row>
    <row r="326" spans="14:62" s="20" customFormat="1" ht="14.25">
      <c r="N326" s="2144"/>
      <c r="Q326" s="847"/>
      <c r="R326" s="1947"/>
      <c r="T326" s="2122"/>
      <c r="U326" s="2122"/>
      <c r="V326" s="1948"/>
      <c r="W326" s="1948"/>
      <c r="X326" s="1948"/>
      <c r="Y326" s="2511"/>
      <c r="Z326" s="1948"/>
      <c r="AA326" s="1948"/>
      <c r="AZ326" s="2550"/>
      <c r="BE326" s="2122"/>
      <c r="BF326" s="21"/>
      <c r="BG326" s="21"/>
      <c r="BH326" s="1949"/>
      <c r="BI326" s="1949"/>
      <c r="BJ326" s="515"/>
    </row>
    <row r="327" spans="14:62" s="20" customFormat="1" ht="14.25">
      <c r="N327" s="2144"/>
      <c r="Q327" s="847"/>
      <c r="R327" s="1947"/>
      <c r="T327" s="2122"/>
      <c r="U327" s="2122"/>
      <c r="V327" s="1948"/>
      <c r="W327" s="1948"/>
      <c r="X327" s="1948"/>
      <c r="Y327" s="2511"/>
      <c r="Z327" s="1948"/>
      <c r="AA327" s="1948"/>
      <c r="AZ327" s="2550"/>
      <c r="BE327" s="2122"/>
      <c r="BF327" s="21"/>
      <c r="BG327" s="21"/>
      <c r="BH327" s="1949"/>
      <c r="BI327" s="1949"/>
      <c r="BJ327" s="515"/>
    </row>
    <row r="328" spans="14:62" s="20" customFormat="1" ht="14.25">
      <c r="N328" s="2144"/>
      <c r="Q328" s="847"/>
      <c r="R328" s="1947"/>
      <c r="T328" s="2122"/>
      <c r="U328" s="2122"/>
      <c r="V328" s="1948"/>
      <c r="W328" s="1948"/>
      <c r="X328" s="1948"/>
      <c r="Y328" s="2511"/>
      <c r="Z328" s="1948"/>
      <c r="AA328" s="1948"/>
      <c r="AZ328" s="2550"/>
      <c r="BE328" s="2122"/>
      <c r="BF328" s="21"/>
      <c r="BG328" s="21"/>
      <c r="BH328" s="1949"/>
      <c r="BI328" s="1949"/>
      <c r="BJ328" s="515"/>
    </row>
    <row r="329" spans="14:62" s="20" customFormat="1" ht="14.25">
      <c r="N329" s="2144"/>
      <c r="Q329" s="847"/>
      <c r="R329" s="1947"/>
      <c r="T329" s="2122"/>
      <c r="U329" s="2122"/>
      <c r="V329" s="1948"/>
      <c r="W329" s="1948"/>
      <c r="X329" s="1948"/>
      <c r="Y329" s="2511"/>
      <c r="Z329" s="1948"/>
      <c r="AA329" s="1948"/>
      <c r="AZ329" s="2550"/>
      <c r="BE329" s="2122"/>
      <c r="BF329" s="21"/>
      <c r="BG329" s="21"/>
      <c r="BH329" s="1949"/>
      <c r="BI329" s="1949"/>
      <c r="BJ329" s="515"/>
    </row>
    <row r="330" spans="14:62" s="20" customFormat="1" ht="14.25">
      <c r="N330" s="2144"/>
      <c r="Q330" s="847"/>
      <c r="R330" s="1947"/>
      <c r="T330" s="2122"/>
      <c r="U330" s="2122"/>
      <c r="V330" s="1948"/>
      <c r="W330" s="1948"/>
      <c r="X330" s="1948"/>
      <c r="Y330" s="2511"/>
      <c r="Z330" s="1948"/>
      <c r="AA330" s="1948"/>
      <c r="AZ330" s="2550"/>
      <c r="BE330" s="2122"/>
      <c r="BF330" s="21"/>
      <c r="BG330" s="21"/>
      <c r="BH330" s="1949"/>
      <c r="BI330" s="1949"/>
      <c r="BJ330" s="515"/>
    </row>
    <row r="331" spans="14:62" s="20" customFormat="1" ht="14.25">
      <c r="N331" s="2144"/>
      <c r="Q331" s="847"/>
      <c r="R331" s="1947"/>
      <c r="T331" s="2122"/>
      <c r="U331" s="2122"/>
      <c r="V331" s="1948"/>
      <c r="W331" s="1948"/>
      <c r="X331" s="1948"/>
      <c r="Y331" s="2511"/>
      <c r="Z331" s="1948"/>
      <c r="AA331" s="1948"/>
      <c r="AZ331" s="2550"/>
      <c r="BE331" s="2122"/>
      <c r="BF331" s="21"/>
      <c r="BG331" s="21"/>
      <c r="BH331" s="1949"/>
      <c r="BI331" s="1949"/>
      <c r="BJ331" s="515"/>
    </row>
    <row r="332" spans="14:62" s="20" customFormat="1" ht="14.25">
      <c r="N332" s="2144"/>
      <c r="Q332" s="847"/>
      <c r="R332" s="1947"/>
      <c r="T332" s="2122"/>
      <c r="U332" s="2122"/>
      <c r="V332" s="1948"/>
      <c r="W332" s="1948"/>
      <c r="X332" s="1948"/>
      <c r="Y332" s="2511"/>
      <c r="Z332" s="1948"/>
      <c r="AA332" s="1948"/>
      <c r="AZ332" s="2550"/>
      <c r="BE332" s="2122"/>
      <c r="BF332" s="21"/>
      <c r="BG332" s="21"/>
      <c r="BH332" s="1949"/>
      <c r="BI332" s="1949"/>
      <c r="BJ332" s="515"/>
    </row>
    <row r="333" spans="14:62" s="20" customFormat="1" ht="14.25">
      <c r="N333" s="2144"/>
      <c r="Q333" s="847"/>
      <c r="R333" s="1947"/>
      <c r="T333" s="2122"/>
      <c r="U333" s="2122"/>
      <c r="V333" s="1948"/>
      <c r="W333" s="1948"/>
      <c r="X333" s="1948"/>
      <c r="Y333" s="2511"/>
      <c r="Z333" s="1948"/>
      <c r="AA333" s="1948"/>
      <c r="AZ333" s="2550"/>
      <c r="BE333" s="2122"/>
      <c r="BF333" s="21"/>
      <c r="BG333" s="21"/>
      <c r="BH333" s="1949"/>
      <c r="BI333" s="1949"/>
      <c r="BJ333" s="515"/>
    </row>
    <row r="334" spans="14:62" s="20" customFormat="1" ht="14.25">
      <c r="N334" s="2144"/>
      <c r="Q334" s="847"/>
      <c r="R334" s="1947"/>
      <c r="T334" s="2122"/>
      <c r="U334" s="2122"/>
      <c r="V334" s="1948"/>
      <c r="W334" s="1948"/>
      <c r="X334" s="1948"/>
      <c r="Y334" s="2511"/>
      <c r="Z334" s="1948"/>
      <c r="AA334" s="1948"/>
      <c r="AZ334" s="2550"/>
      <c r="BE334" s="2122"/>
      <c r="BF334" s="21"/>
      <c r="BG334" s="21"/>
      <c r="BH334" s="1949"/>
      <c r="BI334" s="1949"/>
      <c r="BJ334" s="515"/>
    </row>
    <row r="335" spans="14:62" s="20" customFormat="1" ht="14.25">
      <c r="N335" s="2144"/>
      <c r="Q335" s="847"/>
      <c r="R335" s="1947"/>
      <c r="T335" s="2122"/>
      <c r="U335" s="2122"/>
      <c r="V335" s="1948"/>
      <c r="W335" s="1948"/>
      <c r="X335" s="1948"/>
      <c r="Y335" s="2511"/>
      <c r="Z335" s="1948"/>
      <c r="AA335" s="1948"/>
      <c r="AZ335" s="2550"/>
      <c r="BE335" s="2122"/>
      <c r="BF335" s="21"/>
      <c r="BG335" s="21"/>
      <c r="BH335" s="1949"/>
      <c r="BI335" s="1949"/>
      <c r="BJ335" s="515"/>
    </row>
    <row r="336" spans="14:62" s="20" customFormat="1" ht="14.25">
      <c r="N336" s="2144"/>
      <c r="Q336" s="847"/>
      <c r="R336" s="1947"/>
      <c r="T336" s="2122"/>
      <c r="U336" s="2122"/>
      <c r="V336" s="1948"/>
      <c r="W336" s="1948"/>
      <c r="X336" s="1948"/>
      <c r="Y336" s="2511"/>
      <c r="Z336" s="1948"/>
      <c r="AA336" s="1948"/>
      <c r="AZ336" s="2550"/>
      <c r="BE336" s="2122"/>
      <c r="BF336" s="21"/>
      <c r="BG336" s="21"/>
      <c r="BH336" s="1949"/>
      <c r="BI336" s="1949"/>
      <c r="BJ336" s="515"/>
    </row>
    <row r="337" spans="14:62" s="20" customFormat="1" ht="14.25">
      <c r="N337" s="2144"/>
      <c r="Q337" s="847"/>
      <c r="R337" s="1947"/>
      <c r="T337" s="2122"/>
      <c r="U337" s="2122"/>
      <c r="V337" s="1948"/>
      <c r="W337" s="1948"/>
      <c r="X337" s="1948"/>
      <c r="Y337" s="2511"/>
      <c r="Z337" s="1948"/>
      <c r="AA337" s="1948"/>
      <c r="AZ337" s="2550"/>
      <c r="BE337" s="2122"/>
      <c r="BF337" s="21"/>
      <c r="BG337" s="21"/>
      <c r="BH337" s="1949"/>
      <c r="BI337" s="1949"/>
      <c r="BJ337" s="515"/>
    </row>
    <row r="338" spans="14:62" s="20" customFormat="1" ht="14.25">
      <c r="N338" s="2144"/>
      <c r="Q338" s="847"/>
      <c r="R338" s="1947"/>
      <c r="T338" s="2122"/>
      <c r="U338" s="2122"/>
      <c r="V338" s="1948"/>
      <c r="W338" s="1948"/>
      <c r="X338" s="1948"/>
      <c r="Y338" s="2511"/>
      <c r="Z338" s="1948"/>
      <c r="AA338" s="1948"/>
      <c r="AZ338" s="2550"/>
      <c r="BE338" s="2122"/>
      <c r="BF338" s="21"/>
      <c r="BG338" s="21"/>
      <c r="BH338" s="1949"/>
      <c r="BI338" s="1949"/>
      <c r="BJ338" s="515"/>
    </row>
    <row r="339" spans="14:62" s="20" customFormat="1" ht="14.25">
      <c r="N339" s="2144"/>
      <c r="Q339" s="847"/>
      <c r="R339" s="1947"/>
      <c r="T339" s="2122"/>
      <c r="U339" s="2122"/>
      <c r="V339" s="1948"/>
      <c r="W339" s="1948"/>
      <c r="X339" s="1948"/>
      <c r="Y339" s="2511"/>
      <c r="Z339" s="1948"/>
      <c r="AA339" s="1948"/>
      <c r="AZ339" s="2550"/>
      <c r="BE339" s="2122"/>
      <c r="BF339" s="21"/>
      <c r="BG339" s="21"/>
      <c r="BH339" s="1949"/>
      <c r="BI339" s="1949"/>
      <c r="BJ339" s="515"/>
    </row>
    <row r="340" spans="14:62" s="20" customFormat="1" ht="14.25">
      <c r="N340" s="2144"/>
      <c r="Q340" s="847"/>
      <c r="R340" s="1947"/>
      <c r="T340" s="2122"/>
      <c r="U340" s="2122"/>
      <c r="V340" s="1948"/>
      <c r="W340" s="1948"/>
      <c r="X340" s="1948"/>
      <c r="Y340" s="2511"/>
      <c r="Z340" s="1948"/>
      <c r="AA340" s="1948"/>
      <c r="AZ340" s="2550"/>
      <c r="BE340" s="2122"/>
      <c r="BF340" s="21"/>
      <c r="BG340" s="21"/>
      <c r="BH340" s="1949"/>
      <c r="BI340" s="1949"/>
      <c r="BJ340" s="515"/>
    </row>
    <row r="341" spans="14:62" s="20" customFormat="1" ht="14.25">
      <c r="N341" s="2144"/>
      <c r="Q341" s="847"/>
      <c r="R341" s="1947"/>
      <c r="T341" s="2122"/>
      <c r="U341" s="2122"/>
      <c r="V341" s="1948"/>
      <c r="W341" s="1948"/>
      <c r="X341" s="1948"/>
      <c r="Y341" s="2511"/>
      <c r="Z341" s="1948"/>
      <c r="AA341" s="1948"/>
      <c r="AZ341" s="2550"/>
      <c r="BE341" s="2122"/>
      <c r="BF341" s="21"/>
      <c r="BG341" s="21"/>
      <c r="BH341" s="1949"/>
      <c r="BI341" s="1949"/>
      <c r="BJ341" s="515"/>
    </row>
    <row r="342" spans="14:62" s="20" customFormat="1" ht="14.25">
      <c r="N342" s="2144"/>
      <c r="Q342" s="847"/>
      <c r="R342" s="1947"/>
      <c r="T342" s="2122"/>
      <c r="U342" s="2122"/>
      <c r="V342" s="1948"/>
      <c r="W342" s="1948"/>
      <c r="X342" s="1948"/>
      <c r="Y342" s="2511"/>
      <c r="Z342" s="1948"/>
      <c r="AA342" s="1948"/>
      <c r="AZ342" s="2550"/>
      <c r="BE342" s="2122"/>
      <c r="BF342" s="21"/>
      <c r="BG342" s="21"/>
      <c r="BH342" s="1949"/>
      <c r="BI342" s="1949"/>
      <c r="BJ342" s="515"/>
    </row>
    <row r="343" spans="14:62" s="20" customFormat="1" ht="14.25">
      <c r="N343" s="2144"/>
      <c r="Q343" s="847"/>
      <c r="R343" s="1947"/>
      <c r="T343" s="2122"/>
      <c r="U343" s="2122"/>
      <c r="V343" s="1948"/>
      <c r="W343" s="1948"/>
      <c r="X343" s="1948"/>
      <c r="Y343" s="2511"/>
      <c r="Z343" s="1948"/>
      <c r="AA343" s="1948"/>
      <c r="AZ343" s="2550"/>
      <c r="BE343" s="2122"/>
      <c r="BF343" s="21"/>
      <c r="BG343" s="21"/>
      <c r="BH343" s="1949"/>
      <c r="BI343" s="1949"/>
      <c r="BJ343" s="515"/>
    </row>
    <row r="344" spans="14:62" s="20" customFormat="1" ht="14.25">
      <c r="N344" s="2144"/>
      <c r="Q344" s="847"/>
      <c r="R344" s="1947"/>
      <c r="T344" s="2122"/>
      <c r="U344" s="2122"/>
      <c r="V344" s="1948"/>
      <c r="W344" s="1948"/>
      <c r="X344" s="1948"/>
      <c r="Y344" s="2511"/>
      <c r="Z344" s="1948"/>
      <c r="AA344" s="1948"/>
      <c r="AZ344" s="2550"/>
      <c r="BE344" s="2122"/>
      <c r="BF344" s="21"/>
      <c r="BG344" s="21"/>
      <c r="BH344" s="1949"/>
      <c r="BI344" s="1949"/>
      <c r="BJ344" s="515"/>
    </row>
    <row r="345" spans="14:62" s="20" customFormat="1" ht="14.25">
      <c r="N345" s="2144"/>
      <c r="Q345" s="847"/>
      <c r="R345" s="1947"/>
      <c r="T345" s="2122"/>
      <c r="U345" s="2122"/>
      <c r="V345" s="1948"/>
      <c r="W345" s="1948"/>
      <c r="X345" s="1948"/>
      <c r="Y345" s="2511"/>
      <c r="Z345" s="1948"/>
      <c r="AA345" s="1948"/>
      <c r="AZ345" s="2550"/>
      <c r="BE345" s="2122"/>
      <c r="BF345" s="21"/>
      <c r="BG345" s="21"/>
      <c r="BH345" s="1949"/>
      <c r="BI345" s="1949"/>
      <c r="BJ345" s="515"/>
    </row>
    <row r="346" spans="14:62" s="20" customFormat="1" ht="14.25">
      <c r="N346" s="2144"/>
      <c r="Q346" s="847"/>
      <c r="R346" s="1947"/>
      <c r="T346" s="2122"/>
      <c r="U346" s="2122"/>
      <c r="V346" s="1948"/>
      <c r="W346" s="1948"/>
      <c r="X346" s="1948"/>
      <c r="Y346" s="2511"/>
      <c r="Z346" s="1948"/>
      <c r="AA346" s="1948"/>
      <c r="AZ346" s="2550"/>
      <c r="BE346" s="2122"/>
      <c r="BF346" s="21"/>
      <c r="BG346" s="21"/>
      <c r="BH346" s="1949"/>
      <c r="BI346" s="1949"/>
      <c r="BJ346" s="515"/>
    </row>
    <row r="347" spans="14:62" s="20" customFormat="1" ht="14.25">
      <c r="N347" s="2144"/>
      <c r="Q347" s="847"/>
      <c r="R347" s="1947"/>
      <c r="T347" s="2122"/>
      <c r="U347" s="2122"/>
      <c r="V347" s="1948"/>
      <c r="W347" s="1948"/>
      <c r="X347" s="1948"/>
      <c r="Y347" s="2511"/>
      <c r="Z347" s="1948"/>
      <c r="AA347" s="1948"/>
      <c r="AZ347" s="2550"/>
      <c r="BE347" s="2122"/>
      <c r="BF347" s="21"/>
      <c r="BG347" s="21"/>
      <c r="BH347" s="1949"/>
      <c r="BI347" s="1949"/>
      <c r="BJ347" s="515"/>
    </row>
    <row r="348" spans="14:62" s="20" customFormat="1" ht="14.25">
      <c r="N348" s="2144"/>
      <c r="Q348" s="847"/>
      <c r="R348" s="1947"/>
      <c r="T348" s="2122"/>
      <c r="U348" s="2122"/>
      <c r="V348" s="1948"/>
      <c r="W348" s="1948"/>
      <c r="X348" s="1948"/>
      <c r="Y348" s="2511"/>
      <c r="Z348" s="1948"/>
      <c r="AA348" s="1948"/>
      <c r="AZ348" s="2550"/>
      <c r="BE348" s="2122"/>
      <c r="BF348" s="21"/>
      <c r="BG348" s="21"/>
      <c r="BH348" s="1949"/>
      <c r="BI348" s="1949"/>
      <c r="BJ348" s="515"/>
    </row>
    <row r="349" spans="14:62" s="20" customFormat="1" ht="14.25">
      <c r="N349" s="2144"/>
      <c r="Q349" s="847"/>
      <c r="R349" s="1947"/>
      <c r="T349" s="2122"/>
      <c r="U349" s="2122"/>
      <c r="V349" s="1948"/>
      <c r="W349" s="1948"/>
      <c r="X349" s="1948"/>
      <c r="Y349" s="2511"/>
      <c r="Z349" s="1948"/>
      <c r="AA349" s="1948"/>
      <c r="AZ349" s="2550"/>
      <c r="BE349" s="2122"/>
      <c r="BF349" s="21"/>
      <c r="BG349" s="21"/>
      <c r="BH349" s="1949"/>
      <c r="BI349" s="1949"/>
      <c r="BJ349" s="515"/>
    </row>
    <row r="350" spans="14:62" s="20" customFormat="1" ht="14.25">
      <c r="N350" s="2144"/>
      <c r="Q350" s="847"/>
      <c r="R350" s="1947"/>
      <c r="T350" s="2122"/>
      <c r="U350" s="2122"/>
      <c r="V350" s="1948"/>
      <c r="W350" s="1948"/>
      <c r="X350" s="1948"/>
      <c r="Y350" s="2511"/>
      <c r="Z350" s="1948"/>
      <c r="AA350" s="1948"/>
      <c r="AZ350" s="2550"/>
      <c r="BE350" s="2122"/>
      <c r="BF350" s="21"/>
      <c r="BG350" s="21"/>
      <c r="BH350" s="1949"/>
      <c r="BI350" s="1949"/>
      <c r="BJ350" s="515"/>
    </row>
    <row r="351" spans="14:62" s="20" customFormat="1" ht="14.25">
      <c r="N351" s="2144"/>
      <c r="Q351" s="847"/>
      <c r="R351" s="1947"/>
      <c r="T351" s="2122"/>
      <c r="U351" s="2122"/>
      <c r="V351" s="1948"/>
      <c r="W351" s="1948"/>
      <c r="X351" s="1948"/>
      <c r="Y351" s="2511"/>
      <c r="Z351" s="1948"/>
      <c r="AA351" s="1948"/>
      <c r="AZ351" s="2550"/>
      <c r="BE351" s="2122"/>
      <c r="BF351" s="21"/>
      <c r="BG351" s="21"/>
      <c r="BH351" s="1949"/>
      <c r="BI351" s="1949"/>
      <c r="BJ351" s="515"/>
    </row>
    <row r="352" spans="14:62" s="20" customFormat="1" ht="14.25">
      <c r="N352" s="2144"/>
      <c r="Q352" s="847"/>
      <c r="R352" s="1947"/>
      <c r="T352" s="2122"/>
      <c r="U352" s="2122"/>
      <c r="V352" s="1948"/>
      <c r="W352" s="1948"/>
      <c r="X352" s="1948"/>
      <c r="Y352" s="2511"/>
      <c r="Z352" s="1948"/>
      <c r="AA352" s="1948"/>
      <c r="AZ352" s="2550"/>
      <c r="BE352" s="2122"/>
      <c r="BF352" s="21"/>
      <c r="BG352" s="21"/>
      <c r="BH352" s="1949"/>
      <c r="BI352" s="1949"/>
      <c r="BJ352" s="515"/>
    </row>
    <row r="353" spans="14:62" s="20" customFormat="1" ht="14.25">
      <c r="N353" s="2144"/>
      <c r="Q353" s="847"/>
      <c r="R353" s="1947"/>
      <c r="T353" s="2122"/>
      <c r="U353" s="2122"/>
      <c r="V353" s="1948"/>
      <c r="W353" s="1948"/>
      <c r="X353" s="1948"/>
      <c r="Y353" s="2511"/>
      <c r="Z353" s="1948"/>
      <c r="AA353" s="1948"/>
      <c r="AZ353" s="2550"/>
      <c r="BE353" s="2122"/>
      <c r="BF353" s="21"/>
      <c r="BG353" s="21"/>
      <c r="BH353" s="1949"/>
      <c r="BI353" s="1949"/>
      <c r="BJ353" s="515"/>
    </row>
    <row r="354" spans="14:62" s="20" customFormat="1" ht="14.25">
      <c r="N354" s="2144"/>
      <c r="Q354" s="847"/>
      <c r="R354" s="1947"/>
      <c r="T354" s="2122"/>
      <c r="U354" s="2122"/>
      <c r="V354" s="1948"/>
      <c r="W354" s="1948"/>
      <c r="X354" s="1948"/>
      <c r="Y354" s="2511"/>
      <c r="Z354" s="1948"/>
      <c r="AA354" s="1948"/>
      <c r="AZ354" s="2550"/>
      <c r="BE354" s="2122"/>
      <c r="BF354" s="21"/>
      <c r="BG354" s="21"/>
      <c r="BH354" s="1949"/>
      <c r="BI354" s="1949"/>
      <c r="BJ354" s="515"/>
    </row>
    <row r="355" spans="14:62" s="20" customFormat="1" ht="14.25">
      <c r="N355" s="2144"/>
      <c r="Q355" s="847"/>
      <c r="R355" s="1947"/>
      <c r="T355" s="2122"/>
      <c r="U355" s="2122"/>
      <c r="V355" s="1948"/>
      <c r="W355" s="1948"/>
      <c r="X355" s="1948"/>
      <c r="Y355" s="2511"/>
      <c r="Z355" s="1948"/>
      <c r="AA355" s="1948"/>
      <c r="AZ355" s="2550"/>
      <c r="BE355" s="2122"/>
      <c r="BF355" s="21"/>
      <c r="BG355" s="21"/>
      <c r="BH355" s="1949"/>
      <c r="BI355" s="1949"/>
      <c r="BJ355" s="515"/>
    </row>
    <row r="356" spans="14:62" s="20" customFormat="1" ht="14.25">
      <c r="N356" s="2144"/>
      <c r="Q356" s="847"/>
      <c r="R356" s="1947"/>
      <c r="T356" s="2122"/>
      <c r="U356" s="2122"/>
      <c r="V356" s="1948"/>
      <c r="W356" s="1948"/>
      <c r="X356" s="1948"/>
      <c r="Y356" s="2511"/>
      <c r="Z356" s="1948"/>
      <c r="AA356" s="1948"/>
      <c r="AZ356" s="2550"/>
      <c r="BE356" s="2122"/>
      <c r="BF356" s="21"/>
      <c r="BG356" s="21"/>
      <c r="BH356" s="1949"/>
      <c r="BI356" s="1949"/>
      <c r="BJ356" s="515"/>
    </row>
    <row r="357" spans="14:62" s="20" customFormat="1" ht="14.25">
      <c r="N357" s="2144"/>
      <c r="Q357" s="847"/>
      <c r="R357" s="1947"/>
      <c r="T357" s="2122"/>
      <c r="U357" s="2122"/>
      <c r="V357" s="1948"/>
      <c r="W357" s="1948"/>
      <c r="X357" s="1948"/>
      <c r="Y357" s="2511"/>
      <c r="Z357" s="1948"/>
      <c r="AA357" s="1948"/>
      <c r="AZ357" s="2550"/>
      <c r="BE357" s="2122"/>
      <c r="BF357" s="21"/>
      <c r="BG357" s="21"/>
      <c r="BH357" s="1949"/>
      <c r="BI357" s="1949"/>
      <c r="BJ357" s="515"/>
    </row>
    <row r="358" spans="14:62" s="20" customFormat="1" ht="14.25">
      <c r="N358" s="2144"/>
      <c r="Q358" s="847"/>
      <c r="R358" s="1947"/>
      <c r="T358" s="2122"/>
      <c r="U358" s="2122"/>
      <c r="V358" s="1948"/>
      <c r="W358" s="1948"/>
      <c r="X358" s="1948"/>
      <c r="Y358" s="2511"/>
      <c r="Z358" s="1948"/>
      <c r="AA358" s="1948"/>
      <c r="AZ358" s="2550"/>
      <c r="BE358" s="2122"/>
      <c r="BF358" s="21"/>
      <c r="BG358" s="21"/>
      <c r="BH358" s="1949"/>
      <c r="BI358" s="1949"/>
      <c r="BJ358" s="515"/>
    </row>
    <row r="359" spans="14:62" s="20" customFormat="1" ht="14.25">
      <c r="N359" s="2144"/>
      <c r="Q359" s="847"/>
      <c r="R359" s="1947"/>
      <c r="T359" s="2122"/>
      <c r="U359" s="2122"/>
      <c r="V359" s="1948"/>
      <c r="W359" s="1948"/>
      <c r="X359" s="1948"/>
      <c r="Y359" s="2511"/>
      <c r="Z359" s="1948"/>
      <c r="AA359" s="1948"/>
      <c r="AZ359" s="2550"/>
      <c r="BE359" s="2122"/>
      <c r="BF359" s="21"/>
      <c r="BG359" s="21"/>
      <c r="BH359" s="1949"/>
      <c r="BI359" s="1949"/>
      <c r="BJ359" s="515"/>
    </row>
    <row r="360" spans="14:62" s="20" customFormat="1" ht="14.25">
      <c r="N360" s="2144"/>
      <c r="Q360" s="847"/>
      <c r="R360" s="1947"/>
      <c r="T360" s="2122"/>
      <c r="U360" s="2122"/>
      <c r="V360" s="1948"/>
      <c r="W360" s="1948"/>
      <c r="X360" s="1948"/>
      <c r="Y360" s="2511"/>
      <c r="Z360" s="1948"/>
      <c r="AA360" s="1948"/>
      <c r="AZ360" s="2550"/>
      <c r="BE360" s="2122"/>
      <c r="BF360" s="21"/>
      <c r="BG360" s="21"/>
      <c r="BH360" s="1949"/>
      <c r="BI360" s="1949"/>
      <c r="BJ360" s="515"/>
    </row>
    <row r="361" spans="14:62" s="20" customFormat="1" ht="14.25">
      <c r="N361" s="2144"/>
      <c r="Q361" s="847"/>
      <c r="R361" s="1947"/>
      <c r="T361" s="2122"/>
      <c r="U361" s="2122"/>
      <c r="V361" s="1948"/>
      <c r="W361" s="1948"/>
      <c r="X361" s="1948"/>
      <c r="Y361" s="2511"/>
      <c r="Z361" s="1948"/>
      <c r="AA361" s="1948"/>
      <c r="AZ361" s="2550"/>
      <c r="BE361" s="2122"/>
      <c r="BF361" s="21"/>
      <c r="BG361" s="21"/>
      <c r="BH361" s="1949"/>
      <c r="BI361" s="1949"/>
      <c r="BJ361" s="515"/>
    </row>
    <row r="362" spans="14:62" s="20" customFormat="1" ht="14.25">
      <c r="N362" s="2144"/>
      <c r="Q362" s="847"/>
      <c r="R362" s="1947"/>
      <c r="T362" s="2122"/>
      <c r="U362" s="2122"/>
      <c r="V362" s="1948"/>
      <c r="W362" s="1948"/>
      <c r="X362" s="1948"/>
      <c r="Y362" s="2511"/>
      <c r="Z362" s="1948"/>
      <c r="AA362" s="1948"/>
      <c r="AZ362" s="2550"/>
      <c r="BE362" s="2122"/>
      <c r="BF362" s="21"/>
      <c r="BG362" s="21"/>
      <c r="BH362" s="1949"/>
      <c r="BI362" s="1949"/>
      <c r="BJ362" s="515"/>
    </row>
    <row r="363" spans="14:62" s="20" customFormat="1" ht="14.25">
      <c r="N363" s="2144"/>
      <c r="Q363" s="847"/>
      <c r="R363" s="1947"/>
      <c r="T363" s="2122"/>
      <c r="U363" s="2122"/>
      <c r="V363" s="1948"/>
      <c r="W363" s="1948"/>
      <c r="X363" s="1948"/>
      <c r="Y363" s="2511"/>
      <c r="Z363" s="1948"/>
      <c r="AA363" s="1948"/>
      <c r="AZ363" s="2550"/>
      <c r="BE363" s="2122"/>
      <c r="BF363" s="21"/>
      <c r="BG363" s="21"/>
      <c r="BH363" s="1949"/>
      <c r="BI363" s="1949"/>
      <c r="BJ363" s="515"/>
    </row>
    <row r="364" spans="14:62" s="20" customFormat="1" ht="14.25">
      <c r="N364" s="2144"/>
      <c r="Q364" s="847"/>
      <c r="R364" s="1947"/>
      <c r="T364" s="2122"/>
      <c r="U364" s="2122"/>
      <c r="V364" s="1948"/>
      <c r="W364" s="1948"/>
      <c r="X364" s="1948"/>
      <c r="Y364" s="2511"/>
      <c r="Z364" s="1948"/>
      <c r="AA364" s="1948"/>
      <c r="AZ364" s="2550"/>
      <c r="BE364" s="2122"/>
      <c r="BF364" s="21"/>
      <c r="BG364" s="21"/>
      <c r="BH364" s="1949"/>
      <c r="BI364" s="1949"/>
      <c r="BJ364" s="515"/>
    </row>
    <row r="365" spans="14:62" s="20" customFormat="1" ht="14.25">
      <c r="N365" s="2144"/>
      <c r="Q365" s="847"/>
      <c r="R365" s="1947"/>
      <c r="T365" s="2122"/>
      <c r="U365" s="2122"/>
      <c r="V365" s="1948"/>
      <c r="W365" s="1948"/>
      <c r="X365" s="1948"/>
      <c r="Y365" s="2511"/>
      <c r="Z365" s="1948"/>
      <c r="AA365" s="1948"/>
      <c r="AZ365" s="2550"/>
      <c r="BE365" s="2122"/>
      <c r="BF365" s="21"/>
      <c r="BG365" s="21"/>
      <c r="BH365" s="1949"/>
      <c r="BI365" s="1949"/>
      <c r="BJ365" s="515"/>
    </row>
    <row r="366" spans="14:62" s="20" customFormat="1" ht="14.25">
      <c r="N366" s="2144"/>
      <c r="Q366" s="847"/>
      <c r="R366" s="1947"/>
      <c r="T366" s="2122"/>
      <c r="U366" s="2122"/>
      <c r="V366" s="1948"/>
      <c r="W366" s="1948"/>
      <c r="X366" s="1948"/>
      <c r="Y366" s="2511"/>
      <c r="Z366" s="1948"/>
      <c r="AA366" s="1948"/>
      <c r="AZ366" s="2550"/>
      <c r="BE366" s="2122"/>
      <c r="BF366" s="21"/>
      <c r="BG366" s="21"/>
      <c r="BH366" s="1949"/>
      <c r="BI366" s="1949"/>
      <c r="BJ366" s="515"/>
    </row>
    <row r="367" spans="14:62" s="20" customFormat="1" ht="14.25">
      <c r="N367" s="2144"/>
      <c r="Q367" s="847"/>
      <c r="R367" s="1947"/>
      <c r="T367" s="2122"/>
      <c r="U367" s="2122"/>
      <c r="V367" s="1948"/>
      <c r="W367" s="1948"/>
      <c r="X367" s="1948"/>
      <c r="Y367" s="2511"/>
      <c r="Z367" s="1948"/>
      <c r="AA367" s="1948"/>
      <c r="AZ367" s="2550"/>
      <c r="BE367" s="2122"/>
      <c r="BF367" s="21"/>
      <c r="BG367" s="21"/>
      <c r="BH367" s="1949"/>
      <c r="BI367" s="1949"/>
      <c r="BJ367" s="515"/>
    </row>
    <row r="368" spans="14:62" s="20" customFormat="1" ht="14.25">
      <c r="N368" s="2144"/>
      <c r="Q368" s="847"/>
      <c r="R368" s="1947"/>
      <c r="T368" s="2122"/>
      <c r="U368" s="2122"/>
      <c r="V368" s="1948"/>
      <c r="W368" s="1948"/>
      <c r="X368" s="1948"/>
      <c r="Y368" s="2511"/>
      <c r="Z368" s="1948"/>
      <c r="AA368" s="1948"/>
      <c r="AZ368" s="2550"/>
      <c r="BE368" s="2122"/>
      <c r="BF368" s="21"/>
      <c r="BG368" s="21"/>
      <c r="BH368" s="1949"/>
      <c r="BI368" s="1949"/>
      <c r="BJ368" s="515"/>
    </row>
    <row r="369" spans="14:62" s="20" customFormat="1" ht="14.25">
      <c r="N369" s="2144"/>
      <c r="Q369" s="847"/>
      <c r="R369" s="1947"/>
      <c r="T369" s="2122"/>
      <c r="U369" s="2122"/>
      <c r="V369" s="1948"/>
      <c r="W369" s="1948"/>
      <c r="X369" s="1948"/>
      <c r="Y369" s="2511"/>
      <c r="Z369" s="1948"/>
      <c r="AA369" s="1948"/>
      <c r="AZ369" s="2550"/>
      <c r="BE369" s="2122"/>
      <c r="BF369" s="21"/>
      <c r="BG369" s="21"/>
      <c r="BH369" s="1949"/>
      <c r="BI369" s="1949"/>
      <c r="BJ369" s="515"/>
    </row>
    <row r="370" spans="14:62" s="20" customFormat="1" ht="14.25">
      <c r="N370" s="2144"/>
      <c r="Q370" s="847"/>
      <c r="R370" s="1947"/>
      <c r="T370" s="2122"/>
      <c r="U370" s="2122"/>
      <c r="V370" s="1948"/>
      <c r="W370" s="1948"/>
      <c r="X370" s="1948"/>
      <c r="Y370" s="2511"/>
      <c r="Z370" s="1948"/>
      <c r="AA370" s="1948"/>
      <c r="AZ370" s="2550"/>
      <c r="BE370" s="2122"/>
      <c r="BF370" s="21"/>
      <c r="BG370" s="21"/>
      <c r="BH370" s="1949"/>
      <c r="BI370" s="1949"/>
      <c r="BJ370" s="515"/>
    </row>
    <row r="371" spans="14:62" s="20" customFormat="1" ht="14.25">
      <c r="N371" s="2144"/>
      <c r="Q371" s="847"/>
      <c r="R371" s="1947"/>
      <c r="T371" s="2122"/>
      <c r="U371" s="2122"/>
      <c r="V371" s="1948"/>
      <c r="W371" s="1948"/>
      <c r="X371" s="1948"/>
      <c r="Y371" s="2511"/>
      <c r="Z371" s="1948"/>
      <c r="AA371" s="1948"/>
      <c r="AZ371" s="2550"/>
      <c r="BE371" s="2122"/>
      <c r="BF371" s="21"/>
      <c r="BG371" s="21"/>
      <c r="BH371" s="1949"/>
      <c r="BI371" s="1949"/>
      <c r="BJ371" s="515"/>
    </row>
    <row r="372" spans="14:62" s="20" customFormat="1" ht="14.25">
      <c r="N372" s="2144"/>
      <c r="Q372" s="847"/>
      <c r="R372" s="1947"/>
      <c r="T372" s="2122"/>
      <c r="U372" s="2122"/>
      <c r="V372" s="1948"/>
      <c r="W372" s="1948"/>
      <c r="X372" s="1948"/>
      <c r="Y372" s="2511"/>
      <c r="Z372" s="1948"/>
      <c r="AA372" s="1948"/>
      <c r="AZ372" s="2550"/>
      <c r="BE372" s="2122"/>
      <c r="BF372" s="21"/>
      <c r="BG372" s="21"/>
      <c r="BH372" s="1949"/>
      <c r="BI372" s="1949"/>
      <c r="BJ372" s="515"/>
    </row>
    <row r="373" spans="14:62" s="20" customFormat="1" ht="14.25">
      <c r="N373" s="2144"/>
      <c r="Q373" s="847"/>
      <c r="R373" s="1947"/>
      <c r="T373" s="2122"/>
      <c r="U373" s="2122"/>
      <c r="V373" s="1948"/>
      <c r="W373" s="1948"/>
      <c r="X373" s="1948"/>
      <c r="Y373" s="2511"/>
      <c r="Z373" s="1948"/>
      <c r="AA373" s="1948"/>
      <c r="AZ373" s="2550"/>
      <c r="BE373" s="2122"/>
      <c r="BF373" s="21"/>
      <c r="BG373" s="21"/>
      <c r="BH373" s="1949"/>
      <c r="BI373" s="1949"/>
      <c r="BJ373" s="515"/>
    </row>
    <row r="374" spans="14:62" s="20" customFormat="1" ht="14.25">
      <c r="N374" s="2144"/>
      <c r="Q374" s="847"/>
      <c r="R374" s="1947"/>
      <c r="T374" s="2122"/>
      <c r="U374" s="2122"/>
      <c r="V374" s="1948"/>
      <c r="W374" s="1948"/>
      <c r="X374" s="1948"/>
      <c r="Y374" s="2511"/>
      <c r="Z374" s="1948"/>
      <c r="AA374" s="1948"/>
      <c r="AZ374" s="2550"/>
      <c r="BE374" s="2122"/>
      <c r="BF374" s="21"/>
      <c r="BG374" s="21"/>
      <c r="BH374" s="1949"/>
      <c r="BI374" s="1949"/>
      <c r="BJ374" s="515"/>
    </row>
    <row r="375" spans="14:62" s="20" customFormat="1" ht="14.25">
      <c r="N375" s="2144"/>
      <c r="Q375" s="847"/>
      <c r="R375" s="1947"/>
      <c r="T375" s="2122"/>
      <c r="U375" s="2122"/>
      <c r="V375" s="1948"/>
      <c r="W375" s="1948"/>
      <c r="X375" s="1948"/>
      <c r="Y375" s="2511"/>
      <c r="Z375" s="1948"/>
      <c r="AA375" s="1948"/>
      <c r="AZ375" s="2550"/>
      <c r="BE375" s="2122"/>
      <c r="BF375" s="21"/>
      <c r="BG375" s="21"/>
      <c r="BH375" s="1949"/>
      <c r="BI375" s="1949"/>
      <c r="BJ375" s="515"/>
    </row>
    <row r="376" spans="14:62" s="20" customFormat="1" ht="14.25">
      <c r="N376" s="2144"/>
      <c r="Q376" s="847"/>
      <c r="R376" s="1947"/>
      <c r="T376" s="2122"/>
      <c r="U376" s="2122"/>
      <c r="V376" s="1948"/>
      <c r="W376" s="1948"/>
      <c r="X376" s="1948"/>
      <c r="Y376" s="2511"/>
      <c r="Z376" s="1948"/>
      <c r="AA376" s="1948"/>
      <c r="AZ376" s="2550"/>
      <c r="BE376" s="2122"/>
      <c r="BF376" s="21"/>
      <c r="BG376" s="21"/>
      <c r="BH376" s="1949"/>
      <c r="BI376" s="1949"/>
      <c r="BJ376" s="515"/>
    </row>
    <row r="377" spans="14:62" s="20" customFormat="1" ht="14.25">
      <c r="N377" s="2144"/>
      <c r="Q377" s="847"/>
      <c r="R377" s="1947"/>
      <c r="T377" s="2122"/>
      <c r="U377" s="2122"/>
      <c r="V377" s="1948"/>
      <c r="W377" s="1948"/>
      <c r="X377" s="1948"/>
      <c r="Y377" s="2511"/>
      <c r="Z377" s="1948"/>
      <c r="AA377" s="1948"/>
      <c r="AZ377" s="2550"/>
      <c r="BE377" s="2122"/>
      <c r="BF377" s="21"/>
      <c r="BG377" s="21"/>
      <c r="BH377" s="1949"/>
      <c r="BI377" s="1949"/>
      <c r="BJ377" s="515"/>
    </row>
    <row r="378" spans="14:62" s="20" customFormat="1" ht="14.25">
      <c r="N378" s="2144"/>
      <c r="Q378" s="847"/>
      <c r="R378" s="1947"/>
      <c r="T378" s="2122"/>
      <c r="U378" s="2122"/>
      <c r="V378" s="1948"/>
      <c r="W378" s="1948"/>
      <c r="X378" s="1948"/>
      <c r="Y378" s="2511"/>
      <c r="Z378" s="1948"/>
      <c r="AA378" s="1948"/>
      <c r="AZ378" s="2550"/>
      <c r="BE378" s="2122"/>
      <c r="BF378" s="21"/>
      <c r="BG378" s="21"/>
      <c r="BH378" s="1949"/>
      <c r="BI378" s="1949"/>
      <c r="BJ378" s="515"/>
    </row>
    <row r="379" spans="14:62" s="20" customFormat="1" ht="14.25">
      <c r="N379" s="2144"/>
      <c r="Q379" s="847"/>
      <c r="R379" s="1947"/>
      <c r="T379" s="2122"/>
      <c r="U379" s="2122"/>
      <c r="V379" s="1948"/>
      <c r="W379" s="1948"/>
      <c r="X379" s="1948"/>
      <c r="Y379" s="2511"/>
      <c r="Z379" s="1948"/>
      <c r="AA379" s="1948"/>
      <c r="AZ379" s="2550"/>
      <c r="BE379" s="2122"/>
      <c r="BF379" s="21"/>
      <c r="BG379" s="21"/>
      <c r="BH379" s="1949"/>
      <c r="BI379" s="1949"/>
      <c r="BJ379" s="515"/>
    </row>
    <row r="380" spans="14:62" s="20" customFormat="1" ht="14.25">
      <c r="N380" s="2144"/>
      <c r="Q380" s="847"/>
      <c r="R380" s="1947"/>
      <c r="T380" s="2122"/>
      <c r="U380" s="2122"/>
      <c r="V380" s="1948"/>
      <c r="W380" s="1948"/>
      <c r="X380" s="1948"/>
      <c r="Y380" s="2511"/>
      <c r="Z380" s="1948"/>
      <c r="AA380" s="1948"/>
      <c r="AZ380" s="2550"/>
      <c r="BE380" s="2122"/>
      <c r="BF380" s="21"/>
      <c r="BG380" s="21"/>
      <c r="BH380" s="1949"/>
      <c r="BI380" s="1949"/>
      <c r="BJ380" s="515"/>
    </row>
    <row r="381" spans="14:62" s="20" customFormat="1" ht="14.25">
      <c r="N381" s="2144"/>
      <c r="Q381" s="847"/>
      <c r="R381" s="1947"/>
      <c r="T381" s="2122"/>
      <c r="U381" s="2122"/>
      <c r="V381" s="1948"/>
      <c r="W381" s="1948"/>
      <c r="X381" s="1948"/>
      <c r="Y381" s="2511"/>
      <c r="Z381" s="1948"/>
      <c r="AA381" s="1948"/>
      <c r="AZ381" s="2550"/>
      <c r="BE381" s="2122"/>
      <c r="BF381" s="21"/>
      <c r="BG381" s="21"/>
      <c r="BH381" s="1949"/>
      <c r="BI381" s="1949"/>
      <c r="BJ381" s="515"/>
    </row>
    <row r="382" spans="14:62" s="20" customFormat="1" ht="14.25">
      <c r="N382" s="2144"/>
      <c r="Q382" s="847"/>
      <c r="R382" s="1947"/>
      <c r="T382" s="2122"/>
      <c r="U382" s="2122"/>
      <c r="V382" s="1948"/>
      <c r="W382" s="1948"/>
      <c r="X382" s="1948"/>
      <c r="Y382" s="2511"/>
      <c r="Z382" s="1948"/>
      <c r="AA382" s="1948"/>
      <c r="AZ382" s="2550"/>
      <c r="BE382" s="2122"/>
      <c r="BF382" s="21"/>
      <c r="BG382" s="21"/>
      <c r="BH382" s="1949"/>
      <c r="BI382" s="1949"/>
      <c r="BJ382" s="515"/>
    </row>
    <row r="383" spans="14:62" s="20" customFormat="1" ht="14.25">
      <c r="N383" s="2144"/>
      <c r="Q383" s="847"/>
      <c r="R383" s="1947"/>
      <c r="T383" s="2122"/>
      <c r="U383" s="2122"/>
      <c r="V383" s="1948"/>
      <c r="W383" s="1948"/>
      <c r="X383" s="1948"/>
      <c r="Y383" s="2511"/>
      <c r="Z383" s="1948"/>
      <c r="AA383" s="1948"/>
      <c r="AZ383" s="2550"/>
      <c r="BE383" s="2122"/>
      <c r="BF383" s="21"/>
      <c r="BG383" s="21"/>
      <c r="BH383" s="1949"/>
      <c r="BI383" s="1949"/>
      <c r="BJ383" s="515"/>
    </row>
    <row r="384" spans="14:62" s="20" customFormat="1" ht="14.25">
      <c r="N384" s="2144"/>
      <c r="Q384" s="847"/>
      <c r="R384" s="1947"/>
      <c r="T384" s="2122"/>
      <c r="U384" s="2122"/>
      <c r="V384" s="1948"/>
      <c r="W384" s="1948"/>
      <c r="X384" s="1948"/>
      <c r="Y384" s="2511"/>
      <c r="Z384" s="1948"/>
      <c r="AA384" s="1948"/>
      <c r="AZ384" s="2550"/>
      <c r="BE384" s="2122"/>
      <c r="BF384" s="21"/>
      <c r="BG384" s="21"/>
      <c r="BH384" s="1949"/>
      <c r="BI384" s="1949"/>
      <c r="BJ384" s="515"/>
    </row>
    <row r="385" spans="14:62" s="20" customFormat="1" ht="14.25">
      <c r="N385" s="2144"/>
      <c r="Q385" s="847"/>
      <c r="R385" s="1947"/>
      <c r="T385" s="2122"/>
      <c r="U385" s="2122"/>
      <c r="V385" s="1948"/>
      <c r="W385" s="1948"/>
      <c r="X385" s="1948"/>
      <c r="Y385" s="2511"/>
      <c r="Z385" s="1948"/>
      <c r="AA385" s="1948"/>
      <c r="AZ385" s="2550"/>
      <c r="BE385" s="2122"/>
      <c r="BF385" s="21"/>
      <c r="BG385" s="21"/>
      <c r="BH385" s="1949"/>
      <c r="BI385" s="1949"/>
      <c r="BJ385" s="515"/>
    </row>
    <row r="386" spans="14:62" s="20" customFormat="1" ht="14.25">
      <c r="N386" s="2144"/>
      <c r="Q386" s="847"/>
      <c r="R386" s="1947"/>
      <c r="T386" s="2122"/>
      <c r="U386" s="2122"/>
      <c r="V386" s="1948"/>
      <c r="W386" s="1948"/>
      <c r="X386" s="1948"/>
      <c r="Y386" s="2511"/>
      <c r="Z386" s="1948"/>
      <c r="AA386" s="1948"/>
      <c r="AZ386" s="2550"/>
      <c r="BE386" s="2122"/>
      <c r="BF386" s="21"/>
      <c r="BG386" s="21"/>
      <c r="BH386" s="1949"/>
      <c r="BI386" s="1949"/>
      <c r="BJ386" s="515"/>
    </row>
    <row r="387" spans="14:62" s="20" customFormat="1" ht="14.25">
      <c r="N387" s="2144"/>
      <c r="Q387" s="847"/>
      <c r="R387" s="1947"/>
      <c r="T387" s="2122"/>
      <c r="U387" s="2122"/>
      <c r="V387" s="1948"/>
      <c r="W387" s="1948"/>
      <c r="X387" s="1948"/>
      <c r="Y387" s="2511"/>
      <c r="Z387" s="1948"/>
      <c r="AA387" s="1948"/>
      <c r="AZ387" s="2550"/>
      <c r="BE387" s="2122"/>
      <c r="BF387" s="21"/>
      <c r="BG387" s="21"/>
      <c r="BH387" s="1949"/>
      <c r="BI387" s="1949"/>
      <c r="BJ387" s="515"/>
    </row>
    <row r="388" spans="14:62" s="20" customFormat="1" ht="14.25">
      <c r="N388" s="2144"/>
      <c r="Q388" s="847"/>
      <c r="R388" s="1947"/>
      <c r="T388" s="2122"/>
      <c r="U388" s="2122"/>
      <c r="V388" s="1948"/>
      <c r="W388" s="1948"/>
      <c r="X388" s="1948"/>
      <c r="Y388" s="2511"/>
      <c r="Z388" s="1948"/>
      <c r="AA388" s="1948"/>
      <c r="AZ388" s="2550"/>
      <c r="BE388" s="2122"/>
      <c r="BF388" s="21"/>
      <c r="BG388" s="21"/>
      <c r="BH388" s="1949"/>
      <c r="BI388" s="1949"/>
      <c r="BJ388" s="515"/>
    </row>
    <row r="389" spans="14:62" s="20" customFormat="1" ht="14.25">
      <c r="N389" s="2144"/>
      <c r="Q389" s="847"/>
      <c r="R389" s="1947"/>
      <c r="T389" s="2122"/>
      <c r="U389" s="2122"/>
      <c r="V389" s="1948"/>
      <c r="W389" s="1948"/>
      <c r="X389" s="1948"/>
      <c r="Y389" s="2511"/>
      <c r="Z389" s="1948"/>
      <c r="AA389" s="1948"/>
      <c r="AZ389" s="2550"/>
      <c r="BE389" s="2122"/>
      <c r="BF389" s="21"/>
      <c r="BG389" s="21"/>
      <c r="BH389" s="1949"/>
      <c r="BI389" s="1949"/>
      <c r="BJ389" s="515"/>
    </row>
    <row r="390" spans="14:62" s="20" customFormat="1" ht="14.25">
      <c r="N390" s="2144"/>
      <c r="Q390" s="847"/>
      <c r="R390" s="1947"/>
      <c r="T390" s="2122"/>
      <c r="U390" s="2122"/>
      <c r="V390" s="1948"/>
      <c r="W390" s="1948"/>
      <c r="X390" s="1948"/>
      <c r="Y390" s="2511"/>
      <c r="Z390" s="1948"/>
      <c r="AA390" s="1948"/>
      <c r="AZ390" s="2550"/>
      <c r="BE390" s="2122"/>
      <c r="BF390" s="21"/>
      <c r="BG390" s="21"/>
      <c r="BH390" s="1949"/>
      <c r="BI390" s="1949"/>
      <c r="BJ390" s="515"/>
    </row>
    <row r="391" spans="14:62" s="20" customFormat="1" ht="14.25">
      <c r="N391" s="2144"/>
      <c r="Q391" s="847"/>
      <c r="R391" s="1947"/>
      <c r="T391" s="2122"/>
      <c r="U391" s="2122"/>
      <c r="V391" s="1948"/>
      <c r="W391" s="1948"/>
      <c r="X391" s="1948"/>
      <c r="Y391" s="2511"/>
      <c r="Z391" s="1948"/>
      <c r="AA391" s="1948"/>
      <c r="AZ391" s="2550"/>
      <c r="BE391" s="2122"/>
      <c r="BF391" s="21"/>
      <c r="BG391" s="21"/>
      <c r="BH391" s="1949"/>
      <c r="BI391" s="1949"/>
      <c r="BJ391" s="515"/>
    </row>
    <row r="392" spans="14:62" s="20" customFormat="1" ht="14.25">
      <c r="N392" s="2144"/>
      <c r="Q392" s="847"/>
      <c r="R392" s="1947"/>
      <c r="T392" s="2122"/>
      <c r="U392" s="2122"/>
      <c r="V392" s="1948"/>
      <c r="W392" s="1948"/>
      <c r="X392" s="1948"/>
      <c r="Y392" s="2511"/>
      <c r="Z392" s="1948"/>
      <c r="AA392" s="1948"/>
      <c r="AZ392" s="2550"/>
      <c r="BE392" s="2122"/>
      <c r="BF392" s="21"/>
      <c r="BG392" s="21"/>
      <c r="BH392" s="1949"/>
      <c r="BI392" s="1949"/>
      <c r="BJ392" s="515"/>
    </row>
    <row r="393" spans="14:62" s="20" customFormat="1" ht="14.25">
      <c r="N393" s="2144"/>
      <c r="Q393" s="847"/>
      <c r="R393" s="1947"/>
      <c r="T393" s="2122"/>
      <c r="U393" s="2122"/>
      <c r="V393" s="1948"/>
      <c r="W393" s="1948"/>
      <c r="X393" s="1948"/>
      <c r="Y393" s="2511"/>
      <c r="Z393" s="1948"/>
      <c r="AA393" s="1948"/>
      <c r="AZ393" s="2550"/>
      <c r="BE393" s="2122"/>
      <c r="BF393" s="21"/>
      <c r="BG393" s="21"/>
      <c r="BH393" s="1949"/>
      <c r="BI393" s="1949"/>
      <c r="BJ393" s="515"/>
    </row>
    <row r="394" spans="14:62" s="20" customFormat="1" ht="14.25">
      <c r="N394" s="2144"/>
      <c r="Q394" s="847"/>
      <c r="R394" s="1947"/>
      <c r="T394" s="2122"/>
      <c r="U394" s="2122"/>
      <c r="V394" s="1948"/>
      <c r="W394" s="1948"/>
      <c r="X394" s="1948"/>
      <c r="Y394" s="2511"/>
      <c r="Z394" s="1948"/>
      <c r="AA394" s="1948"/>
      <c r="AZ394" s="2550"/>
      <c r="BE394" s="2122"/>
      <c r="BF394" s="21"/>
      <c r="BG394" s="21"/>
      <c r="BH394" s="1949"/>
      <c r="BI394" s="1949"/>
      <c r="BJ394" s="515"/>
    </row>
    <row r="395" spans="14:62" s="20" customFormat="1" ht="14.25">
      <c r="N395" s="2144"/>
      <c r="Q395" s="847"/>
      <c r="R395" s="1947"/>
      <c r="T395" s="2122"/>
      <c r="U395" s="2122"/>
      <c r="V395" s="1948"/>
      <c r="W395" s="1948"/>
      <c r="X395" s="1948"/>
      <c r="Y395" s="2511"/>
      <c r="Z395" s="1948"/>
      <c r="AA395" s="1948"/>
      <c r="AZ395" s="2550"/>
      <c r="BE395" s="2122"/>
      <c r="BF395" s="21"/>
      <c r="BG395" s="21"/>
      <c r="BH395" s="1949"/>
      <c r="BI395" s="1949"/>
      <c r="BJ395" s="515"/>
    </row>
    <row r="396" spans="14:62" s="20" customFormat="1" ht="14.25">
      <c r="N396" s="2144"/>
      <c r="Q396" s="847"/>
      <c r="R396" s="1947"/>
      <c r="T396" s="2122"/>
      <c r="U396" s="2122"/>
      <c r="V396" s="1948"/>
      <c r="W396" s="1948"/>
      <c r="X396" s="1948"/>
      <c r="Y396" s="2511"/>
      <c r="Z396" s="1948"/>
      <c r="AA396" s="1948"/>
      <c r="AZ396" s="2550"/>
      <c r="BE396" s="2122"/>
      <c r="BF396" s="21"/>
      <c r="BG396" s="21"/>
      <c r="BH396" s="1949"/>
      <c r="BI396" s="1949"/>
      <c r="BJ396" s="515"/>
    </row>
    <row r="397" spans="14:62" s="20" customFormat="1" ht="14.25">
      <c r="N397" s="2144"/>
      <c r="Q397" s="847"/>
      <c r="R397" s="1947"/>
      <c r="T397" s="2122"/>
      <c r="U397" s="2122"/>
      <c r="V397" s="1948"/>
      <c r="W397" s="1948"/>
      <c r="X397" s="1948"/>
      <c r="Y397" s="2511"/>
      <c r="Z397" s="1948"/>
      <c r="AA397" s="1948"/>
      <c r="AZ397" s="2550"/>
      <c r="BE397" s="2122"/>
      <c r="BF397" s="21"/>
      <c r="BG397" s="21"/>
      <c r="BH397" s="1949"/>
      <c r="BI397" s="1949"/>
      <c r="BJ397" s="515"/>
    </row>
    <row r="398" spans="14:62" s="20" customFormat="1" ht="14.25">
      <c r="N398" s="2144"/>
      <c r="Q398" s="847"/>
      <c r="R398" s="1947"/>
      <c r="T398" s="2122"/>
      <c r="U398" s="2122"/>
      <c r="V398" s="1948"/>
      <c r="W398" s="1948"/>
      <c r="X398" s="1948"/>
      <c r="Y398" s="2511"/>
      <c r="Z398" s="1948"/>
      <c r="AA398" s="1948"/>
      <c r="AZ398" s="2550"/>
      <c r="BE398" s="2122"/>
      <c r="BF398" s="21"/>
      <c r="BG398" s="21"/>
      <c r="BH398" s="1949"/>
      <c r="BI398" s="1949"/>
      <c r="BJ398" s="515"/>
    </row>
    <row r="399" spans="14:62" s="20" customFormat="1" ht="14.25">
      <c r="N399" s="2144"/>
      <c r="Q399" s="847"/>
      <c r="R399" s="1947"/>
      <c r="T399" s="2122"/>
      <c r="U399" s="2122"/>
      <c r="V399" s="1948"/>
      <c r="W399" s="1948"/>
      <c r="X399" s="1948"/>
      <c r="Y399" s="2511"/>
      <c r="Z399" s="1948"/>
      <c r="AA399" s="1948"/>
      <c r="AZ399" s="2550"/>
      <c r="BE399" s="2122"/>
      <c r="BF399" s="21"/>
      <c r="BG399" s="21"/>
      <c r="BH399" s="1949"/>
      <c r="BI399" s="1949"/>
      <c r="BJ399" s="515"/>
    </row>
    <row r="400" spans="14:62" s="20" customFormat="1" ht="14.25">
      <c r="N400" s="2144"/>
      <c r="Q400" s="847"/>
      <c r="R400" s="1947"/>
      <c r="T400" s="2122"/>
      <c r="U400" s="2122"/>
      <c r="V400" s="1948"/>
      <c r="W400" s="1948"/>
      <c r="X400" s="1948"/>
      <c r="Y400" s="2511"/>
      <c r="Z400" s="1948"/>
      <c r="AA400" s="1948"/>
      <c r="AZ400" s="2550"/>
      <c r="BE400" s="2122"/>
      <c r="BF400" s="21"/>
      <c r="BG400" s="21"/>
      <c r="BH400" s="1949"/>
      <c r="BI400" s="1949"/>
      <c r="BJ400" s="515"/>
    </row>
    <row r="401" spans="14:62" s="20" customFormat="1" ht="14.25">
      <c r="N401" s="2144"/>
      <c r="Q401" s="847"/>
      <c r="R401" s="1947"/>
      <c r="T401" s="2122"/>
      <c r="U401" s="2122"/>
      <c r="V401" s="1948"/>
      <c r="W401" s="1948"/>
      <c r="X401" s="1948"/>
      <c r="Y401" s="2511"/>
      <c r="Z401" s="1948"/>
      <c r="AA401" s="1948"/>
      <c r="AZ401" s="2550"/>
      <c r="BE401" s="2122"/>
      <c r="BF401" s="21"/>
      <c r="BG401" s="21"/>
      <c r="BH401" s="1949"/>
      <c r="BI401" s="1949"/>
      <c r="BJ401" s="515"/>
    </row>
    <row r="402" spans="14:62" s="20" customFormat="1" ht="14.25">
      <c r="N402" s="2144"/>
      <c r="Q402" s="847"/>
      <c r="R402" s="1947"/>
      <c r="T402" s="2122"/>
      <c r="U402" s="2122"/>
      <c r="V402" s="1948"/>
      <c r="W402" s="1948"/>
      <c r="X402" s="1948"/>
      <c r="Y402" s="2511"/>
      <c r="Z402" s="1948"/>
      <c r="AA402" s="1948"/>
      <c r="AZ402" s="2550"/>
      <c r="BE402" s="2122"/>
      <c r="BF402" s="21"/>
      <c r="BG402" s="21"/>
      <c r="BH402" s="1949"/>
      <c r="BI402" s="1949"/>
      <c r="BJ402" s="515"/>
    </row>
    <row r="403" spans="14:62" s="20" customFormat="1" ht="14.25">
      <c r="N403" s="2144"/>
      <c r="Q403" s="847"/>
      <c r="R403" s="1947"/>
      <c r="T403" s="2122"/>
      <c r="U403" s="2122"/>
      <c r="V403" s="1948"/>
      <c r="W403" s="1948"/>
      <c r="X403" s="1948"/>
      <c r="Y403" s="2511"/>
      <c r="Z403" s="1948"/>
      <c r="AA403" s="1948"/>
      <c r="AZ403" s="2550"/>
      <c r="BE403" s="2122"/>
      <c r="BF403" s="21"/>
      <c r="BG403" s="21"/>
      <c r="BH403" s="1949"/>
      <c r="BI403" s="1949"/>
      <c r="BJ403" s="515"/>
    </row>
    <row r="404" spans="14:62" s="20" customFormat="1" ht="14.25">
      <c r="N404" s="2144"/>
      <c r="Q404" s="847"/>
      <c r="R404" s="1947"/>
      <c r="T404" s="2122"/>
      <c r="U404" s="2122"/>
      <c r="V404" s="1948"/>
      <c r="W404" s="1948"/>
      <c r="X404" s="1948"/>
      <c r="Y404" s="2511"/>
      <c r="Z404" s="1948"/>
      <c r="AA404" s="1948"/>
      <c r="AZ404" s="2550"/>
      <c r="BE404" s="2122"/>
      <c r="BF404" s="21"/>
      <c r="BG404" s="21"/>
      <c r="BH404" s="1949"/>
      <c r="BI404" s="1949"/>
      <c r="BJ404" s="515"/>
    </row>
    <row r="405" spans="14:62" s="20" customFormat="1" ht="14.25">
      <c r="N405" s="2144"/>
      <c r="Q405" s="847"/>
      <c r="R405" s="1947"/>
      <c r="T405" s="2122"/>
      <c r="U405" s="2122"/>
      <c r="V405" s="1948"/>
      <c r="W405" s="1948"/>
      <c r="X405" s="1948"/>
      <c r="Y405" s="2511"/>
      <c r="Z405" s="1948"/>
      <c r="AA405" s="1948"/>
      <c r="AZ405" s="2550"/>
      <c r="BE405" s="2122"/>
      <c r="BF405" s="21"/>
      <c r="BG405" s="21"/>
      <c r="BH405" s="1949"/>
      <c r="BI405" s="1949"/>
      <c r="BJ405" s="515"/>
    </row>
    <row r="406" spans="14:62" s="20" customFormat="1" ht="14.25">
      <c r="N406" s="2144"/>
      <c r="Q406" s="847"/>
      <c r="R406" s="1947"/>
      <c r="T406" s="2122"/>
      <c r="U406" s="2122"/>
      <c r="V406" s="1948"/>
      <c r="W406" s="1948"/>
      <c r="X406" s="1948"/>
      <c r="Y406" s="2511"/>
      <c r="Z406" s="1948"/>
      <c r="AA406" s="1948"/>
      <c r="AZ406" s="2550"/>
      <c r="BE406" s="2122"/>
      <c r="BF406" s="21"/>
      <c r="BG406" s="21"/>
      <c r="BH406" s="1949"/>
      <c r="BI406" s="1949"/>
      <c r="BJ406" s="515"/>
    </row>
    <row r="407" spans="14:62" s="20" customFormat="1" ht="14.25">
      <c r="N407" s="2144"/>
      <c r="Q407" s="847"/>
      <c r="R407" s="1947"/>
      <c r="T407" s="2122"/>
      <c r="U407" s="2122"/>
      <c r="V407" s="1948"/>
      <c r="W407" s="1948"/>
      <c r="X407" s="1948"/>
      <c r="Y407" s="2511"/>
      <c r="Z407" s="1948"/>
      <c r="AA407" s="1948"/>
      <c r="AZ407" s="2550"/>
      <c r="BE407" s="2122"/>
      <c r="BF407" s="21"/>
      <c r="BG407" s="21"/>
      <c r="BH407" s="1949"/>
      <c r="BI407" s="1949"/>
      <c r="BJ407" s="515"/>
    </row>
    <row r="408" spans="14:62" s="20" customFormat="1" ht="14.25">
      <c r="N408" s="2144"/>
      <c r="Q408" s="847"/>
      <c r="R408" s="1947"/>
      <c r="T408" s="2122"/>
      <c r="U408" s="2122"/>
      <c r="V408" s="1948"/>
      <c r="W408" s="1948"/>
      <c r="X408" s="1948"/>
      <c r="Y408" s="2511"/>
      <c r="Z408" s="1948"/>
      <c r="AA408" s="1948"/>
      <c r="AZ408" s="2550"/>
      <c r="BE408" s="2122"/>
      <c r="BF408" s="21"/>
      <c r="BG408" s="21"/>
      <c r="BH408" s="1949"/>
      <c r="BI408" s="1949"/>
      <c r="BJ408" s="515"/>
    </row>
    <row r="409" spans="14:62" s="20" customFormat="1" ht="14.25">
      <c r="N409" s="2144"/>
      <c r="Q409" s="847"/>
      <c r="R409" s="1947"/>
      <c r="T409" s="2122"/>
      <c r="U409" s="2122"/>
      <c r="V409" s="1948"/>
      <c r="W409" s="1948"/>
      <c r="X409" s="1948"/>
      <c r="Y409" s="2511"/>
      <c r="Z409" s="1948"/>
      <c r="AA409" s="1948"/>
      <c r="AZ409" s="2550"/>
      <c r="BE409" s="2122"/>
      <c r="BF409" s="21"/>
      <c r="BG409" s="21"/>
      <c r="BH409" s="1949"/>
      <c r="BI409" s="1949"/>
      <c r="BJ409" s="515"/>
    </row>
    <row r="410" spans="14:62" s="20" customFormat="1" ht="14.25">
      <c r="N410" s="2144"/>
      <c r="Q410" s="847"/>
      <c r="R410" s="1947"/>
      <c r="T410" s="2122"/>
      <c r="U410" s="2122"/>
      <c r="V410" s="1948"/>
      <c r="W410" s="1948"/>
      <c r="X410" s="1948"/>
      <c r="Y410" s="2511"/>
      <c r="Z410" s="1948"/>
      <c r="AA410" s="1948"/>
      <c r="AZ410" s="2550"/>
      <c r="BE410" s="2122"/>
      <c r="BF410" s="21"/>
      <c r="BG410" s="21"/>
      <c r="BH410" s="1949"/>
      <c r="BI410" s="1949"/>
      <c r="BJ410" s="515"/>
    </row>
    <row r="411" spans="14:62" s="20" customFormat="1" ht="14.25">
      <c r="N411" s="2144"/>
      <c r="Q411" s="847"/>
      <c r="R411" s="1947"/>
      <c r="T411" s="2122"/>
      <c r="U411" s="2122"/>
      <c r="V411" s="1948"/>
      <c r="W411" s="1948"/>
      <c r="X411" s="1948"/>
      <c r="Y411" s="2511"/>
      <c r="Z411" s="1948"/>
      <c r="AA411" s="1948"/>
      <c r="AZ411" s="2550"/>
      <c r="BE411" s="2122"/>
      <c r="BF411" s="21"/>
      <c r="BG411" s="21"/>
      <c r="BH411" s="1949"/>
      <c r="BI411" s="1949"/>
      <c r="BJ411" s="515"/>
    </row>
    <row r="412" spans="14:62" s="20" customFormat="1" ht="14.25">
      <c r="N412" s="2144"/>
      <c r="Q412" s="847"/>
      <c r="R412" s="1947"/>
      <c r="T412" s="2122"/>
      <c r="U412" s="2122"/>
      <c r="V412" s="1948"/>
      <c r="W412" s="1948"/>
      <c r="X412" s="1948"/>
      <c r="Y412" s="2511"/>
      <c r="Z412" s="1948"/>
      <c r="AA412" s="1948"/>
      <c r="AZ412" s="2550"/>
      <c r="BE412" s="2122"/>
      <c r="BF412" s="21"/>
      <c r="BG412" s="21"/>
      <c r="BH412" s="1949"/>
      <c r="BI412" s="1949"/>
      <c r="BJ412" s="515"/>
    </row>
    <row r="413" spans="14:62" s="20" customFormat="1" ht="14.25">
      <c r="N413" s="2144"/>
      <c r="Q413" s="847"/>
      <c r="R413" s="1947"/>
      <c r="T413" s="2122"/>
      <c r="U413" s="2122"/>
      <c r="V413" s="1948"/>
      <c r="W413" s="1948"/>
      <c r="X413" s="1948"/>
      <c r="Y413" s="2511"/>
      <c r="Z413" s="1948"/>
      <c r="AA413" s="1948"/>
      <c r="AZ413" s="2550"/>
      <c r="BE413" s="2122"/>
      <c r="BF413" s="21"/>
      <c r="BG413" s="21"/>
      <c r="BH413" s="1949"/>
      <c r="BI413" s="1949"/>
      <c r="BJ413" s="515"/>
    </row>
    <row r="414" spans="14:62" s="20" customFormat="1" ht="14.25">
      <c r="N414" s="2144"/>
      <c r="Q414" s="847"/>
      <c r="R414" s="1947"/>
      <c r="T414" s="2122"/>
      <c r="U414" s="2122"/>
      <c r="V414" s="1948"/>
      <c r="W414" s="1948"/>
      <c r="X414" s="1948"/>
      <c r="Y414" s="2511"/>
      <c r="Z414" s="1948"/>
      <c r="AA414" s="1948"/>
      <c r="AZ414" s="2550"/>
      <c r="BE414" s="2122"/>
      <c r="BF414" s="21"/>
      <c r="BG414" s="21"/>
      <c r="BH414" s="1949"/>
      <c r="BI414" s="1949"/>
      <c r="BJ414" s="515"/>
    </row>
    <row r="415" spans="14:62" s="20" customFormat="1" ht="14.25">
      <c r="N415" s="2144"/>
      <c r="Q415" s="847"/>
      <c r="R415" s="1947"/>
      <c r="T415" s="2122"/>
      <c r="U415" s="2122"/>
      <c r="V415" s="1948"/>
      <c r="W415" s="1948"/>
      <c r="X415" s="1948"/>
      <c r="Y415" s="2511"/>
      <c r="Z415" s="1948"/>
      <c r="AA415" s="1948"/>
      <c r="AZ415" s="2550"/>
      <c r="BE415" s="2122"/>
      <c r="BF415" s="21"/>
      <c r="BG415" s="21"/>
      <c r="BH415" s="1949"/>
      <c r="BI415" s="1949"/>
      <c r="BJ415" s="515"/>
    </row>
    <row r="416" spans="14:62" s="20" customFormat="1" ht="14.25">
      <c r="N416" s="2144"/>
      <c r="Q416" s="847"/>
      <c r="R416" s="1947"/>
      <c r="T416" s="2122"/>
      <c r="U416" s="2122"/>
      <c r="V416" s="1948"/>
      <c r="W416" s="1948"/>
      <c r="X416" s="1948"/>
      <c r="Y416" s="2511"/>
      <c r="Z416" s="1948"/>
      <c r="AA416" s="1948"/>
      <c r="AZ416" s="2550"/>
      <c r="BE416" s="2122"/>
      <c r="BF416" s="21"/>
      <c r="BG416" s="21"/>
      <c r="BH416" s="1949"/>
      <c r="BI416" s="1949"/>
      <c r="BJ416" s="515"/>
    </row>
    <row r="417" spans="14:62" s="20" customFormat="1" ht="14.25">
      <c r="N417" s="2144"/>
      <c r="Q417" s="847"/>
      <c r="R417" s="1947"/>
      <c r="T417" s="2122"/>
      <c r="U417" s="2122"/>
      <c r="V417" s="1948"/>
      <c r="W417" s="1948"/>
      <c r="X417" s="1948"/>
      <c r="Y417" s="2511"/>
      <c r="Z417" s="1948"/>
      <c r="AA417" s="1948"/>
      <c r="AZ417" s="2550"/>
      <c r="BE417" s="2122"/>
      <c r="BF417" s="21"/>
      <c r="BG417" s="21"/>
      <c r="BH417" s="1949"/>
      <c r="BI417" s="1949"/>
      <c r="BJ417" s="515"/>
    </row>
    <row r="418" spans="14:62" s="20" customFormat="1" ht="14.25">
      <c r="N418" s="2144"/>
      <c r="Q418" s="847"/>
      <c r="R418" s="1947"/>
      <c r="T418" s="2122"/>
      <c r="U418" s="2122"/>
      <c r="V418" s="1948"/>
      <c r="W418" s="1948"/>
      <c r="X418" s="1948"/>
      <c r="Y418" s="2511"/>
      <c r="Z418" s="1948"/>
      <c r="AA418" s="1948"/>
      <c r="AZ418" s="2550"/>
      <c r="BE418" s="2122"/>
      <c r="BF418" s="21"/>
      <c r="BG418" s="21"/>
      <c r="BH418" s="1949"/>
      <c r="BI418" s="1949"/>
      <c r="BJ418" s="515"/>
    </row>
    <row r="419" spans="14:62" s="20" customFormat="1" ht="14.25">
      <c r="N419" s="2144"/>
      <c r="Q419" s="847"/>
      <c r="R419" s="1947"/>
      <c r="T419" s="2122"/>
      <c r="U419" s="2122"/>
      <c r="V419" s="1948"/>
      <c r="W419" s="1948"/>
      <c r="X419" s="1948"/>
      <c r="Y419" s="2511"/>
      <c r="Z419" s="1948"/>
      <c r="AA419" s="1948"/>
      <c r="AZ419" s="2550"/>
      <c r="BE419" s="2122"/>
      <c r="BF419" s="21"/>
      <c r="BG419" s="21"/>
      <c r="BH419" s="1949"/>
      <c r="BI419" s="1949"/>
      <c r="BJ419" s="515"/>
    </row>
    <row r="420" spans="14:62" s="20" customFormat="1" ht="14.25">
      <c r="N420" s="2144"/>
      <c r="Q420" s="847"/>
      <c r="R420" s="1947"/>
      <c r="T420" s="2122"/>
      <c r="U420" s="2122"/>
      <c r="V420" s="1948"/>
      <c r="W420" s="1948"/>
      <c r="X420" s="1948"/>
      <c r="Y420" s="2511"/>
      <c r="Z420" s="1948"/>
      <c r="AA420" s="1948"/>
      <c r="AZ420" s="2550"/>
      <c r="BE420" s="2122"/>
      <c r="BF420" s="21"/>
      <c r="BG420" s="21"/>
      <c r="BH420" s="1949"/>
      <c r="BI420" s="1949"/>
      <c r="BJ420" s="515"/>
    </row>
    <row r="421" spans="14:62" s="20" customFormat="1" ht="14.25">
      <c r="N421" s="2144"/>
      <c r="Q421" s="847"/>
      <c r="R421" s="1947"/>
      <c r="T421" s="2122"/>
      <c r="U421" s="2122"/>
      <c r="V421" s="1948"/>
      <c r="W421" s="1948"/>
      <c r="X421" s="1948"/>
      <c r="Y421" s="2511"/>
      <c r="Z421" s="1948"/>
      <c r="AA421" s="1948"/>
      <c r="AZ421" s="2550"/>
      <c r="BE421" s="2122"/>
      <c r="BF421" s="21"/>
      <c r="BG421" s="21"/>
      <c r="BH421" s="1949"/>
      <c r="BI421" s="1949"/>
      <c r="BJ421" s="515"/>
    </row>
    <row r="422" spans="14:62" s="20" customFormat="1" ht="14.25">
      <c r="N422" s="2144"/>
      <c r="Q422" s="847"/>
      <c r="R422" s="1947"/>
      <c r="T422" s="2122"/>
      <c r="U422" s="2122"/>
      <c r="V422" s="1948"/>
      <c r="W422" s="1948"/>
      <c r="X422" s="1948"/>
      <c r="Y422" s="2511"/>
      <c r="Z422" s="1948"/>
      <c r="AA422" s="1948"/>
      <c r="AZ422" s="2550"/>
      <c r="BE422" s="2122"/>
      <c r="BF422" s="21"/>
      <c r="BG422" s="21"/>
      <c r="BH422" s="1949"/>
      <c r="BI422" s="1949"/>
      <c r="BJ422" s="515"/>
    </row>
    <row r="423" spans="14:62" s="20" customFormat="1" ht="14.25">
      <c r="N423" s="2144"/>
      <c r="Q423" s="847"/>
      <c r="R423" s="1947"/>
      <c r="T423" s="2122"/>
      <c r="U423" s="2122"/>
      <c r="V423" s="1948"/>
      <c r="W423" s="1948"/>
      <c r="X423" s="1948"/>
      <c r="Y423" s="2511"/>
      <c r="Z423" s="1948"/>
      <c r="AA423" s="1948"/>
      <c r="AZ423" s="2550"/>
      <c r="BE423" s="2122"/>
      <c r="BF423" s="21"/>
      <c r="BG423" s="21"/>
      <c r="BH423" s="1949"/>
      <c r="BI423" s="1949"/>
      <c r="BJ423" s="515"/>
    </row>
    <row r="424" spans="14:62" s="20" customFormat="1" ht="14.25">
      <c r="N424" s="2144"/>
      <c r="Q424" s="847"/>
      <c r="R424" s="1947"/>
      <c r="T424" s="2122"/>
      <c r="U424" s="2122"/>
      <c r="V424" s="1948"/>
      <c r="W424" s="1948"/>
      <c r="X424" s="1948"/>
      <c r="Y424" s="2511"/>
      <c r="Z424" s="1948"/>
      <c r="AA424" s="1948"/>
      <c r="AZ424" s="2550"/>
      <c r="BE424" s="2122"/>
      <c r="BF424" s="21"/>
      <c r="BG424" s="21"/>
      <c r="BH424" s="1949"/>
      <c r="BI424" s="1949"/>
      <c r="BJ424" s="515"/>
    </row>
    <row r="425" spans="14:62" s="20" customFormat="1" ht="14.25">
      <c r="N425" s="2144"/>
      <c r="Q425" s="847"/>
      <c r="R425" s="1947"/>
      <c r="T425" s="2122"/>
      <c r="U425" s="2122"/>
      <c r="V425" s="1948"/>
      <c r="W425" s="1948"/>
      <c r="X425" s="1948"/>
      <c r="Y425" s="2511"/>
      <c r="Z425" s="1948"/>
      <c r="AA425" s="1948"/>
      <c r="AZ425" s="2550"/>
      <c r="BE425" s="2122"/>
      <c r="BF425" s="21"/>
      <c r="BG425" s="21"/>
      <c r="BH425" s="1949"/>
      <c r="BI425" s="1949"/>
      <c r="BJ425" s="515"/>
    </row>
    <row r="426" spans="14:62" s="20" customFormat="1" ht="14.25">
      <c r="N426" s="2144"/>
      <c r="Q426" s="847"/>
      <c r="R426" s="1947"/>
      <c r="T426" s="2122"/>
      <c r="U426" s="2122"/>
      <c r="V426" s="1948"/>
      <c r="W426" s="1948"/>
      <c r="X426" s="1948"/>
      <c r="Y426" s="2511"/>
      <c r="Z426" s="1948"/>
      <c r="AA426" s="1948"/>
      <c r="AZ426" s="2550"/>
      <c r="BE426" s="2122"/>
      <c r="BF426" s="21"/>
      <c r="BG426" s="21"/>
      <c r="BH426" s="1949"/>
      <c r="BI426" s="1949"/>
      <c r="BJ426" s="515"/>
    </row>
    <row r="427" spans="14:62" s="20" customFormat="1" ht="14.25">
      <c r="N427" s="2144"/>
      <c r="Q427" s="847"/>
      <c r="R427" s="1947"/>
      <c r="T427" s="2122"/>
      <c r="U427" s="2122"/>
      <c r="V427" s="1948"/>
      <c r="W427" s="1948"/>
      <c r="X427" s="1948"/>
      <c r="Y427" s="2511"/>
      <c r="Z427" s="1948"/>
      <c r="AA427" s="1948"/>
      <c r="AZ427" s="2550"/>
      <c r="BE427" s="2122"/>
      <c r="BF427" s="21"/>
      <c r="BG427" s="21"/>
      <c r="BH427" s="1949"/>
      <c r="BI427" s="1949"/>
      <c r="BJ427" s="515"/>
    </row>
    <row r="428" spans="14:62" s="20" customFormat="1" ht="14.25">
      <c r="N428" s="2144"/>
      <c r="Q428" s="847"/>
      <c r="R428" s="1947"/>
      <c r="T428" s="2122"/>
      <c r="U428" s="2122"/>
      <c r="V428" s="1948"/>
      <c r="W428" s="1948"/>
      <c r="X428" s="1948"/>
      <c r="Y428" s="2511"/>
      <c r="Z428" s="1948"/>
      <c r="AA428" s="1948"/>
      <c r="AZ428" s="2550"/>
      <c r="BE428" s="2122"/>
      <c r="BF428" s="21"/>
      <c r="BG428" s="21"/>
      <c r="BH428" s="1949"/>
      <c r="BI428" s="1949"/>
      <c r="BJ428" s="515"/>
    </row>
    <row r="429" spans="14:62" s="20" customFormat="1" ht="14.25">
      <c r="N429" s="2144"/>
      <c r="Q429" s="847"/>
      <c r="R429" s="1947"/>
      <c r="T429" s="2122"/>
      <c r="U429" s="2122"/>
      <c r="V429" s="1948"/>
      <c r="W429" s="1948"/>
      <c r="X429" s="1948"/>
      <c r="Y429" s="2511"/>
      <c r="Z429" s="1948"/>
      <c r="AA429" s="1948"/>
      <c r="AZ429" s="2550"/>
      <c r="BE429" s="2122"/>
      <c r="BF429" s="21"/>
      <c r="BG429" s="21"/>
      <c r="BH429" s="1949"/>
      <c r="BI429" s="1949"/>
      <c r="BJ429" s="515"/>
    </row>
    <row r="430" spans="14:62" s="20" customFormat="1" ht="14.25">
      <c r="N430" s="2144"/>
      <c r="Q430" s="847"/>
      <c r="R430" s="1947"/>
      <c r="T430" s="2122"/>
      <c r="U430" s="2122"/>
      <c r="V430" s="1948"/>
      <c r="W430" s="1948"/>
      <c r="X430" s="1948"/>
      <c r="Y430" s="2511"/>
      <c r="Z430" s="1948"/>
      <c r="AA430" s="1948"/>
      <c r="AZ430" s="2550"/>
      <c r="BE430" s="2122"/>
      <c r="BF430" s="21"/>
      <c r="BG430" s="21"/>
      <c r="BH430" s="1949"/>
      <c r="BI430" s="1949"/>
      <c r="BJ430" s="515"/>
    </row>
    <row r="431" spans="14:62" s="20" customFormat="1" ht="14.25">
      <c r="N431" s="2144"/>
      <c r="Q431" s="847"/>
      <c r="R431" s="1947"/>
      <c r="T431" s="2122"/>
      <c r="U431" s="2122"/>
      <c r="V431" s="1948"/>
      <c r="W431" s="1948"/>
      <c r="X431" s="1948"/>
      <c r="Y431" s="2511"/>
      <c r="Z431" s="1948"/>
      <c r="AA431" s="1948"/>
      <c r="AZ431" s="2550"/>
      <c r="BE431" s="2122"/>
      <c r="BF431" s="21"/>
      <c r="BG431" s="21"/>
      <c r="BH431" s="1949"/>
      <c r="BI431" s="1949"/>
      <c r="BJ431" s="515"/>
    </row>
    <row r="432" spans="14:62" s="20" customFormat="1" ht="14.25">
      <c r="N432" s="2144"/>
      <c r="Q432" s="847"/>
      <c r="R432" s="1947"/>
      <c r="T432" s="2122"/>
      <c r="U432" s="2122"/>
      <c r="V432" s="1948"/>
      <c r="W432" s="1948"/>
      <c r="X432" s="1948"/>
      <c r="Y432" s="2511"/>
      <c r="Z432" s="1948"/>
      <c r="AA432" s="1948"/>
      <c r="AZ432" s="2550"/>
      <c r="BE432" s="2122"/>
      <c r="BF432" s="21"/>
      <c r="BG432" s="21"/>
      <c r="BH432" s="1949"/>
      <c r="BI432" s="1949"/>
      <c r="BJ432" s="515"/>
    </row>
    <row r="433" spans="14:62" s="20" customFormat="1" ht="14.25">
      <c r="N433" s="2144"/>
      <c r="Q433" s="847"/>
      <c r="R433" s="1947"/>
      <c r="T433" s="2122"/>
      <c r="U433" s="2122"/>
      <c r="V433" s="1948"/>
      <c r="W433" s="1948"/>
      <c r="X433" s="1948"/>
      <c r="Y433" s="2511"/>
      <c r="Z433" s="1948"/>
      <c r="AA433" s="1948"/>
      <c r="AZ433" s="2550"/>
      <c r="BE433" s="2122"/>
      <c r="BF433" s="21"/>
      <c r="BG433" s="21"/>
      <c r="BH433" s="1949"/>
      <c r="BI433" s="1949"/>
      <c r="BJ433" s="515"/>
    </row>
    <row r="434" spans="14:62" s="20" customFormat="1" ht="14.25">
      <c r="N434" s="2144"/>
      <c r="Q434" s="847"/>
      <c r="R434" s="1947"/>
      <c r="T434" s="2122"/>
      <c r="U434" s="2122"/>
      <c r="V434" s="1948"/>
      <c r="W434" s="1948"/>
      <c r="X434" s="1948"/>
      <c r="Y434" s="2511"/>
      <c r="Z434" s="1948"/>
      <c r="AA434" s="1948"/>
      <c r="AZ434" s="2550"/>
      <c r="BE434" s="2122"/>
      <c r="BF434" s="21"/>
      <c r="BG434" s="21"/>
      <c r="BH434" s="1949"/>
      <c r="BI434" s="1949"/>
      <c r="BJ434" s="515"/>
    </row>
    <row r="435" spans="14:62" s="20" customFormat="1" ht="14.25">
      <c r="N435" s="2144"/>
      <c r="Q435" s="847"/>
      <c r="R435" s="1947"/>
      <c r="T435" s="2122"/>
      <c r="U435" s="2122"/>
      <c r="V435" s="1948"/>
      <c r="W435" s="1948"/>
      <c r="X435" s="1948"/>
      <c r="Y435" s="2511"/>
      <c r="Z435" s="1948"/>
      <c r="AA435" s="1948"/>
      <c r="AZ435" s="2550"/>
      <c r="BE435" s="2122"/>
      <c r="BF435" s="21"/>
      <c r="BG435" s="21"/>
      <c r="BH435" s="1949"/>
      <c r="BI435" s="1949"/>
      <c r="BJ435" s="515"/>
    </row>
    <row r="436" spans="14:62" s="20" customFormat="1" ht="14.25">
      <c r="N436" s="2144"/>
      <c r="Q436" s="847"/>
      <c r="R436" s="1947"/>
      <c r="T436" s="2122"/>
      <c r="U436" s="2122"/>
      <c r="V436" s="1948"/>
      <c r="W436" s="1948"/>
      <c r="X436" s="1948"/>
      <c r="Y436" s="2511"/>
      <c r="Z436" s="1948"/>
      <c r="AA436" s="1948"/>
      <c r="AZ436" s="2550"/>
      <c r="BE436" s="2122"/>
      <c r="BF436" s="21"/>
      <c r="BG436" s="21"/>
      <c r="BH436" s="1949"/>
      <c r="BI436" s="1949"/>
      <c r="BJ436" s="515"/>
    </row>
    <row r="437" spans="14:62" s="20" customFormat="1" ht="14.25">
      <c r="N437" s="2144"/>
      <c r="Q437" s="847"/>
      <c r="R437" s="1947"/>
      <c r="T437" s="2122"/>
      <c r="U437" s="2122"/>
      <c r="V437" s="1948"/>
      <c r="W437" s="1948"/>
      <c r="X437" s="1948"/>
      <c r="Y437" s="2511"/>
      <c r="Z437" s="1948"/>
      <c r="AA437" s="1948"/>
      <c r="AZ437" s="2550"/>
      <c r="BE437" s="2122"/>
      <c r="BF437" s="21"/>
      <c r="BG437" s="21"/>
      <c r="BH437" s="1949"/>
      <c r="BI437" s="1949"/>
      <c r="BJ437" s="515"/>
    </row>
    <row r="438" spans="14:62" s="20" customFormat="1" ht="14.25">
      <c r="N438" s="2144"/>
      <c r="Q438" s="847"/>
      <c r="R438" s="1947"/>
      <c r="T438" s="2122"/>
      <c r="U438" s="2122"/>
      <c r="V438" s="1948"/>
      <c r="W438" s="1948"/>
      <c r="X438" s="1948"/>
      <c r="Y438" s="2511"/>
      <c r="Z438" s="1948"/>
      <c r="AA438" s="1948"/>
      <c r="AZ438" s="2550"/>
      <c r="BE438" s="2122"/>
      <c r="BF438" s="21"/>
      <c r="BG438" s="21"/>
      <c r="BH438" s="1949"/>
      <c r="BI438" s="1949"/>
      <c r="BJ438" s="515"/>
    </row>
    <row r="439" spans="14:62" s="20" customFormat="1" ht="14.25">
      <c r="N439" s="2144"/>
      <c r="Q439" s="847"/>
      <c r="R439" s="1947"/>
      <c r="T439" s="2122"/>
      <c r="U439" s="2122"/>
      <c r="V439" s="1948"/>
      <c r="W439" s="1948"/>
      <c r="X439" s="1948"/>
      <c r="Y439" s="2511"/>
      <c r="Z439" s="1948"/>
      <c r="AA439" s="1948"/>
      <c r="AZ439" s="2550"/>
      <c r="BE439" s="2122"/>
      <c r="BF439" s="21"/>
      <c r="BG439" s="21"/>
      <c r="BH439" s="1949"/>
      <c r="BI439" s="1949"/>
      <c r="BJ439" s="515"/>
    </row>
    <row r="440" spans="14:62" s="20" customFormat="1" ht="14.25">
      <c r="N440" s="2144"/>
      <c r="Q440" s="847"/>
      <c r="R440" s="1947"/>
      <c r="T440" s="2122"/>
      <c r="U440" s="2122"/>
      <c r="V440" s="1948"/>
      <c r="W440" s="1948"/>
      <c r="X440" s="1948"/>
      <c r="Y440" s="2511"/>
      <c r="Z440" s="1948"/>
      <c r="AA440" s="1948"/>
      <c r="AZ440" s="2550"/>
      <c r="BE440" s="2122"/>
      <c r="BF440" s="21"/>
      <c r="BG440" s="21"/>
      <c r="BH440" s="1949"/>
      <c r="BI440" s="1949"/>
      <c r="BJ440" s="515"/>
    </row>
    <row r="441" spans="14:62" s="20" customFormat="1" ht="14.25">
      <c r="N441" s="2144"/>
      <c r="Q441" s="847"/>
      <c r="R441" s="1947"/>
      <c r="T441" s="2122"/>
      <c r="U441" s="2122"/>
      <c r="V441" s="1948"/>
      <c r="W441" s="1948"/>
      <c r="X441" s="1948"/>
      <c r="Y441" s="2511"/>
      <c r="Z441" s="1948"/>
      <c r="AA441" s="1948"/>
      <c r="AZ441" s="2550"/>
      <c r="BE441" s="2122"/>
      <c r="BF441" s="21"/>
      <c r="BG441" s="21"/>
      <c r="BH441" s="1949"/>
      <c r="BI441" s="1949"/>
      <c r="BJ441" s="515"/>
    </row>
    <row r="442" spans="14:62" s="20" customFormat="1" ht="14.25">
      <c r="N442" s="2144"/>
      <c r="Q442" s="847"/>
      <c r="R442" s="1947"/>
      <c r="T442" s="2122"/>
      <c r="U442" s="2122"/>
      <c r="V442" s="1948"/>
      <c r="W442" s="1948"/>
      <c r="X442" s="1948"/>
      <c r="Y442" s="2511"/>
      <c r="Z442" s="1948"/>
      <c r="AA442" s="1948"/>
      <c r="AZ442" s="2550"/>
      <c r="BE442" s="2122"/>
      <c r="BF442" s="21"/>
      <c r="BG442" s="21"/>
      <c r="BH442" s="1949"/>
      <c r="BI442" s="1949"/>
      <c r="BJ442" s="515"/>
    </row>
    <row r="443" spans="14:62" s="20" customFormat="1" ht="14.25">
      <c r="N443" s="2144"/>
      <c r="Q443" s="847"/>
      <c r="R443" s="1947"/>
      <c r="T443" s="2122"/>
      <c r="U443" s="2122"/>
      <c r="V443" s="1948"/>
      <c r="W443" s="1948"/>
      <c r="X443" s="1948"/>
      <c r="Y443" s="2511"/>
      <c r="Z443" s="1948"/>
      <c r="AA443" s="1948"/>
      <c r="AZ443" s="2550"/>
      <c r="BE443" s="2122"/>
      <c r="BF443" s="21"/>
      <c r="BG443" s="21"/>
      <c r="BH443" s="1949"/>
      <c r="BI443" s="1949"/>
      <c r="BJ443" s="515"/>
    </row>
    <row r="444" spans="14:62" s="20" customFormat="1" ht="14.25">
      <c r="N444" s="2144"/>
      <c r="Q444" s="847"/>
      <c r="R444" s="1947"/>
      <c r="T444" s="2122"/>
      <c r="U444" s="2122"/>
      <c r="V444" s="1948"/>
      <c r="W444" s="1948"/>
      <c r="X444" s="1948"/>
      <c r="Y444" s="2511"/>
      <c r="Z444" s="1948"/>
      <c r="AA444" s="1948"/>
      <c r="AZ444" s="2550"/>
      <c r="BE444" s="2122"/>
      <c r="BF444" s="21"/>
      <c r="BG444" s="21"/>
      <c r="BH444" s="1949"/>
      <c r="BI444" s="1949"/>
      <c r="BJ444" s="515"/>
    </row>
    <row r="445" spans="14:62" s="20" customFormat="1" ht="14.25">
      <c r="N445" s="2144"/>
      <c r="Q445" s="847"/>
      <c r="R445" s="1947"/>
      <c r="T445" s="2122"/>
      <c r="U445" s="2122"/>
      <c r="V445" s="1948"/>
      <c r="W445" s="1948"/>
      <c r="X445" s="1948"/>
      <c r="Y445" s="2511"/>
      <c r="Z445" s="1948"/>
      <c r="AA445" s="1948"/>
      <c r="AZ445" s="2550"/>
      <c r="BE445" s="2122"/>
      <c r="BF445" s="21"/>
      <c r="BG445" s="21"/>
      <c r="BH445" s="1949"/>
      <c r="BI445" s="1949"/>
      <c r="BJ445" s="515"/>
    </row>
    <row r="446" spans="14:62" s="20" customFormat="1" ht="14.25">
      <c r="N446" s="2144"/>
      <c r="Q446" s="847"/>
      <c r="R446" s="1947"/>
      <c r="T446" s="2122"/>
      <c r="U446" s="2122"/>
      <c r="V446" s="1948"/>
      <c r="W446" s="1948"/>
      <c r="X446" s="1948"/>
      <c r="Y446" s="2511"/>
      <c r="Z446" s="1948"/>
      <c r="AA446" s="1948"/>
      <c r="AZ446" s="2550"/>
      <c r="BE446" s="2122"/>
      <c r="BF446" s="21"/>
      <c r="BG446" s="21"/>
      <c r="BH446" s="1949"/>
      <c r="BI446" s="1949"/>
      <c r="BJ446" s="515"/>
    </row>
    <row r="447" spans="14:62" s="20" customFormat="1" ht="14.25">
      <c r="N447" s="2144"/>
      <c r="Q447" s="847"/>
      <c r="R447" s="1947"/>
      <c r="T447" s="2122"/>
      <c r="U447" s="2122"/>
      <c r="V447" s="1948"/>
      <c r="W447" s="1948"/>
      <c r="X447" s="1948"/>
      <c r="Y447" s="2511"/>
      <c r="Z447" s="1948"/>
      <c r="AA447" s="1948"/>
      <c r="AZ447" s="2550"/>
      <c r="BE447" s="2122"/>
      <c r="BF447" s="21"/>
      <c r="BG447" s="21"/>
      <c r="BH447" s="1949"/>
      <c r="BI447" s="1949"/>
      <c r="BJ447" s="515"/>
    </row>
    <row r="448" spans="14:62" s="20" customFormat="1" ht="14.25">
      <c r="N448" s="2144"/>
      <c r="Q448" s="847"/>
      <c r="R448" s="1947"/>
      <c r="T448" s="2122"/>
      <c r="U448" s="2122"/>
      <c r="V448" s="1948"/>
      <c r="W448" s="1948"/>
      <c r="X448" s="1948"/>
      <c r="Y448" s="2511"/>
      <c r="Z448" s="1948"/>
      <c r="AA448" s="1948"/>
      <c r="AZ448" s="2550"/>
      <c r="BE448" s="2122"/>
      <c r="BF448" s="21"/>
      <c r="BG448" s="21"/>
      <c r="BH448" s="1949"/>
      <c r="BI448" s="1949"/>
      <c r="BJ448" s="515"/>
    </row>
    <row r="449" spans="14:62" s="20" customFormat="1" ht="14.25">
      <c r="N449" s="2144"/>
      <c r="Q449" s="847"/>
      <c r="R449" s="1947"/>
      <c r="T449" s="2122"/>
      <c r="U449" s="2122"/>
      <c r="V449" s="1948"/>
      <c r="W449" s="1948"/>
      <c r="X449" s="1948"/>
      <c r="Y449" s="2511"/>
      <c r="Z449" s="1948"/>
      <c r="AA449" s="1948"/>
      <c r="AZ449" s="2550"/>
      <c r="BE449" s="2122"/>
      <c r="BF449" s="21"/>
      <c r="BG449" s="21"/>
      <c r="BH449" s="1949"/>
      <c r="BI449" s="1949"/>
      <c r="BJ449" s="515"/>
    </row>
    <row r="450" spans="14:62" s="20" customFormat="1" ht="14.25">
      <c r="N450" s="2144"/>
      <c r="Q450" s="847"/>
      <c r="R450" s="1947"/>
      <c r="T450" s="2122"/>
      <c r="U450" s="2122"/>
      <c r="V450" s="1948"/>
      <c r="W450" s="1948"/>
      <c r="X450" s="1948"/>
      <c r="Y450" s="2511"/>
      <c r="Z450" s="1948"/>
      <c r="AA450" s="1948"/>
      <c r="AZ450" s="2550"/>
      <c r="BE450" s="2122"/>
      <c r="BF450" s="21"/>
      <c r="BG450" s="21"/>
      <c r="BH450" s="1949"/>
      <c r="BI450" s="1949"/>
      <c r="BJ450" s="515"/>
    </row>
    <row r="451" spans="14:62" s="20" customFormat="1" ht="14.25">
      <c r="N451" s="2144"/>
      <c r="Q451" s="847"/>
      <c r="R451" s="1947"/>
      <c r="T451" s="2122"/>
      <c r="U451" s="2122"/>
      <c r="V451" s="1948"/>
      <c r="W451" s="1948"/>
      <c r="X451" s="1948"/>
      <c r="Y451" s="2511"/>
      <c r="Z451" s="1948"/>
      <c r="AA451" s="1948"/>
      <c r="AZ451" s="2550"/>
      <c r="BE451" s="2122"/>
      <c r="BF451" s="21"/>
      <c r="BG451" s="21"/>
      <c r="BH451" s="1949"/>
      <c r="BI451" s="1949"/>
      <c r="BJ451" s="515"/>
    </row>
    <row r="452" spans="14:62" s="20" customFormat="1" ht="14.25">
      <c r="N452" s="2144"/>
      <c r="Q452" s="847"/>
      <c r="R452" s="1947"/>
      <c r="T452" s="2122"/>
      <c r="U452" s="2122"/>
      <c r="V452" s="1948"/>
      <c r="W452" s="1948"/>
      <c r="X452" s="1948"/>
      <c r="Y452" s="2511"/>
      <c r="Z452" s="1948"/>
      <c r="AA452" s="1948"/>
      <c r="AZ452" s="2550"/>
      <c r="BE452" s="2122"/>
      <c r="BF452" s="21"/>
      <c r="BG452" s="21"/>
      <c r="BH452" s="1949"/>
      <c r="BI452" s="1949"/>
      <c r="BJ452" s="515"/>
    </row>
    <row r="453" spans="14:62" s="20" customFormat="1" ht="14.25">
      <c r="N453" s="2144"/>
      <c r="Q453" s="847"/>
      <c r="R453" s="1947"/>
      <c r="T453" s="2122"/>
      <c r="U453" s="2122"/>
      <c r="V453" s="1948"/>
      <c r="W453" s="1948"/>
      <c r="X453" s="1948"/>
      <c r="Y453" s="2511"/>
      <c r="Z453" s="1948"/>
      <c r="AA453" s="1948"/>
      <c r="AZ453" s="2550"/>
      <c r="BE453" s="2122"/>
      <c r="BF453" s="21"/>
      <c r="BG453" s="21"/>
      <c r="BH453" s="1949"/>
      <c r="BI453" s="1949"/>
      <c r="BJ453" s="515"/>
    </row>
    <row r="454" spans="14:62" s="20" customFormat="1" ht="14.25">
      <c r="N454" s="2144"/>
      <c r="Q454" s="847"/>
      <c r="R454" s="1947"/>
      <c r="T454" s="2122"/>
      <c r="U454" s="2122"/>
      <c r="V454" s="1948"/>
      <c r="W454" s="1948"/>
      <c r="X454" s="1948"/>
      <c r="Y454" s="2511"/>
      <c r="Z454" s="1948"/>
      <c r="AA454" s="1948"/>
      <c r="AZ454" s="2550"/>
      <c r="BE454" s="2122"/>
      <c r="BF454" s="21"/>
      <c r="BG454" s="21"/>
      <c r="BH454" s="1949"/>
      <c r="BI454" s="1949"/>
      <c r="BJ454" s="515"/>
    </row>
    <row r="455" spans="14:62" s="20" customFormat="1" ht="14.25">
      <c r="N455" s="2144"/>
      <c r="Q455" s="847"/>
      <c r="R455" s="1947"/>
      <c r="T455" s="2122"/>
      <c r="U455" s="2122"/>
      <c r="V455" s="1948"/>
      <c r="W455" s="1948"/>
      <c r="X455" s="1948"/>
      <c r="Y455" s="2511"/>
      <c r="Z455" s="1948"/>
      <c r="AA455" s="1948"/>
      <c r="AZ455" s="2550"/>
      <c r="BE455" s="2122"/>
      <c r="BF455" s="21"/>
      <c r="BG455" s="21"/>
      <c r="BH455" s="1949"/>
      <c r="BI455" s="1949"/>
      <c r="BJ455" s="515"/>
    </row>
    <row r="456" spans="14:62" s="20" customFormat="1" ht="14.25">
      <c r="N456" s="2144"/>
      <c r="Q456" s="847"/>
      <c r="R456" s="1947"/>
      <c r="T456" s="2122"/>
      <c r="U456" s="2122"/>
      <c r="V456" s="1948"/>
      <c r="W456" s="1948"/>
      <c r="X456" s="1948"/>
      <c r="Y456" s="2511"/>
      <c r="Z456" s="1948"/>
      <c r="AA456" s="1948"/>
      <c r="AZ456" s="2550"/>
      <c r="BE456" s="2122"/>
      <c r="BF456" s="21"/>
      <c r="BG456" s="21"/>
      <c r="BH456" s="1949"/>
      <c r="BI456" s="1949"/>
      <c r="BJ456" s="515"/>
    </row>
    <row r="457" spans="14:62" s="20" customFormat="1" ht="14.25">
      <c r="N457" s="2144"/>
      <c r="Q457" s="847"/>
      <c r="R457" s="1947"/>
      <c r="T457" s="2122"/>
      <c r="U457" s="2122"/>
      <c r="V457" s="1948"/>
      <c r="W457" s="1948"/>
      <c r="X457" s="1948"/>
      <c r="Y457" s="2511"/>
      <c r="Z457" s="1948"/>
      <c r="AA457" s="1948"/>
      <c r="AZ457" s="2550"/>
      <c r="BE457" s="2122"/>
      <c r="BF457" s="21"/>
      <c r="BG457" s="21"/>
      <c r="BH457" s="1949"/>
      <c r="BI457" s="1949"/>
      <c r="BJ457" s="515"/>
    </row>
    <row r="458" spans="14:62" s="20" customFormat="1" ht="14.25">
      <c r="N458" s="2144"/>
      <c r="Q458" s="847"/>
      <c r="R458" s="1947"/>
      <c r="T458" s="2122"/>
      <c r="U458" s="2122"/>
      <c r="V458" s="1948"/>
      <c r="W458" s="1948"/>
      <c r="X458" s="1948"/>
      <c r="Y458" s="2511"/>
      <c r="Z458" s="1948"/>
      <c r="AA458" s="1948"/>
      <c r="AZ458" s="2550"/>
      <c r="BE458" s="2122"/>
      <c r="BF458" s="21"/>
      <c r="BG458" s="21"/>
      <c r="BH458" s="1949"/>
      <c r="BI458" s="1949"/>
      <c r="BJ458" s="515"/>
    </row>
    <row r="459" spans="14:62" s="20" customFormat="1" ht="14.25">
      <c r="N459" s="2144"/>
      <c r="Q459" s="847"/>
      <c r="R459" s="1947"/>
      <c r="T459" s="2122"/>
      <c r="U459" s="2122"/>
      <c r="V459" s="1948"/>
      <c r="W459" s="1948"/>
      <c r="X459" s="1948"/>
      <c r="Y459" s="2511"/>
      <c r="Z459" s="1948"/>
      <c r="AA459" s="1948"/>
      <c r="AZ459" s="2550"/>
      <c r="BE459" s="2122"/>
      <c r="BF459" s="21"/>
      <c r="BG459" s="21"/>
      <c r="BH459" s="1949"/>
      <c r="BI459" s="1949"/>
      <c r="BJ459" s="515"/>
    </row>
    <row r="460" spans="14:62" s="20" customFormat="1" ht="14.25">
      <c r="N460" s="2144"/>
      <c r="Q460" s="847"/>
      <c r="R460" s="1947"/>
      <c r="T460" s="2122"/>
      <c r="U460" s="2122"/>
      <c r="V460" s="1948"/>
      <c r="W460" s="1948"/>
      <c r="X460" s="1948"/>
      <c r="Y460" s="2511"/>
      <c r="Z460" s="1948"/>
      <c r="AA460" s="1948"/>
      <c r="AZ460" s="2550"/>
      <c r="BE460" s="2122"/>
      <c r="BF460" s="21"/>
      <c r="BG460" s="21"/>
      <c r="BH460" s="1949"/>
      <c r="BI460" s="1949"/>
      <c r="BJ460" s="515"/>
    </row>
    <row r="461" spans="14:62" s="20" customFormat="1" ht="14.25">
      <c r="N461" s="2144"/>
      <c r="Q461" s="847"/>
      <c r="R461" s="1947"/>
      <c r="T461" s="2122"/>
      <c r="U461" s="2122"/>
      <c r="V461" s="1948"/>
      <c r="W461" s="1948"/>
      <c r="X461" s="1948"/>
      <c r="Y461" s="2511"/>
      <c r="Z461" s="1948"/>
      <c r="AA461" s="1948"/>
      <c r="AZ461" s="2550"/>
      <c r="BE461" s="2122"/>
      <c r="BF461" s="21"/>
      <c r="BG461" s="21"/>
      <c r="BH461" s="1949"/>
      <c r="BI461" s="1949"/>
      <c r="BJ461" s="515"/>
    </row>
    <row r="462" spans="14:62" s="20" customFormat="1" ht="14.25">
      <c r="N462" s="2144"/>
      <c r="Q462" s="847"/>
      <c r="R462" s="1947"/>
      <c r="T462" s="2122"/>
      <c r="U462" s="2122"/>
      <c r="V462" s="1948"/>
      <c r="W462" s="1948"/>
      <c r="X462" s="1948"/>
      <c r="Y462" s="2511"/>
      <c r="Z462" s="1948"/>
      <c r="AA462" s="1948"/>
      <c r="AZ462" s="2550"/>
      <c r="BE462" s="2122"/>
      <c r="BF462" s="21"/>
      <c r="BG462" s="21"/>
      <c r="BH462" s="1949"/>
      <c r="BI462" s="1949"/>
      <c r="BJ462" s="515"/>
    </row>
    <row r="463" spans="14:62" s="20" customFormat="1" ht="14.25">
      <c r="N463" s="2144"/>
      <c r="Q463" s="847"/>
      <c r="R463" s="1947"/>
      <c r="T463" s="2122"/>
      <c r="U463" s="2122"/>
      <c r="V463" s="1948"/>
      <c r="W463" s="1948"/>
      <c r="X463" s="1948"/>
      <c r="Y463" s="2511"/>
      <c r="Z463" s="1948"/>
      <c r="AA463" s="1948"/>
      <c r="AZ463" s="2550"/>
      <c r="BE463" s="2122"/>
      <c r="BF463" s="21"/>
      <c r="BG463" s="21"/>
      <c r="BH463" s="1949"/>
      <c r="BI463" s="1949"/>
      <c r="BJ463" s="515"/>
    </row>
    <row r="464" spans="14:62" s="20" customFormat="1" ht="14.25">
      <c r="N464" s="2144"/>
      <c r="Q464" s="847"/>
      <c r="R464" s="1947"/>
      <c r="T464" s="2122"/>
      <c r="U464" s="2122"/>
      <c r="V464" s="1948"/>
      <c r="W464" s="1948"/>
      <c r="X464" s="1948"/>
      <c r="Y464" s="2511"/>
      <c r="Z464" s="1948"/>
      <c r="AA464" s="1948"/>
      <c r="AZ464" s="2550"/>
      <c r="BE464" s="2122"/>
      <c r="BF464" s="21"/>
      <c r="BG464" s="21"/>
      <c r="BH464" s="1949"/>
      <c r="BI464" s="1949"/>
      <c r="BJ464" s="515"/>
    </row>
    <row r="465" spans="14:62" s="20" customFormat="1" ht="14.25">
      <c r="N465" s="2144"/>
      <c r="Q465" s="847"/>
      <c r="R465" s="1947"/>
      <c r="T465" s="2122"/>
      <c r="U465" s="2122"/>
      <c r="V465" s="1948"/>
      <c r="W465" s="1948"/>
      <c r="X465" s="1948"/>
      <c r="Y465" s="2511"/>
      <c r="Z465" s="1948"/>
      <c r="AA465" s="1948"/>
      <c r="AZ465" s="2550"/>
      <c r="BE465" s="2122"/>
      <c r="BF465" s="21"/>
      <c r="BG465" s="21"/>
      <c r="BH465" s="1949"/>
      <c r="BI465" s="1949"/>
      <c r="BJ465" s="515"/>
    </row>
    <row r="466" spans="14:62" s="20" customFormat="1" ht="14.25">
      <c r="N466" s="2144"/>
      <c r="Q466" s="847"/>
      <c r="R466" s="1947"/>
      <c r="T466" s="2122"/>
      <c r="U466" s="2122"/>
      <c r="V466" s="1948"/>
      <c r="W466" s="1948"/>
      <c r="X466" s="1948"/>
      <c r="Y466" s="2511"/>
      <c r="Z466" s="1948"/>
      <c r="AA466" s="1948"/>
      <c r="AZ466" s="2550"/>
      <c r="BE466" s="2122"/>
      <c r="BF466" s="21"/>
      <c r="BG466" s="21"/>
      <c r="BH466" s="1949"/>
      <c r="BI466" s="1949"/>
      <c r="BJ466" s="515"/>
    </row>
    <row r="467" spans="14:62" s="20" customFormat="1" ht="14.25">
      <c r="N467" s="2144"/>
      <c r="Q467" s="847"/>
      <c r="R467" s="1947"/>
      <c r="T467" s="2122"/>
      <c r="U467" s="2122"/>
      <c r="V467" s="1948"/>
      <c r="W467" s="1948"/>
      <c r="X467" s="1948"/>
      <c r="Y467" s="2511"/>
      <c r="Z467" s="1948"/>
      <c r="AA467" s="1948"/>
      <c r="AZ467" s="2550"/>
      <c r="BE467" s="2122"/>
      <c r="BF467" s="21"/>
      <c r="BG467" s="21"/>
      <c r="BH467" s="1949"/>
      <c r="BI467" s="1949"/>
      <c r="BJ467" s="515"/>
    </row>
    <row r="468" spans="14:62" s="20" customFormat="1" ht="14.25">
      <c r="N468" s="2144"/>
      <c r="Q468" s="847"/>
      <c r="R468" s="1947"/>
      <c r="T468" s="2122"/>
      <c r="U468" s="2122"/>
      <c r="V468" s="1948"/>
      <c r="W468" s="1948"/>
      <c r="X468" s="1948"/>
      <c r="Y468" s="2511"/>
      <c r="Z468" s="1948"/>
      <c r="AA468" s="1948"/>
      <c r="AZ468" s="2550"/>
      <c r="BE468" s="2122"/>
      <c r="BF468" s="21"/>
      <c r="BG468" s="21"/>
      <c r="BH468" s="1949"/>
      <c r="BI468" s="1949"/>
      <c r="BJ468" s="515"/>
    </row>
    <row r="469" spans="14:62" s="20" customFormat="1" ht="14.25">
      <c r="N469" s="2144"/>
      <c r="Q469" s="847"/>
      <c r="R469" s="1947"/>
      <c r="T469" s="2122"/>
      <c r="U469" s="2122"/>
      <c r="V469" s="1948"/>
      <c r="W469" s="1948"/>
      <c r="X469" s="1948"/>
      <c r="Y469" s="2511"/>
      <c r="Z469" s="1948"/>
      <c r="AA469" s="1948"/>
      <c r="AZ469" s="2550"/>
      <c r="BE469" s="2122"/>
      <c r="BF469" s="21"/>
      <c r="BG469" s="21"/>
      <c r="BH469" s="1949"/>
      <c r="BI469" s="1949"/>
      <c r="BJ469" s="515"/>
    </row>
    <row r="470" spans="14:62" s="20" customFormat="1" ht="14.25">
      <c r="N470" s="2144"/>
      <c r="Q470" s="847"/>
      <c r="R470" s="1947"/>
      <c r="T470" s="2122"/>
      <c r="U470" s="2122"/>
      <c r="V470" s="1948"/>
      <c r="W470" s="1948"/>
      <c r="X470" s="1948"/>
      <c r="Y470" s="2511"/>
      <c r="Z470" s="1948"/>
      <c r="AA470" s="1948"/>
      <c r="AZ470" s="2550"/>
      <c r="BE470" s="2122"/>
      <c r="BF470" s="21"/>
      <c r="BG470" s="21"/>
      <c r="BH470" s="1949"/>
      <c r="BI470" s="1949"/>
      <c r="BJ470" s="515"/>
    </row>
    <row r="471" spans="14:62" s="20" customFormat="1" ht="14.25">
      <c r="N471" s="2144"/>
      <c r="Q471" s="847"/>
      <c r="R471" s="1947"/>
      <c r="T471" s="2122"/>
      <c r="U471" s="2122"/>
      <c r="V471" s="1948"/>
      <c r="W471" s="1948"/>
      <c r="X471" s="1948"/>
      <c r="Y471" s="2511"/>
      <c r="Z471" s="1948"/>
      <c r="AA471" s="1948"/>
      <c r="AZ471" s="2550"/>
      <c r="BE471" s="2122"/>
      <c r="BF471" s="21"/>
      <c r="BG471" s="21"/>
      <c r="BH471" s="1949"/>
      <c r="BI471" s="1949"/>
      <c r="BJ471" s="515"/>
    </row>
    <row r="472" spans="14:62" s="20" customFormat="1" ht="14.25">
      <c r="N472" s="2144"/>
      <c r="Q472" s="847"/>
      <c r="R472" s="1947"/>
      <c r="T472" s="2122"/>
      <c r="U472" s="2122"/>
      <c r="V472" s="1948"/>
      <c r="W472" s="1948"/>
      <c r="X472" s="1948"/>
      <c r="Y472" s="2511"/>
      <c r="Z472" s="1948"/>
      <c r="AA472" s="1948"/>
      <c r="AZ472" s="2550"/>
      <c r="BE472" s="2122"/>
      <c r="BF472" s="21"/>
      <c r="BG472" s="21"/>
      <c r="BH472" s="1949"/>
      <c r="BI472" s="1949"/>
      <c r="BJ472" s="515"/>
    </row>
    <row r="473" spans="14:62" s="20" customFormat="1" ht="14.25">
      <c r="N473" s="2144"/>
      <c r="Q473" s="847"/>
      <c r="R473" s="1947"/>
      <c r="T473" s="2122"/>
      <c r="U473" s="2122"/>
      <c r="V473" s="1948"/>
      <c r="W473" s="1948"/>
      <c r="X473" s="1948"/>
      <c r="Y473" s="2511"/>
      <c r="Z473" s="1948"/>
      <c r="AA473" s="1948"/>
      <c r="AZ473" s="2550"/>
      <c r="BE473" s="2122"/>
      <c r="BF473" s="21"/>
      <c r="BG473" s="21"/>
      <c r="BH473" s="1949"/>
      <c r="BI473" s="1949"/>
      <c r="BJ473" s="515"/>
    </row>
    <row r="474" spans="14:62" s="20" customFormat="1" ht="14.25">
      <c r="N474" s="2144"/>
      <c r="Q474" s="847"/>
      <c r="R474" s="1947"/>
      <c r="T474" s="2122"/>
      <c r="U474" s="2122"/>
      <c r="V474" s="1948"/>
      <c r="W474" s="1948"/>
      <c r="X474" s="1948"/>
      <c r="Y474" s="2511"/>
      <c r="Z474" s="1948"/>
      <c r="AA474" s="1948"/>
      <c r="AZ474" s="2550"/>
      <c r="BE474" s="2122"/>
      <c r="BF474" s="21"/>
      <c r="BG474" s="21"/>
      <c r="BH474" s="1949"/>
      <c r="BI474" s="1949"/>
      <c r="BJ474" s="515"/>
    </row>
    <row r="475" spans="14:62" s="20" customFormat="1" ht="14.25">
      <c r="N475" s="2144"/>
      <c r="Q475" s="847"/>
      <c r="R475" s="1947"/>
      <c r="T475" s="2122"/>
      <c r="U475" s="2122"/>
      <c r="V475" s="1948"/>
      <c r="W475" s="1948"/>
      <c r="X475" s="1948"/>
      <c r="Y475" s="2511"/>
      <c r="Z475" s="1948"/>
      <c r="AA475" s="1948"/>
      <c r="AZ475" s="2550"/>
      <c r="BE475" s="2122"/>
      <c r="BF475" s="21"/>
      <c r="BG475" s="21"/>
      <c r="BH475" s="1949"/>
      <c r="BI475" s="1949"/>
      <c r="BJ475" s="515"/>
    </row>
    <row r="476" spans="14:62" s="20" customFormat="1" ht="14.25">
      <c r="N476" s="2144"/>
      <c r="Q476" s="847"/>
      <c r="R476" s="1947"/>
      <c r="T476" s="2122"/>
      <c r="U476" s="2122"/>
      <c r="V476" s="1948"/>
      <c r="W476" s="1948"/>
      <c r="X476" s="1948"/>
      <c r="Y476" s="2511"/>
      <c r="Z476" s="1948"/>
      <c r="AA476" s="1948"/>
      <c r="AZ476" s="2550"/>
      <c r="BE476" s="2122"/>
      <c r="BF476" s="21"/>
      <c r="BG476" s="21"/>
      <c r="BH476" s="1949"/>
      <c r="BI476" s="1949"/>
      <c r="BJ476" s="515"/>
    </row>
    <row r="477" spans="14:62" s="20" customFormat="1" ht="14.25">
      <c r="N477" s="2144"/>
      <c r="Q477" s="847"/>
      <c r="R477" s="1947"/>
      <c r="T477" s="2122"/>
      <c r="U477" s="2122"/>
      <c r="V477" s="1948"/>
      <c r="W477" s="1948"/>
      <c r="X477" s="1948"/>
      <c r="Y477" s="2511"/>
      <c r="Z477" s="1948"/>
      <c r="AA477" s="1948"/>
      <c r="AZ477" s="2550"/>
      <c r="BE477" s="2122"/>
      <c r="BF477" s="21"/>
      <c r="BG477" s="21"/>
      <c r="BH477" s="1949"/>
      <c r="BI477" s="1949"/>
      <c r="BJ477" s="515"/>
    </row>
    <row r="478" spans="14:62" s="20" customFormat="1" ht="14.25">
      <c r="N478" s="2144"/>
      <c r="Q478" s="847"/>
      <c r="R478" s="1947"/>
      <c r="T478" s="2122"/>
      <c r="U478" s="2122"/>
      <c r="V478" s="1948"/>
      <c r="W478" s="1948"/>
      <c r="X478" s="1948"/>
      <c r="Y478" s="2511"/>
      <c r="Z478" s="1948"/>
      <c r="AA478" s="1948"/>
      <c r="AZ478" s="2550"/>
      <c r="BE478" s="2122"/>
      <c r="BF478" s="21"/>
      <c r="BG478" s="21"/>
      <c r="BH478" s="1949"/>
      <c r="BI478" s="1949"/>
      <c r="BJ478" s="515"/>
    </row>
    <row r="479" spans="14:62" s="20" customFormat="1" ht="14.25">
      <c r="N479" s="2144"/>
      <c r="Q479" s="847"/>
      <c r="R479" s="1947"/>
      <c r="T479" s="2122"/>
      <c r="U479" s="2122"/>
      <c r="V479" s="1948"/>
      <c r="W479" s="1948"/>
      <c r="X479" s="1948"/>
      <c r="Y479" s="2511"/>
      <c r="Z479" s="1948"/>
      <c r="AA479" s="1948"/>
      <c r="AZ479" s="2550"/>
      <c r="BE479" s="2122"/>
      <c r="BF479" s="21"/>
      <c r="BG479" s="21"/>
      <c r="BH479" s="1949"/>
      <c r="BI479" s="1949"/>
      <c r="BJ479" s="515"/>
    </row>
    <row r="480" spans="14:62" s="20" customFormat="1" ht="14.25">
      <c r="N480" s="2144"/>
      <c r="Q480" s="847"/>
      <c r="R480" s="1947"/>
      <c r="T480" s="2122"/>
      <c r="U480" s="2122"/>
      <c r="V480" s="1948"/>
      <c r="W480" s="1948"/>
      <c r="X480" s="1948"/>
      <c r="Y480" s="2511"/>
      <c r="Z480" s="1948"/>
      <c r="AA480" s="1948"/>
      <c r="AZ480" s="2550"/>
      <c r="BE480" s="2122"/>
      <c r="BF480" s="21"/>
      <c r="BG480" s="21"/>
      <c r="BH480" s="1949"/>
      <c r="BI480" s="1949"/>
      <c r="BJ480" s="515"/>
    </row>
    <row r="481" spans="14:62" s="20" customFormat="1" ht="14.25">
      <c r="N481" s="2144"/>
      <c r="Q481" s="847"/>
      <c r="R481" s="1947"/>
      <c r="T481" s="2122"/>
      <c r="U481" s="2122"/>
      <c r="V481" s="1948"/>
      <c r="W481" s="1948"/>
      <c r="X481" s="1948"/>
      <c r="Y481" s="2511"/>
      <c r="Z481" s="1948"/>
      <c r="AA481" s="1948"/>
      <c r="AZ481" s="2550"/>
      <c r="BE481" s="2122"/>
      <c r="BF481" s="21"/>
      <c r="BG481" s="21"/>
      <c r="BH481" s="1949"/>
      <c r="BI481" s="1949"/>
      <c r="BJ481" s="515"/>
    </row>
    <row r="482" spans="14:62" s="20" customFormat="1" ht="14.25">
      <c r="N482" s="2144"/>
      <c r="Q482" s="847"/>
      <c r="R482" s="1947"/>
      <c r="T482" s="2122"/>
      <c r="U482" s="2122"/>
      <c r="V482" s="1948"/>
      <c r="W482" s="1948"/>
      <c r="X482" s="1948"/>
      <c r="Y482" s="2511"/>
      <c r="Z482" s="1948"/>
      <c r="AA482" s="1948"/>
      <c r="AZ482" s="2550"/>
      <c r="BE482" s="2122"/>
      <c r="BF482" s="21"/>
      <c r="BG482" s="21"/>
      <c r="BH482" s="1949"/>
      <c r="BI482" s="1949"/>
      <c r="BJ482" s="515"/>
    </row>
    <row r="483" spans="14:62" s="20" customFormat="1" ht="14.25">
      <c r="N483" s="2144"/>
      <c r="Q483" s="847"/>
      <c r="R483" s="1947"/>
      <c r="T483" s="2122"/>
      <c r="U483" s="2122"/>
      <c r="V483" s="1948"/>
      <c r="W483" s="1948"/>
      <c r="X483" s="1948"/>
      <c r="Y483" s="2511"/>
      <c r="Z483" s="1948"/>
      <c r="AA483" s="1948"/>
      <c r="AZ483" s="2550"/>
      <c r="BE483" s="2122"/>
      <c r="BF483" s="21"/>
      <c r="BG483" s="21"/>
      <c r="BH483" s="1949"/>
      <c r="BI483" s="1949"/>
      <c r="BJ483" s="515"/>
    </row>
    <row r="484" spans="14:62" s="20" customFormat="1" ht="14.25">
      <c r="N484" s="2144"/>
      <c r="Q484" s="847"/>
      <c r="R484" s="1947"/>
      <c r="T484" s="2122"/>
      <c r="U484" s="2122"/>
      <c r="V484" s="1948"/>
      <c r="W484" s="1948"/>
      <c r="X484" s="1948"/>
      <c r="Y484" s="2511"/>
      <c r="Z484" s="1948"/>
      <c r="AA484" s="1948"/>
      <c r="AZ484" s="2550"/>
      <c r="BE484" s="2122"/>
      <c r="BF484" s="21"/>
      <c r="BG484" s="21"/>
      <c r="BH484" s="1949"/>
      <c r="BI484" s="1949"/>
      <c r="BJ484" s="515"/>
    </row>
    <row r="485" spans="14:62" s="20" customFormat="1" ht="14.25">
      <c r="N485" s="2144"/>
      <c r="Q485" s="847"/>
      <c r="R485" s="1947"/>
      <c r="T485" s="2122"/>
      <c r="U485" s="2122"/>
      <c r="V485" s="1948"/>
      <c r="W485" s="1948"/>
      <c r="X485" s="1948"/>
      <c r="Y485" s="2511"/>
      <c r="Z485" s="1948"/>
      <c r="AA485" s="1948"/>
      <c r="AZ485" s="2550"/>
      <c r="BE485" s="2122"/>
      <c r="BF485" s="21"/>
      <c r="BG485" s="21"/>
      <c r="BH485" s="1949"/>
      <c r="BI485" s="1949"/>
      <c r="BJ485" s="515"/>
    </row>
    <row r="486" spans="14:62" s="20" customFormat="1" ht="14.25">
      <c r="N486" s="2144"/>
      <c r="Q486" s="847"/>
      <c r="R486" s="1947"/>
      <c r="T486" s="2122"/>
      <c r="U486" s="2122"/>
      <c r="V486" s="1948"/>
      <c r="W486" s="1948"/>
      <c r="X486" s="1948"/>
      <c r="Y486" s="2511"/>
      <c r="Z486" s="1948"/>
      <c r="AA486" s="1948"/>
      <c r="AZ486" s="2550"/>
      <c r="BE486" s="2122"/>
      <c r="BF486" s="21"/>
      <c r="BG486" s="21"/>
      <c r="BH486" s="1949"/>
      <c r="BI486" s="1949"/>
      <c r="BJ486" s="515"/>
    </row>
    <row r="487" spans="14:62" s="20" customFormat="1" ht="14.25">
      <c r="N487" s="2144"/>
      <c r="Q487" s="847"/>
      <c r="R487" s="1947"/>
      <c r="T487" s="2122"/>
      <c r="U487" s="2122"/>
      <c r="V487" s="1948"/>
      <c r="W487" s="1948"/>
      <c r="X487" s="1948"/>
      <c r="Y487" s="2511"/>
      <c r="Z487" s="1948"/>
      <c r="AA487" s="1948"/>
      <c r="AZ487" s="2550"/>
      <c r="BE487" s="2122"/>
      <c r="BF487" s="21"/>
      <c r="BG487" s="21"/>
      <c r="BH487" s="1949"/>
      <c r="BI487" s="1949"/>
      <c r="BJ487" s="515"/>
    </row>
    <row r="488" spans="14:62" s="20" customFormat="1" ht="14.25">
      <c r="N488" s="2144"/>
      <c r="Q488" s="847"/>
      <c r="R488" s="1947"/>
      <c r="T488" s="2122"/>
      <c r="U488" s="2122"/>
      <c r="V488" s="1948"/>
      <c r="W488" s="1948"/>
      <c r="X488" s="1948"/>
      <c r="Y488" s="2511"/>
      <c r="Z488" s="1948"/>
      <c r="AA488" s="1948"/>
      <c r="AZ488" s="2550"/>
      <c r="BE488" s="2122"/>
      <c r="BF488" s="21"/>
      <c r="BG488" s="21"/>
      <c r="BH488" s="1949"/>
      <c r="BI488" s="1949"/>
      <c r="BJ488" s="515"/>
    </row>
    <row r="489" spans="14:62" s="20" customFormat="1" ht="14.25">
      <c r="N489" s="2144"/>
      <c r="Q489" s="847"/>
      <c r="R489" s="1947"/>
      <c r="T489" s="2122"/>
      <c r="U489" s="2122"/>
      <c r="V489" s="1948"/>
      <c r="W489" s="1948"/>
      <c r="X489" s="1948"/>
      <c r="Y489" s="2511"/>
      <c r="Z489" s="1948"/>
      <c r="AA489" s="1948"/>
      <c r="AZ489" s="2550"/>
      <c r="BE489" s="2122"/>
      <c r="BF489" s="21"/>
      <c r="BG489" s="21"/>
      <c r="BH489" s="1949"/>
      <c r="BI489" s="1949"/>
      <c r="BJ489" s="515"/>
    </row>
    <row r="490" spans="14:62" s="20" customFormat="1" ht="14.25">
      <c r="N490" s="2144"/>
      <c r="Q490" s="847"/>
      <c r="R490" s="1947"/>
      <c r="T490" s="2122"/>
      <c r="U490" s="2122"/>
      <c r="V490" s="1948"/>
      <c r="W490" s="1948"/>
      <c r="X490" s="1948"/>
      <c r="Y490" s="2511"/>
      <c r="Z490" s="1948"/>
      <c r="AA490" s="1948"/>
      <c r="AZ490" s="2550"/>
      <c r="BE490" s="2122"/>
      <c r="BF490" s="21"/>
      <c r="BG490" s="21"/>
      <c r="BH490" s="1949"/>
      <c r="BI490" s="1949"/>
      <c r="BJ490" s="515"/>
    </row>
    <row r="491" spans="14:62" s="20" customFormat="1" ht="14.25">
      <c r="N491" s="2144"/>
      <c r="Q491" s="847"/>
      <c r="R491" s="1947"/>
      <c r="T491" s="2122"/>
      <c r="U491" s="2122"/>
      <c r="V491" s="1948"/>
      <c r="W491" s="1948"/>
      <c r="X491" s="1948"/>
      <c r="Y491" s="2511"/>
      <c r="Z491" s="1948"/>
      <c r="AA491" s="1948"/>
      <c r="AZ491" s="2550"/>
      <c r="BE491" s="2122"/>
      <c r="BF491" s="21"/>
      <c r="BG491" s="21"/>
      <c r="BH491" s="1949"/>
      <c r="BI491" s="1949"/>
      <c r="BJ491" s="515"/>
    </row>
    <row r="492" spans="14:62" s="20" customFormat="1" ht="14.25">
      <c r="N492" s="2144"/>
      <c r="Q492" s="847"/>
      <c r="R492" s="1947"/>
      <c r="T492" s="2122"/>
      <c r="U492" s="2122"/>
      <c r="V492" s="1948"/>
      <c r="W492" s="1948"/>
      <c r="X492" s="1948"/>
      <c r="Y492" s="2511"/>
      <c r="Z492" s="1948"/>
      <c r="AA492" s="1948"/>
      <c r="AZ492" s="2550"/>
      <c r="BE492" s="2122"/>
      <c r="BF492" s="21"/>
      <c r="BG492" s="21"/>
      <c r="BH492" s="1949"/>
      <c r="BI492" s="1949"/>
      <c r="BJ492" s="515"/>
    </row>
    <row r="493" spans="14:62" s="20" customFormat="1" ht="14.25">
      <c r="N493" s="2144"/>
      <c r="Q493" s="847"/>
      <c r="R493" s="1947"/>
      <c r="T493" s="2122"/>
      <c r="U493" s="2122"/>
      <c r="V493" s="1948"/>
      <c r="W493" s="1948"/>
      <c r="X493" s="1948"/>
      <c r="Y493" s="2511"/>
      <c r="Z493" s="1948"/>
      <c r="AA493" s="1948"/>
      <c r="AZ493" s="2550"/>
      <c r="BE493" s="2122"/>
      <c r="BF493" s="21"/>
      <c r="BG493" s="21"/>
      <c r="BH493" s="1949"/>
      <c r="BI493" s="1949"/>
      <c r="BJ493" s="515"/>
    </row>
    <row r="494" spans="14:62" s="20" customFormat="1" ht="14.25">
      <c r="N494" s="2144"/>
      <c r="Q494" s="847"/>
      <c r="R494" s="1947"/>
      <c r="T494" s="2122"/>
      <c r="U494" s="2122"/>
      <c r="V494" s="1948"/>
      <c r="W494" s="1948"/>
      <c r="X494" s="1948"/>
      <c r="Y494" s="2511"/>
      <c r="Z494" s="1948"/>
      <c r="AA494" s="1948"/>
      <c r="AZ494" s="2550"/>
      <c r="BE494" s="2122"/>
      <c r="BF494" s="21"/>
      <c r="BG494" s="21"/>
      <c r="BH494" s="1949"/>
      <c r="BI494" s="1949"/>
      <c r="BJ494" s="515"/>
    </row>
    <row r="495" spans="14:62" s="20" customFormat="1" ht="14.25">
      <c r="N495" s="2144"/>
      <c r="Q495" s="847"/>
      <c r="R495" s="1947"/>
      <c r="T495" s="2122"/>
      <c r="U495" s="2122"/>
      <c r="V495" s="1948"/>
      <c r="W495" s="1948"/>
      <c r="X495" s="1948"/>
      <c r="Y495" s="2511"/>
      <c r="Z495" s="1948"/>
      <c r="AA495" s="1948"/>
      <c r="AZ495" s="2550"/>
      <c r="BE495" s="2122"/>
      <c r="BF495" s="21"/>
      <c r="BG495" s="21"/>
      <c r="BH495" s="1949"/>
      <c r="BI495" s="1949"/>
      <c r="BJ495" s="515"/>
    </row>
    <row r="496" spans="14:62" s="20" customFormat="1" ht="14.25">
      <c r="N496" s="2144"/>
      <c r="Q496" s="847"/>
      <c r="R496" s="1947"/>
      <c r="T496" s="2122"/>
      <c r="U496" s="2122"/>
      <c r="V496" s="1948"/>
      <c r="W496" s="1948"/>
      <c r="X496" s="1948"/>
      <c r="Y496" s="2511"/>
      <c r="Z496" s="1948"/>
      <c r="AA496" s="1948"/>
      <c r="AZ496" s="2550"/>
      <c r="BE496" s="2122"/>
      <c r="BF496" s="21"/>
      <c r="BG496" s="21"/>
      <c r="BH496" s="1949"/>
      <c r="BI496" s="1949"/>
      <c r="BJ496" s="515"/>
    </row>
    <row r="497" spans="14:62" s="20" customFormat="1" ht="14.25">
      <c r="N497" s="2144"/>
      <c r="Q497" s="847"/>
      <c r="R497" s="1947"/>
      <c r="T497" s="2122"/>
      <c r="U497" s="2122"/>
      <c r="V497" s="1948"/>
      <c r="W497" s="1948"/>
      <c r="X497" s="1948"/>
      <c r="Y497" s="2511"/>
      <c r="Z497" s="1948"/>
      <c r="AA497" s="1948"/>
      <c r="AZ497" s="2550"/>
      <c r="BE497" s="2122"/>
      <c r="BF497" s="21"/>
      <c r="BG497" s="21"/>
      <c r="BH497" s="1949"/>
      <c r="BI497" s="1949"/>
      <c r="BJ497" s="515"/>
    </row>
    <row r="498" spans="14:62" s="20" customFormat="1" ht="14.25">
      <c r="N498" s="2144"/>
      <c r="Q498" s="847"/>
      <c r="R498" s="1947"/>
      <c r="T498" s="2122"/>
      <c r="U498" s="2122"/>
      <c r="V498" s="1948"/>
      <c r="W498" s="1948"/>
      <c r="X498" s="1948"/>
      <c r="Y498" s="2511"/>
      <c r="Z498" s="1948"/>
      <c r="AA498" s="1948"/>
      <c r="AZ498" s="2550"/>
      <c r="BE498" s="2122"/>
      <c r="BF498" s="21"/>
      <c r="BG498" s="21"/>
      <c r="BH498" s="1949"/>
      <c r="BI498" s="1949"/>
      <c r="BJ498" s="515"/>
    </row>
    <row r="499" spans="14:62" s="20" customFormat="1" ht="14.25">
      <c r="N499" s="2144"/>
      <c r="Q499" s="847"/>
      <c r="R499" s="1947"/>
      <c r="T499" s="2122"/>
      <c r="U499" s="2122"/>
      <c r="V499" s="1948"/>
      <c r="W499" s="1948"/>
      <c r="X499" s="1948"/>
      <c r="Y499" s="2511"/>
      <c r="Z499" s="1948"/>
      <c r="AA499" s="1948"/>
      <c r="AZ499" s="2550"/>
      <c r="BE499" s="2122"/>
      <c r="BF499" s="21"/>
      <c r="BG499" s="21"/>
      <c r="BH499" s="1949"/>
      <c r="BI499" s="1949"/>
      <c r="BJ499" s="515"/>
    </row>
    <row r="500" spans="14:62" s="20" customFormat="1" ht="14.25">
      <c r="N500" s="2144"/>
      <c r="Q500" s="847"/>
      <c r="R500" s="1947"/>
      <c r="T500" s="2122"/>
      <c r="U500" s="2122"/>
      <c r="V500" s="1948"/>
      <c r="W500" s="1948"/>
      <c r="X500" s="1948"/>
      <c r="Y500" s="2511"/>
      <c r="Z500" s="1948"/>
      <c r="AA500" s="1948"/>
      <c r="AZ500" s="2550"/>
      <c r="BE500" s="2122"/>
      <c r="BF500" s="21"/>
      <c r="BG500" s="21"/>
      <c r="BH500" s="1949"/>
      <c r="BI500" s="1949"/>
      <c r="BJ500" s="515"/>
    </row>
    <row r="501" spans="14:62" s="20" customFormat="1" ht="14.25">
      <c r="N501" s="2144"/>
      <c r="Q501" s="847"/>
      <c r="R501" s="1947"/>
      <c r="T501" s="2122"/>
      <c r="U501" s="2122"/>
      <c r="V501" s="1948"/>
      <c r="W501" s="1948"/>
      <c r="X501" s="1948"/>
      <c r="Y501" s="2511"/>
      <c r="Z501" s="1948"/>
      <c r="AA501" s="1948"/>
      <c r="AZ501" s="2550"/>
      <c r="BE501" s="2122"/>
      <c r="BF501" s="21"/>
      <c r="BG501" s="21"/>
      <c r="BH501" s="1949"/>
      <c r="BI501" s="1949"/>
      <c r="BJ501" s="515"/>
    </row>
    <row r="502" spans="14:62" s="20" customFormat="1" ht="14.25">
      <c r="N502" s="2144"/>
      <c r="Q502" s="847"/>
      <c r="R502" s="1947"/>
      <c r="T502" s="2122"/>
      <c r="U502" s="2122"/>
      <c r="V502" s="1948"/>
      <c r="W502" s="1948"/>
      <c r="X502" s="1948"/>
      <c r="Y502" s="2511"/>
      <c r="Z502" s="1948"/>
      <c r="AA502" s="1948"/>
      <c r="AZ502" s="2550"/>
      <c r="BE502" s="2122"/>
      <c r="BF502" s="21"/>
      <c r="BG502" s="21"/>
      <c r="BH502" s="1949"/>
      <c r="BI502" s="1949"/>
      <c r="BJ502" s="515"/>
    </row>
    <row r="503" spans="14:62" s="20" customFormat="1" ht="14.25">
      <c r="N503" s="2144"/>
      <c r="Q503" s="847"/>
      <c r="R503" s="1947"/>
      <c r="T503" s="2122"/>
      <c r="U503" s="2122"/>
      <c r="V503" s="1948"/>
      <c r="W503" s="1948"/>
      <c r="X503" s="1948"/>
      <c r="Y503" s="2511"/>
      <c r="Z503" s="1948"/>
      <c r="AA503" s="1948"/>
      <c r="AZ503" s="2550"/>
      <c r="BE503" s="2122"/>
      <c r="BF503" s="21"/>
      <c r="BG503" s="21"/>
      <c r="BH503" s="1949"/>
      <c r="BI503" s="1949"/>
      <c r="BJ503" s="515"/>
    </row>
    <row r="504" spans="14:62" s="20" customFormat="1" ht="14.25">
      <c r="N504" s="2144"/>
      <c r="Q504" s="847"/>
      <c r="R504" s="1947"/>
      <c r="T504" s="2122"/>
      <c r="U504" s="2122"/>
      <c r="V504" s="1948"/>
      <c r="W504" s="1948"/>
      <c r="X504" s="1948"/>
      <c r="Y504" s="2511"/>
      <c r="Z504" s="1948"/>
      <c r="AA504" s="1948"/>
      <c r="AZ504" s="2550"/>
      <c r="BE504" s="2122"/>
      <c r="BF504" s="21"/>
      <c r="BG504" s="21"/>
      <c r="BH504" s="1949"/>
      <c r="BI504" s="1949"/>
      <c r="BJ504" s="515"/>
    </row>
    <row r="505" spans="14:62" s="20" customFormat="1" ht="14.25">
      <c r="N505" s="2144"/>
      <c r="Q505" s="847"/>
      <c r="R505" s="1947"/>
      <c r="T505" s="2122"/>
      <c r="U505" s="2122"/>
      <c r="V505" s="1948"/>
      <c r="W505" s="1948"/>
      <c r="X505" s="1948"/>
      <c r="Y505" s="2511"/>
      <c r="Z505" s="1948"/>
      <c r="AA505" s="1948"/>
      <c r="AZ505" s="2550"/>
      <c r="BE505" s="2122"/>
      <c r="BF505" s="21"/>
      <c r="BG505" s="21"/>
      <c r="BH505" s="1949"/>
      <c r="BI505" s="1949"/>
      <c r="BJ505" s="515"/>
    </row>
    <row r="506" spans="14:62" s="20" customFormat="1" ht="14.25">
      <c r="N506" s="2144"/>
      <c r="Q506" s="847"/>
      <c r="R506" s="1947"/>
      <c r="T506" s="2122"/>
      <c r="U506" s="2122"/>
      <c r="V506" s="1948"/>
      <c r="W506" s="1948"/>
      <c r="X506" s="1948"/>
      <c r="Y506" s="2511"/>
      <c r="Z506" s="1948"/>
      <c r="AA506" s="1948"/>
      <c r="AZ506" s="2550"/>
      <c r="BE506" s="2122"/>
      <c r="BF506" s="21"/>
      <c r="BG506" s="21"/>
      <c r="BH506" s="1949"/>
      <c r="BI506" s="1949"/>
      <c r="BJ506" s="515"/>
    </row>
    <row r="507" spans="14:62" s="20" customFormat="1" ht="14.25">
      <c r="N507" s="2144"/>
      <c r="Q507" s="847"/>
      <c r="R507" s="1947"/>
      <c r="T507" s="2122"/>
      <c r="U507" s="2122"/>
      <c r="V507" s="1948"/>
      <c r="W507" s="1948"/>
      <c r="X507" s="1948"/>
      <c r="Y507" s="2511"/>
      <c r="Z507" s="1948"/>
      <c r="AA507" s="1948"/>
      <c r="AZ507" s="2550"/>
      <c r="BE507" s="2122"/>
      <c r="BF507" s="21"/>
      <c r="BG507" s="21"/>
      <c r="BH507" s="1949"/>
      <c r="BI507" s="1949"/>
      <c r="BJ507" s="515"/>
    </row>
    <row r="508" spans="14:62" s="20" customFormat="1" ht="14.25">
      <c r="N508" s="2144"/>
      <c r="Q508" s="847"/>
      <c r="R508" s="1947"/>
      <c r="T508" s="2122"/>
      <c r="U508" s="2122"/>
      <c r="V508" s="1948"/>
      <c r="W508" s="1948"/>
      <c r="X508" s="1948"/>
      <c r="Y508" s="2511"/>
      <c r="Z508" s="1948"/>
      <c r="AA508" s="1948"/>
      <c r="AZ508" s="2550"/>
      <c r="BE508" s="2122"/>
      <c r="BF508" s="21"/>
      <c r="BG508" s="21"/>
      <c r="BH508" s="1949"/>
      <c r="BI508" s="1949"/>
      <c r="BJ508" s="515"/>
    </row>
    <row r="509" spans="14:62" s="20" customFormat="1" ht="14.25">
      <c r="N509" s="2144"/>
      <c r="Q509" s="847"/>
      <c r="R509" s="1947"/>
      <c r="T509" s="2122"/>
      <c r="U509" s="2122"/>
      <c r="V509" s="1948"/>
      <c r="W509" s="1948"/>
      <c r="X509" s="1948"/>
      <c r="Y509" s="2511"/>
      <c r="Z509" s="1948"/>
      <c r="AA509" s="1948"/>
      <c r="AZ509" s="2550"/>
      <c r="BE509" s="2122"/>
      <c r="BF509" s="21"/>
      <c r="BG509" s="21"/>
      <c r="BH509" s="1949"/>
      <c r="BI509" s="1949"/>
      <c r="BJ509" s="515"/>
    </row>
    <row r="510" spans="14:62" s="20" customFormat="1" ht="14.25">
      <c r="N510" s="2144"/>
      <c r="Q510" s="847"/>
      <c r="R510" s="1947"/>
      <c r="T510" s="2122"/>
      <c r="U510" s="2122"/>
      <c r="V510" s="1948"/>
      <c r="W510" s="1948"/>
      <c r="X510" s="1948"/>
      <c r="Y510" s="2511"/>
      <c r="Z510" s="1948"/>
      <c r="AA510" s="1948"/>
      <c r="AZ510" s="2550"/>
      <c r="BE510" s="2122"/>
      <c r="BF510" s="21"/>
      <c r="BG510" s="21"/>
      <c r="BH510" s="1949"/>
      <c r="BI510" s="1949"/>
      <c r="BJ510" s="515"/>
    </row>
    <row r="511" spans="14:62" s="20" customFormat="1" ht="14.25">
      <c r="N511" s="2144"/>
      <c r="Q511" s="847"/>
      <c r="R511" s="1947"/>
      <c r="T511" s="2122"/>
      <c r="U511" s="2122"/>
      <c r="V511" s="1948"/>
      <c r="W511" s="1948"/>
      <c r="X511" s="1948"/>
      <c r="Y511" s="2511"/>
      <c r="Z511" s="1948"/>
      <c r="AA511" s="1948"/>
      <c r="AZ511" s="2550"/>
      <c r="BE511" s="2122"/>
      <c r="BF511" s="21"/>
      <c r="BG511" s="21"/>
      <c r="BH511" s="1949"/>
      <c r="BI511" s="1949"/>
      <c r="BJ511" s="515"/>
    </row>
    <row r="512" spans="14:62" s="20" customFormat="1" ht="14.25">
      <c r="N512" s="2144"/>
      <c r="Q512" s="847"/>
      <c r="R512" s="1947"/>
      <c r="T512" s="2122"/>
      <c r="U512" s="2122"/>
      <c r="V512" s="1948"/>
      <c r="W512" s="1948"/>
      <c r="X512" s="1948"/>
      <c r="Y512" s="2511"/>
      <c r="Z512" s="1948"/>
      <c r="AA512" s="1948"/>
      <c r="AZ512" s="2550"/>
      <c r="BE512" s="2122"/>
      <c r="BF512" s="21"/>
      <c r="BG512" s="21"/>
      <c r="BH512" s="1949"/>
      <c r="BI512" s="1949"/>
      <c r="BJ512" s="515"/>
    </row>
    <row r="513" spans="14:62" s="20" customFormat="1" ht="14.25">
      <c r="N513" s="2144"/>
      <c r="Q513" s="847"/>
      <c r="R513" s="1947"/>
      <c r="T513" s="2122"/>
      <c r="U513" s="2122"/>
      <c r="V513" s="1948"/>
      <c r="W513" s="1948"/>
      <c r="X513" s="1948"/>
      <c r="Y513" s="2511"/>
      <c r="Z513" s="1948"/>
      <c r="AA513" s="1948"/>
      <c r="AZ513" s="2550"/>
      <c r="BE513" s="2122"/>
      <c r="BF513" s="21"/>
      <c r="BG513" s="21"/>
      <c r="BH513" s="1949"/>
      <c r="BI513" s="1949"/>
      <c r="BJ513" s="515"/>
    </row>
    <row r="514" spans="14:62" s="20" customFormat="1" ht="14.25">
      <c r="N514" s="2144"/>
      <c r="Q514" s="847"/>
      <c r="R514" s="1947"/>
      <c r="T514" s="2122"/>
      <c r="U514" s="2122"/>
      <c r="V514" s="1948"/>
      <c r="W514" s="1948"/>
      <c r="X514" s="1948"/>
      <c r="Y514" s="2511"/>
      <c r="Z514" s="1948"/>
      <c r="AA514" s="1948"/>
      <c r="AZ514" s="2550"/>
      <c r="BE514" s="2122"/>
      <c r="BF514" s="21"/>
      <c r="BG514" s="21"/>
      <c r="BH514" s="1949"/>
      <c r="BI514" s="1949"/>
      <c r="BJ514" s="515"/>
    </row>
    <row r="515" spans="14:62" s="20" customFormat="1" ht="14.25">
      <c r="N515" s="2144"/>
      <c r="Q515" s="847"/>
      <c r="R515" s="1947"/>
      <c r="T515" s="2122"/>
      <c r="U515" s="2122"/>
      <c r="V515" s="1948"/>
      <c r="W515" s="1948"/>
      <c r="X515" s="1948"/>
      <c r="Y515" s="2511"/>
      <c r="Z515" s="1948"/>
      <c r="AA515" s="1948"/>
      <c r="AZ515" s="2550"/>
      <c r="BE515" s="2122"/>
      <c r="BF515" s="21"/>
      <c r="BG515" s="21"/>
      <c r="BH515" s="1949"/>
      <c r="BI515" s="1949"/>
      <c r="BJ515" s="515"/>
    </row>
    <row r="516" spans="14:62" s="20" customFormat="1" ht="14.25">
      <c r="N516" s="2144"/>
      <c r="Q516" s="847"/>
      <c r="R516" s="1947"/>
      <c r="T516" s="2122"/>
      <c r="U516" s="2122"/>
      <c r="V516" s="1948"/>
      <c r="W516" s="1948"/>
      <c r="X516" s="1948"/>
      <c r="Y516" s="2511"/>
      <c r="Z516" s="1948"/>
      <c r="AA516" s="1948"/>
      <c r="AZ516" s="2550"/>
      <c r="BE516" s="2122"/>
      <c r="BF516" s="21"/>
      <c r="BG516" s="21"/>
      <c r="BH516" s="1949"/>
      <c r="BI516" s="1949"/>
      <c r="BJ516" s="515"/>
    </row>
    <row r="517" spans="14:62" s="20" customFormat="1" ht="14.25">
      <c r="N517" s="2144"/>
      <c r="Q517" s="847"/>
      <c r="R517" s="1947"/>
      <c r="T517" s="2122"/>
      <c r="U517" s="2122"/>
      <c r="V517" s="1948"/>
      <c r="W517" s="1948"/>
      <c r="X517" s="1948"/>
      <c r="Y517" s="2511"/>
      <c r="Z517" s="1948"/>
      <c r="AA517" s="1948"/>
      <c r="AZ517" s="2550"/>
      <c r="BE517" s="2122"/>
      <c r="BF517" s="21"/>
      <c r="BG517" s="21"/>
      <c r="BH517" s="1949"/>
      <c r="BI517" s="1949"/>
      <c r="BJ517" s="515"/>
    </row>
    <row r="518" spans="14:62" s="20" customFormat="1" ht="14.25">
      <c r="N518" s="2144"/>
      <c r="Q518" s="847"/>
      <c r="R518" s="1947"/>
      <c r="T518" s="2122"/>
      <c r="U518" s="2122"/>
      <c r="V518" s="1948"/>
      <c r="W518" s="1948"/>
      <c r="X518" s="1948"/>
      <c r="Y518" s="2511"/>
      <c r="Z518" s="1948"/>
      <c r="AA518" s="1948"/>
      <c r="AZ518" s="2550"/>
      <c r="BE518" s="2122"/>
      <c r="BF518" s="21"/>
      <c r="BG518" s="21"/>
      <c r="BH518" s="1949"/>
      <c r="BI518" s="1949"/>
      <c r="BJ518" s="515"/>
    </row>
    <row r="519" spans="14:62" s="20" customFormat="1" ht="14.25">
      <c r="N519" s="2144"/>
      <c r="Q519" s="847"/>
      <c r="R519" s="1947"/>
      <c r="T519" s="2122"/>
      <c r="U519" s="2122"/>
      <c r="V519" s="1948"/>
      <c r="W519" s="1948"/>
      <c r="X519" s="1948"/>
      <c r="Y519" s="2511"/>
      <c r="Z519" s="1948"/>
      <c r="AA519" s="1948"/>
      <c r="AZ519" s="2550"/>
      <c r="BE519" s="2122"/>
      <c r="BF519" s="21"/>
      <c r="BG519" s="21"/>
      <c r="BH519" s="1949"/>
      <c r="BI519" s="1949"/>
      <c r="BJ519" s="515"/>
    </row>
    <row r="520" spans="14:62" s="20" customFormat="1" ht="14.25">
      <c r="N520" s="2144"/>
      <c r="Q520" s="847"/>
      <c r="R520" s="1947"/>
      <c r="T520" s="2122"/>
      <c r="U520" s="2122"/>
      <c r="V520" s="1948"/>
      <c r="W520" s="1948"/>
      <c r="X520" s="1948"/>
      <c r="Y520" s="2511"/>
      <c r="Z520" s="1948"/>
      <c r="AA520" s="1948"/>
      <c r="AZ520" s="2550"/>
      <c r="BE520" s="2122"/>
      <c r="BF520" s="21"/>
      <c r="BG520" s="21"/>
      <c r="BH520" s="1949"/>
      <c r="BI520" s="1949"/>
      <c r="BJ520" s="515"/>
    </row>
    <row r="521" spans="14:62" s="20" customFormat="1" ht="14.25">
      <c r="N521" s="2144"/>
      <c r="Q521" s="847"/>
      <c r="R521" s="1947"/>
      <c r="T521" s="2122"/>
      <c r="U521" s="2122"/>
      <c r="V521" s="1948"/>
      <c r="W521" s="1948"/>
      <c r="X521" s="1948"/>
      <c r="Y521" s="2511"/>
      <c r="Z521" s="1948"/>
      <c r="AA521" s="1948"/>
      <c r="AZ521" s="2550"/>
      <c r="BE521" s="2122"/>
      <c r="BF521" s="21"/>
      <c r="BG521" s="21"/>
      <c r="BH521" s="1949"/>
      <c r="BI521" s="1949"/>
      <c r="BJ521" s="515"/>
    </row>
    <row r="522" spans="14:62" s="20" customFormat="1" ht="14.25">
      <c r="N522" s="2144"/>
      <c r="Q522" s="847"/>
      <c r="R522" s="1947"/>
      <c r="T522" s="2122"/>
      <c r="U522" s="2122"/>
      <c r="V522" s="1948"/>
      <c r="W522" s="1948"/>
      <c r="X522" s="1948"/>
      <c r="Y522" s="2511"/>
      <c r="Z522" s="1948"/>
      <c r="AA522" s="1948"/>
      <c r="AZ522" s="2550"/>
      <c r="BE522" s="2122"/>
      <c r="BF522" s="21"/>
      <c r="BG522" s="21"/>
      <c r="BH522" s="1949"/>
      <c r="BI522" s="1949"/>
      <c r="BJ522" s="515"/>
    </row>
    <row r="523" spans="14:62" s="20" customFormat="1" ht="14.25">
      <c r="N523" s="2144"/>
      <c r="Q523" s="847"/>
      <c r="R523" s="1947"/>
      <c r="T523" s="2122"/>
      <c r="U523" s="2122"/>
      <c r="V523" s="1948"/>
      <c r="W523" s="1948"/>
      <c r="X523" s="1948"/>
      <c r="Y523" s="2511"/>
      <c r="Z523" s="1948"/>
      <c r="AA523" s="1948"/>
      <c r="AZ523" s="2550"/>
      <c r="BE523" s="2122"/>
      <c r="BF523" s="21"/>
      <c r="BG523" s="21"/>
      <c r="BH523" s="1949"/>
      <c r="BI523" s="1949"/>
      <c r="BJ523" s="515"/>
    </row>
    <row r="524" spans="14:62" s="20" customFormat="1" ht="14.25">
      <c r="N524" s="2144"/>
      <c r="Q524" s="847"/>
      <c r="R524" s="1947"/>
      <c r="T524" s="2122"/>
      <c r="U524" s="2122"/>
      <c r="V524" s="1948"/>
      <c r="W524" s="1948"/>
      <c r="X524" s="1948"/>
      <c r="Y524" s="2511"/>
      <c r="Z524" s="1948"/>
      <c r="AA524" s="1948"/>
      <c r="AZ524" s="2550"/>
      <c r="BE524" s="2122"/>
      <c r="BF524" s="21"/>
      <c r="BG524" s="21"/>
      <c r="BH524" s="1949"/>
      <c r="BI524" s="1949"/>
      <c r="BJ524" s="515"/>
    </row>
    <row r="525" spans="14:62" s="20" customFormat="1" ht="14.25">
      <c r="N525" s="2144"/>
      <c r="Q525" s="847"/>
      <c r="R525" s="1947"/>
      <c r="T525" s="2122"/>
      <c r="U525" s="2122"/>
      <c r="V525" s="1948"/>
      <c r="W525" s="1948"/>
      <c r="X525" s="1948"/>
      <c r="Y525" s="2511"/>
      <c r="Z525" s="1948"/>
      <c r="AA525" s="1948"/>
      <c r="AZ525" s="2550"/>
      <c r="BE525" s="2122"/>
      <c r="BF525" s="21"/>
      <c r="BG525" s="21"/>
      <c r="BH525" s="1949"/>
      <c r="BI525" s="1949"/>
      <c r="BJ525" s="515"/>
    </row>
    <row r="526" spans="14:62" s="20" customFormat="1" ht="14.25">
      <c r="N526" s="2144"/>
      <c r="Q526" s="847"/>
      <c r="R526" s="1947"/>
      <c r="T526" s="2122"/>
      <c r="U526" s="2122"/>
      <c r="V526" s="1948"/>
      <c r="W526" s="1948"/>
      <c r="X526" s="1948"/>
      <c r="Y526" s="2511"/>
      <c r="Z526" s="1948"/>
      <c r="AA526" s="1948"/>
      <c r="AZ526" s="2550"/>
      <c r="BE526" s="2122"/>
      <c r="BF526" s="21"/>
      <c r="BG526" s="21"/>
      <c r="BH526" s="1949"/>
      <c r="BI526" s="1949"/>
      <c r="BJ526" s="515"/>
    </row>
    <row r="527" spans="14:62" s="20" customFormat="1" ht="14.25">
      <c r="N527" s="2144"/>
      <c r="Q527" s="847"/>
      <c r="R527" s="1947"/>
      <c r="T527" s="2122"/>
      <c r="U527" s="2122"/>
      <c r="V527" s="1948"/>
      <c r="W527" s="1948"/>
      <c r="X527" s="1948"/>
      <c r="Y527" s="2511"/>
      <c r="Z527" s="1948"/>
      <c r="AA527" s="1948"/>
      <c r="AZ527" s="2550"/>
      <c r="BE527" s="2122"/>
      <c r="BF527" s="21"/>
      <c r="BG527" s="21"/>
      <c r="BH527" s="1949"/>
      <c r="BI527" s="1949"/>
      <c r="BJ527" s="515"/>
    </row>
    <row r="528" spans="14:62" s="20" customFormat="1" ht="14.25">
      <c r="N528" s="2144"/>
      <c r="Q528" s="847"/>
      <c r="R528" s="1947"/>
      <c r="T528" s="2122"/>
      <c r="U528" s="2122"/>
      <c r="V528" s="1948"/>
      <c r="W528" s="1948"/>
      <c r="X528" s="1948"/>
      <c r="Y528" s="2511"/>
      <c r="Z528" s="1948"/>
      <c r="AA528" s="1948"/>
      <c r="AZ528" s="2550"/>
      <c r="BE528" s="2122"/>
      <c r="BF528" s="21"/>
      <c r="BG528" s="21"/>
      <c r="BH528" s="1949"/>
      <c r="BI528" s="1949"/>
      <c r="BJ528" s="515"/>
    </row>
    <row r="529" spans="14:62" s="20" customFormat="1" ht="14.25">
      <c r="N529" s="2144"/>
      <c r="Q529" s="847"/>
      <c r="R529" s="1947"/>
      <c r="T529" s="2122"/>
      <c r="U529" s="2122"/>
      <c r="V529" s="1948"/>
      <c r="W529" s="1948"/>
      <c r="X529" s="1948"/>
      <c r="Y529" s="2511"/>
      <c r="Z529" s="1948"/>
      <c r="AA529" s="1948"/>
      <c r="AZ529" s="2550"/>
      <c r="BE529" s="2122"/>
      <c r="BF529" s="21"/>
      <c r="BG529" s="21"/>
      <c r="BH529" s="1949"/>
      <c r="BI529" s="1949"/>
      <c r="BJ529" s="515"/>
    </row>
    <row r="530" spans="14:62" s="20" customFormat="1" ht="14.25">
      <c r="N530" s="2144"/>
      <c r="Q530" s="847"/>
      <c r="R530" s="1947"/>
      <c r="T530" s="2122"/>
      <c r="U530" s="2122"/>
      <c r="V530" s="1948"/>
      <c r="W530" s="1948"/>
      <c r="X530" s="1948"/>
      <c r="Y530" s="2511"/>
      <c r="Z530" s="1948"/>
      <c r="AA530" s="1948"/>
      <c r="AZ530" s="2550"/>
      <c r="BE530" s="2122"/>
      <c r="BF530" s="21"/>
      <c r="BG530" s="21"/>
      <c r="BH530" s="1949"/>
      <c r="BI530" s="1949"/>
      <c r="BJ530" s="515"/>
    </row>
    <row r="531" spans="14:62" s="20" customFormat="1" ht="14.25">
      <c r="N531" s="2144"/>
      <c r="Q531" s="847"/>
      <c r="R531" s="1947"/>
      <c r="T531" s="2122"/>
      <c r="U531" s="2122"/>
      <c r="V531" s="1948"/>
      <c r="W531" s="1948"/>
      <c r="X531" s="1948"/>
      <c r="Y531" s="2511"/>
      <c r="Z531" s="1948"/>
      <c r="AA531" s="1948"/>
      <c r="AZ531" s="2550"/>
      <c r="BE531" s="2122"/>
      <c r="BF531" s="21"/>
      <c r="BG531" s="21"/>
      <c r="BH531" s="1949"/>
      <c r="BI531" s="1949"/>
      <c r="BJ531" s="515"/>
    </row>
    <row r="532" spans="14:62" s="20" customFormat="1" ht="14.25">
      <c r="N532" s="2144"/>
      <c r="Q532" s="847"/>
      <c r="R532" s="1947"/>
      <c r="T532" s="2122"/>
      <c r="U532" s="2122"/>
      <c r="V532" s="1948"/>
      <c r="W532" s="1948"/>
      <c r="X532" s="1948"/>
      <c r="Y532" s="2511"/>
      <c r="Z532" s="1948"/>
      <c r="AA532" s="1948"/>
      <c r="AZ532" s="2550"/>
      <c r="BE532" s="2122"/>
      <c r="BF532" s="21"/>
      <c r="BG532" s="21"/>
      <c r="BH532" s="1949"/>
      <c r="BI532" s="1949"/>
      <c r="BJ532" s="515"/>
    </row>
    <row r="533" spans="14:62" s="20" customFormat="1" ht="14.25">
      <c r="N533" s="2144"/>
      <c r="Q533" s="847"/>
      <c r="R533" s="1947"/>
      <c r="T533" s="2122"/>
      <c r="U533" s="2122"/>
      <c r="V533" s="1948"/>
      <c r="W533" s="1948"/>
      <c r="X533" s="1948"/>
      <c r="Y533" s="2511"/>
      <c r="Z533" s="1948"/>
      <c r="AA533" s="1948"/>
      <c r="AZ533" s="2550"/>
      <c r="BE533" s="2122"/>
      <c r="BF533" s="21"/>
      <c r="BG533" s="21"/>
      <c r="BH533" s="1949"/>
      <c r="BI533" s="1949"/>
      <c r="BJ533" s="515"/>
    </row>
    <row r="534" spans="14:62" s="20" customFormat="1" ht="14.25">
      <c r="N534" s="2144"/>
      <c r="Q534" s="847"/>
      <c r="R534" s="1947"/>
      <c r="T534" s="2122"/>
      <c r="U534" s="2122"/>
      <c r="V534" s="1948"/>
      <c r="W534" s="1948"/>
      <c r="X534" s="1948"/>
      <c r="Y534" s="2511"/>
      <c r="Z534" s="1948"/>
      <c r="AA534" s="1948"/>
      <c r="AZ534" s="2550"/>
      <c r="BE534" s="2122"/>
      <c r="BF534" s="21"/>
      <c r="BG534" s="21"/>
      <c r="BH534" s="1949"/>
      <c r="BI534" s="1949"/>
      <c r="BJ534" s="515"/>
    </row>
    <row r="535" spans="14:62" s="20" customFormat="1" ht="14.25">
      <c r="N535" s="2144"/>
      <c r="Q535" s="847"/>
      <c r="R535" s="1947"/>
      <c r="T535" s="2122"/>
      <c r="U535" s="2122"/>
      <c r="V535" s="1948"/>
      <c r="W535" s="1948"/>
      <c r="X535" s="1948"/>
      <c r="Y535" s="2511"/>
      <c r="Z535" s="1948"/>
      <c r="AA535" s="1948"/>
      <c r="AZ535" s="2550"/>
      <c r="BE535" s="2122"/>
      <c r="BF535" s="21"/>
      <c r="BG535" s="21"/>
      <c r="BH535" s="1949"/>
      <c r="BI535" s="1949"/>
      <c r="BJ535" s="515"/>
    </row>
    <row r="536" spans="14:62" s="20" customFormat="1" ht="14.25">
      <c r="N536" s="2144"/>
      <c r="Q536" s="847"/>
      <c r="R536" s="1947"/>
      <c r="T536" s="2122"/>
      <c r="U536" s="2122"/>
      <c r="V536" s="1948"/>
      <c r="W536" s="1948"/>
      <c r="X536" s="1948"/>
      <c r="Y536" s="2511"/>
      <c r="Z536" s="1948"/>
      <c r="AA536" s="1948"/>
      <c r="AZ536" s="2550"/>
      <c r="BE536" s="2122"/>
      <c r="BF536" s="21"/>
      <c r="BG536" s="21"/>
      <c r="BH536" s="1949"/>
      <c r="BI536" s="1949"/>
      <c r="BJ536" s="515"/>
    </row>
    <row r="537" spans="14:62" s="20" customFormat="1" ht="14.25">
      <c r="N537" s="2144"/>
      <c r="Q537" s="847"/>
      <c r="R537" s="1947"/>
      <c r="T537" s="2122"/>
      <c r="U537" s="2122"/>
      <c r="V537" s="1948"/>
      <c r="W537" s="1948"/>
      <c r="X537" s="1948"/>
      <c r="Y537" s="2511"/>
      <c r="Z537" s="1948"/>
      <c r="AA537" s="1948"/>
      <c r="AZ537" s="2550"/>
      <c r="BE537" s="2122"/>
      <c r="BF537" s="21"/>
      <c r="BG537" s="21"/>
      <c r="BH537" s="1949"/>
      <c r="BI537" s="1949"/>
      <c r="BJ537" s="515"/>
    </row>
    <row r="538" spans="14:62" s="20" customFormat="1" ht="14.25">
      <c r="N538" s="2144"/>
      <c r="Q538" s="847"/>
      <c r="R538" s="1947"/>
      <c r="T538" s="2122"/>
      <c r="U538" s="2122"/>
      <c r="V538" s="1948"/>
      <c r="W538" s="1948"/>
      <c r="X538" s="1948"/>
      <c r="Y538" s="2511"/>
      <c r="Z538" s="1948"/>
      <c r="AA538" s="1948"/>
      <c r="AZ538" s="2550"/>
      <c r="BE538" s="2122"/>
      <c r="BF538" s="21"/>
      <c r="BG538" s="21"/>
      <c r="BH538" s="1949"/>
      <c r="BI538" s="1949"/>
      <c r="BJ538" s="515"/>
    </row>
    <row r="539" spans="14:62" s="20" customFormat="1" ht="14.25">
      <c r="N539" s="2144"/>
      <c r="Q539" s="847"/>
      <c r="R539" s="1947"/>
      <c r="T539" s="2122"/>
      <c r="U539" s="2122"/>
      <c r="V539" s="1948"/>
      <c r="W539" s="1948"/>
      <c r="X539" s="1948"/>
      <c r="Y539" s="2511"/>
      <c r="Z539" s="1948"/>
      <c r="AA539" s="1948"/>
      <c r="AZ539" s="2550"/>
      <c r="BE539" s="2122"/>
      <c r="BF539" s="21"/>
      <c r="BG539" s="21"/>
      <c r="BH539" s="1949"/>
      <c r="BI539" s="1949"/>
      <c r="BJ539" s="515"/>
    </row>
    <row r="540" spans="14:62" s="20" customFormat="1" ht="14.25">
      <c r="N540" s="2144"/>
      <c r="Q540" s="847"/>
      <c r="R540" s="1947"/>
      <c r="T540" s="2122"/>
      <c r="U540" s="2122"/>
      <c r="V540" s="1948"/>
      <c r="W540" s="1948"/>
      <c r="X540" s="1948"/>
      <c r="Y540" s="2511"/>
      <c r="Z540" s="1948"/>
      <c r="AA540" s="1948"/>
      <c r="AZ540" s="2550"/>
      <c r="BE540" s="2122"/>
      <c r="BF540" s="21"/>
      <c r="BG540" s="21"/>
      <c r="BH540" s="1949"/>
      <c r="BI540" s="1949"/>
      <c r="BJ540" s="515"/>
    </row>
    <row r="541" spans="14:62" s="20" customFormat="1" ht="14.25">
      <c r="N541" s="2144"/>
      <c r="Q541" s="847"/>
      <c r="R541" s="1947"/>
      <c r="T541" s="2122"/>
      <c r="U541" s="2122"/>
      <c r="V541" s="1948"/>
      <c r="W541" s="1948"/>
      <c r="X541" s="1948"/>
      <c r="Y541" s="2511"/>
      <c r="Z541" s="1948"/>
      <c r="AA541" s="1948"/>
      <c r="AZ541" s="2550"/>
      <c r="BE541" s="2122"/>
      <c r="BF541" s="21"/>
      <c r="BG541" s="21"/>
      <c r="BH541" s="1949"/>
      <c r="BI541" s="1949"/>
      <c r="BJ541" s="515"/>
    </row>
    <row r="542" spans="14:62" s="20" customFormat="1" ht="14.25">
      <c r="N542" s="2144"/>
      <c r="Q542" s="847"/>
      <c r="R542" s="1947"/>
      <c r="T542" s="2122"/>
      <c r="U542" s="2122"/>
      <c r="V542" s="1948"/>
      <c r="W542" s="1948"/>
      <c r="X542" s="1948"/>
      <c r="Y542" s="2511"/>
      <c r="Z542" s="1948"/>
      <c r="AA542" s="1948"/>
      <c r="AZ542" s="2550"/>
      <c r="BE542" s="2122"/>
      <c r="BF542" s="21"/>
      <c r="BG542" s="21"/>
      <c r="BH542" s="1949"/>
      <c r="BI542" s="1949"/>
      <c r="BJ542" s="515"/>
    </row>
    <row r="543" spans="14:62" s="20" customFormat="1" ht="14.25">
      <c r="N543" s="2144"/>
      <c r="Q543" s="847"/>
      <c r="R543" s="1947"/>
      <c r="T543" s="2122"/>
      <c r="U543" s="2122"/>
      <c r="V543" s="1948"/>
      <c r="W543" s="1948"/>
      <c r="X543" s="1948"/>
      <c r="Y543" s="2511"/>
      <c r="Z543" s="1948"/>
      <c r="AA543" s="1948"/>
      <c r="AZ543" s="2550"/>
      <c r="BE543" s="2122"/>
      <c r="BF543" s="21"/>
      <c r="BG543" s="21"/>
      <c r="BH543" s="1949"/>
      <c r="BI543" s="1949"/>
      <c r="BJ543" s="515"/>
    </row>
    <row r="544" spans="14:62" s="20" customFormat="1" ht="14.25">
      <c r="N544" s="2144"/>
      <c r="Q544" s="847"/>
      <c r="R544" s="1947"/>
      <c r="T544" s="2122"/>
      <c r="U544" s="2122"/>
      <c r="V544" s="1948"/>
      <c r="W544" s="1948"/>
      <c r="X544" s="1948"/>
      <c r="Y544" s="2511"/>
      <c r="Z544" s="1948"/>
      <c r="AA544" s="1948"/>
      <c r="AZ544" s="2550"/>
      <c r="BE544" s="2122"/>
      <c r="BF544" s="21"/>
      <c r="BG544" s="21"/>
      <c r="BH544" s="1949"/>
      <c r="BI544" s="1949"/>
      <c r="BJ544" s="515"/>
    </row>
    <row r="545" spans="14:62" s="20" customFormat="1" ht="14.25">
      <c r="N545" s="2144"/>
      <c r="Q545" s="847"/>
      <c r="R545" s="1947"/>
      <c r="T545" s="2122"/>
      <c r="U545" s="2122"/>
      <c r="V545" s="1948"/>
      <c r="W545" s="1948"/>
      <c r="X545" s="1948"/>
      <c r="Y545" s="2511"/>
      <c r="Z545" s="1948"/>
      <c r="AA545" s="1948"/>
      <c r="AZ545" s="2550"/>
      <c r="BE545" s="2122"/>
      <c r="BF545" s="21"/>
      <c r="BG545" s="21"/>
      <c r="BH545" s="1949"/>
      <c r="BI545" s="1949"/>
      <c r="BJ545" s="515"/>
    </row>
    <row r="546" spans="14:62" s="20" customFormat="1" ht="14.25">
      <c r="N546" s="2144"/>
      <c r="Q546" s="847"/>
      <c r="R546" s="1947"/>
      <c r="T546" s="2122"/>
      <c r="U546" s="2122"/>
      <c r="V546" s="1948"/>
      <c r="W546" s="1948"/>
      <c r="X546" s="1948"/>
      <c r="Y546" s="2511"/>
      <c r="Z546" s="1948"/>
      <c r="AA546" s="1948"/>
      <c r="AZ546" s="2550"/>
      <c r="BE546" s="2122"/>
      <c r="BF546" s="21"/>
      <c r="BG546" s="21"/>
      <c r="BH546" s="1949"/>
      <c r="BI546" s="1949"/>
      <c r="BJ546" s="515"/>
    </row>
    <row r="547" spans="14:62" s="20" customFormat="1" ht="14.25">
      <c r="N547" s="2144"/>
      <c r="Q547" s="847"/>
      <c r="R547" s="1947"/>
      <c r="T547" s="2122"/>
      <c r="U547" s="2122"/>
      <c r="V547" s="1948"/>
      <c r="W547" s="1948"/>
      <c r="X547" s="1948"/>
      <c r="Y547" s="2511"/>
      <c r="Z547" s="1948"/>
      <c r="AA547" s="1948"/>
      <c r="AZ547" s="2550"/>
      <c r="BE547" s="2122"/>
      <c r="BF547" s="21"/>
      <c r="BG547" s="21"/>
      <c r="BH547" s="1949"/>
      <c r="BI547" s="1949"/>
      <c r="BJ547" s="515"/>
    </row>
    <row r="548" spans="14:62" s="20" customFormat="1" ht="14.25">
      <c r="N548" s="2144"/>
      <c r="Q548" s="847"/>
      <c r="R548" s="1947"/>
      <c r="T548" s="2122"/>
      <c r="U548" s="2122"/>
      <c r="V548" s="1948"/>
      <c r="W548" s="1948"/>
      <c r="X548" s="1948"/>
      <c r="Y548" s="2511"/>
      <c r="Z548" s="1948"/>
      <c r="AA548" s="1948"/>
      <c r="AZ548" s="2550"/>
      <c r="BE548" s="2122"/>
      <c r="BF548" s="21"/>
      <c r="BG548" s="21"/>
      <c r="BH548" s="1949"/>
      <c r="BI548" s="1949"/>
      <c r="BJ548" s="515"/>
    </row>
    <row r="549" spans="14:62" s="20" customFormat="1" ht="14.25">
      <c r="N549" s="2144"/>
      <c r="Q549" s="847"/>
      <c r="R549" s="1947"/>
      <c r="T549" s="2122"/>
      <c r="U549" s="2122"/>
      <c r="V549" s="1948"/>
      <c r="W549" s="1948"/>
      <c r="X549" s="1948"/>
      <c r="Y549" s="2511"/>
      <c r="Z549" s="1948"/>
      <c r="AA549" s="1948"/>
      <c r="AZ549" s="2550"/>
      <c r="BE549" s="2122"/>
      <c r="BF549" s="21"/>
      <c r="BG549" s="21"/>
      <c r="BH549" s="1949"/>
      <c r="BI549" s="1949"/>
      <c r="BJ549" s="515"/>
    </row>
    <row r="550" spans="14:62" s="20" customFormat="1" ht="14.25">
      <c r="N550" s="2144"/>
      <c r="Q550" s="847"/>
      <c r="R550" s="1947"/>
      <c r="T550" s="2122"/>
      <c r="U550" s="2122"/>
      <c r="V550" s="1948"/>
      <c r="W550" s="1948"/>
      <c r="X550" s="1948"/>
      <c r="Y550" s="2511"/>
      <c r="Z550" s="1948"/>
      <c r="AA550" s="1948"/>
      <c r="AZ550" s="2550"/>
      <c r="BE550" s="2122"/>
      <c r="BF550" s="21"/>
      <c r="BG550" s="21"/>
      <c r="BH550" s="1949"/>
      <c r="BI550" s="1949"/>
      <c r="BJ550" s="515"/>
    </row>
    <row r="551" spans="14:62" s="20" customFormat="1" ht="14.25">
      <c r="N551" s="2144"/>
      <c r="Q551" s="847"/>
      <c r="R551" s="1947"/>
      <c r="T551" s="2122"/>
      <c r="U551" s="2122"/>
      <c r="V551" s="1948"/>
      <c r="W551" s="1948"/>
      <c r="X551" s="1948"/>
      <c r="Y551" s="2511"/>
      <c r="Z551" s="1948"/>
      <c r="AA551" s="1948"/>
      <c r="AZ551" s="2550"/>
      <c r="BE551" s="2122"/>
      <c r="BF551" s="21"/>
      <c r="BG551" s="21"/>
      <c r="BH551" s="1949"/>
      <c r="BI551" s="1949"/>
      <c r="BJ551" s="515"/>
    </row>
    <row r="552" spans="14:62" s="20" customFormat="1" ht="14.25">
      <c r="N552" s="2144"/>
      <c r="Q552" s="847"/>
      <c r="R552" s="1947"/>
      <c r="T552" s="2122"/>
      <c r="U552" s="2122"/>
      <c r="V552" s="1948"/>
      <c r="W552" s="1948"/>
      <c r="X552" s="1948"/>
      <c r="Y552" s="2511"/>
      <c r="Z552" s="1948"/>
      <c r="AA552" s="1948"/>
      <c r="AZ552" s="2550"/>
      <c r="BE552" s="2122"/>
      <c r="BF552" s="21"/>
      <c r="BG552" s="21"/>
      <c r="BH552" s="1949"/>
      <c r="BI552" s="1949"/>
      <c r="BJ552" s="515"/>
    </row>
    <row r="553" spans="14:62" s="20" customFormat="1" ht="14.25">
      <c r="N553" s="2144"/>
      <c r="Q553" s="847"/>
      <c r="R553" s="1947"/>
      <c r="T553" s="2122"/>
      <c r="U553" s="2122"/>
      <c r="V553" s="1948"/>
      <c r="W553" s="1948"/>
      <c r="X553" s="1948"/>
      <c r="Y553" s="2511"/>
      <c r="Z553" s="1948"/>
      <c r="AA553" s="1948"/>
      <c r="AZ553" s="2550"/>
      <c r="BE553" s="2122"/>
      <c r="BF553" s="21"/>
      <c r="BG553" s="21"/>
      <c r="BH553" s="1949"/>
      <c r="BI553" s="1949"/>
      <c r="BJ553" s="515"/>
    </row>
    <row r="554" spans="14:62" s="20" customFormat="1" ht="14.25">
      <c r="N554" s="2144"/>
      <c r="Q554" s="847"/>
      <c r="R554" s="1947"/>
      <c r="T554" s="2122"/>
      <c r="U554" s="2122"/>
      <c r="V554" s="1948"/>
      <c r="W554" s="1948"/>
      <c r="X554" s="1948"/>
      <c r="Y554" s="2511"/>
      <c r="Z554" s="1948"/>
      <c r="AA554" s="1948"/>
      <c r="AZ554" s="2550"/>
      <c r="BE554" s="2122"/>
      <c r="BF554" s="21"/>
      <c r="BG554" s="21"/>
      <c r="BH554" s="1949"/>
      <c r="BI554" s="1949"/>
      <c r="BJ554" s="515"/>
    </row>
    <row r="555" spans="14:62" s="20" customFormat="1" ht="14.25">
      <c r="N555" s="2144"/>
      <c r="Q555" s="847"/>
      <c r="R555" s="1947"/>
      <c r="T555" s="2122"/>
      <c r="U555" s="2122"/>
      <c r="V555" s="1948"/>
      <c r="W555" s="1948"/>
      <c r="X555" s="1948"/>
      <c r="Y555" s="2511"/>
      <c r="Z555" s="1948"/>
      <c r="AA555" s="1948"/>
      <c r="AZ555" s="2550"/>
      <c r="BE555" s="2122"/>
      <c r="BF555" s="21"/>
      <c r="BG555" s="21"/>
      <c r="BH555" s="1949"/>
      <c r="BI555" s="1949"/>
      <c r="BJ555" s="515"/>
    </row>
    <row r="556" spans="14:62" s="20" customFormat="1" ht="14.25">
      <c r="N556" s="2144"/>
      <c r="Q556" s="847"/>
      <c r="R556" s="1947"/>
      <c r="T556" s="2122"/>
      <c r="U556" s="2122"/>
      <c r="V556" s="1948"/>
      <c r="W556" s="1948"/>
      <c r="X556" s="1948"/>
      <c r="Y556" s="2511"/>
      <c r="Z556" s="1948"/>
      <c r="AA556" s="1948"/>
      <c r="AZ556" s="2550"/>
      <c r="BE556" s="2122"/>
      <c r="BF556" s="21"/>
      <c r="BG556" s="21"/>
      <c r="BH556" s="1949"/>
      <c r="BI556" s="1949"/>
      <c r="BJ556" s="515"/>
    </row>
    <row r="557" spans="14:62" s="20" customFormat="1" ht="14.25">
      <c r="N557" s="2144"/>
      <c r="Q557" s="847"/>
      <c r="R557" s="1947"/>
      <c r="T557" s="2122"/>
      <c r="U557" s="2122"/>
      <c r="V557" s="1948"/>
      <c r="W557" s="1948"/>
      <c r="X557" s="1948"/>
      <c r="Y557" s="2511"/>
      <c r="Z557" s="1948"/>
      <c r="AA557" s="1948"/>
      <c r="AZ557" s="2550"/>
      <c r="BE557" s="2122"/>
      <c r="BF557" s="21"/>
      <c r="BG557" s="21"/>
      <c r="BH557" s="1949"/>
      <c r="BI557" s="1949"/>
      <c r="BJ557" s="515"/>
    </row>
    <row r="558" spans="14:62" s="20" customFormat="1" ht="14.25">
      <c r="N558" s="2144"/>
      <c r="Q558" s="847"/>
      <c r="R558" s="1947"/>
      <c r="T558" s="2122"/>
      <c r="U558" s="2122"/>
      <c r="V558" s="1948"/>
      <c r="W558" s="1948"/>
      <c r="X558" s="1948"/>
      <c r="Y558" s="2511"/>
      <c r="Z558" s="1948"/>
      <c r="AA558" s="1948"/>
      <c r="AZ558" s="2550"/>
      <c r="BE558" s="2122"/>
      <c r="BF558" s="21"/>
      <c r="BG558" s="21"/>
      <c r="BH558" s="1949"/>
      <c r="BI558" s="1949"/>
      <c r="BJ558" s="515"/>
    </row>
    <row r="559" spans="14:62" s="20" customFormat="1" ht="14.25">
      <c r="N559" s="2144"/>
      <c r="Q559" s="847"/>
      <c r="R559" s="1947"/>
      <c r="T559" s="2122"/>
      <c r="U559" s="2122"/>
      <c r="V559" s="1948"/>
      <c r="W559" s="1948"/>
      <c r="X559" s="1948"/>
      <c r="Y559" s="2511"/>
      <c r="Z559" s="1948"/>
      <c r="AA559" s="1948"/>
      <c r="AZ559" s="2550"/>
      <c r="BE559" s="2122"/>
      <c r="BF559" s="21"/>
      <c r="BG559" s="21"/>
      <c r="BH559" s="1949"/>
      <c r="BI559" s="1949"/>
      <c r="BJ559" s="515"/>
    </row>
    <row r="560" spans="14:62" s="20" customFormat="1" ht="14.25">
      <c r="N560" s="2144"/>
      <c r="Q560" s="847"/>
      <c r="R560" s="1947"/>
      <c r="T560" s="2122"/>
      <c r="U560" s="2122"/>
      <c r="V560" s="1948"/>
      <c r="W560" s="1948"/>
      <c r="X560" s="1948"/>
      <c r="Y560" s="2511"/>
      <c r="Z560" s="1948"/>
      <c r="AA560" s="1948"/>
      <c r="AZ560" s="2550"/>
      <c r="BE560" s="2122"/>
      <c r="BF560" s="21"/>
      <c r="BG560" s="21"/>
      <c r="BH560" s="1949"/>
      <c r="BI560" s="1949"/>
      <c r="BJ560" s="515"/>
    </row>
    <row r="561" spans="14:62" s="20" customFormat="1" ht="14.25">
      <c r="N561" s="2144"/>
      <c r="Q561" s="847"/>
      <c r="R561" s="1947"/>
      <c r="T561" s="2122"/>
      <c r="U561" s="2122"/>
      <c r="V561" s="1948"/>
      <c r="W561" s="1948"/>
      <c r="X561" s="1948"/>
      <c r="Y561" s="2511"/>
      <c r="Z561" s="1948"/>
      <c r="AA561" s="1948"/>
      <c r="AZ561" s="2550"/>
      <c r="BE561" s="2122"/>
      <c r="BF561" s="21"/>
      <c r="BG561" s="21"/>
      <c r="BH561" s="1949"/>
      <c r="BI561" s="1949"/>
      <c r="BJ561" s="515"/>
    </row>
    <row r="562" spans="14:62" s="20" customFormat="1" ht="14.25">
      <c r="N562" s="2144"/>
      <c r="Q562" s="847"/>
      <c r="R562" s="1947"/>
      <c r="T562" s="2122"/>
      <c r="U562" s="2122"/>
      <c r="V562" s="1948"/>
      <c r="W562" s="1948"/>
      <c r="X562" s="1948"/>
      <c r="Y562" s="2511"/>
      <c r="Z562" s="1948"/>
      <c r="AA562" s="1948"/>
      <c r="AZ562" s="2550"/>
      <c r="BE562" s="2122"/>
      <c r="BF562" s="21"/>
      <c r="BG562" s="21"/>
      <c r="BH562" s="1949"/>
      <c r="BI562" s="1949"/>
      <c r="BJ562" s="515"/>
    </row>
    <row r="563" spans="14:62" s="20" customFormat="1" ht="14.25">
      <c r="N563" s="2144"/>
      <c r="Q563" s="847"/>
      <c r="R563" s="1947"/>
      <c r="T563" s="2122"/>
      <c r="U563" s="2122"/>
      <c r="V563" s="1948"/>
      <c r="W563" s="1948"/>
      <c r="X563" s="1948"/>
      <c r="Y563" s="2511"/>
      <c r="Z563" s="1948"/>
      <c r="AA563" s="1948"/>
      <c r="AZ563" s="2550"/>
      <c r="BE563" s="2122"/>
      <c r="BF563" s="21"/>
      <c r="BG563" s="21"/>
      <c r="BH563" s="1949"/>
      <c r="BI563" s="1949"/>
      <c r="BJ563" s="515"/>
    </row>
    <row r="564" spans="14:62" s="20" customFormat="1" ht="14.25">
      <c r="N564" s="2144"/>
      <c r="Q564" s="847"/>
      <c r="R564" s="1947"/>
      <c r="T564" s="2122"/>
      <c r="U564" s="2122"/>
      <c r="V564" s="1948"/>
      <c r="W564" s="1948"/>
      <c r="X564" s="1948"/>
      <c r="Y564" s="2511"/>
      <c r="Z564" s="1948"/>
      <c r="AA564" s="1948"/>
      <c r="AZ564" s="2550"/>
      <c r="BE564" s="2122"/>
      <c r="BF564" s="21"/>
      <c r="BG564" s="21"/>
      <c r="BH564" s="1949"/>
      <c r="BI564" s="1949"/>
      <c r="BJ564" s="515"/>
    </row>
    <row r="565" spans="14:62" s="20" customFormat="1" ht="14.25">
      <c r="N565" s="2144"/>
      <c r="Q565" s="847"/>
      <c r="R565" s="1947"/>
      <c r="T565" s="2122"/>
      <c r="U565" s="2122"/>
      <c r="V565" s="1948"/>
      <c r="W565" s="1948"/>
      <c r="X565" s="1948"/>
      <c r="Y565" s="2511"/>
      <c r="Z565" s="1948"/>
      <c r="AA565" s="1948"/>
      <c r="AZ565" s="2550"/>
      <c r="BE565" s="2122"/>
      <c r="BF565" s="21"/>
      <c r="BG565" s="21"/>
      <c r="BH565" s="1949"/>
      <c r="BI565" s="1949"/>
      <c r="BJ565" s="515"/>
    </row>
    <row r="566" spans="14:62" s="20" customFormat="1" ht="14.25">
      <c r="N566" s="2144"/>
      <c r="Q566" s="847"/>
      <c r="R566" s="1947"/>
      <c r="T566" s="2122"/>
      <c r="U566" s="2122"/>
      <c r="V566" s="1948"/>
      <c r="W566" s="1948"/>
      <c r="X566" s="1948"/>
      <c r="Y566" s="2511"/>
      <c r="Z566" s="1948"/>
      <c r="AA566" s="1948"/>
      <c r="AZ566" s="2550"/>
      <c r="BE566" s="2122"/>
      <c r="BF566" s="21"/>
      <c r="BG566" s="21"/>
      <c r="BH566" s="1949"/>
      <c r="BI566" s="1949"/>
      <c r="BJ566" s="515"/>
    </row>
    <row r="567" spans="14:62" s="20" customFormat="1" ht="14.25">
      <c r="N567" s="2144"/>
      <c r="Q567" s="847"/>
      <c r="R567" s="1947"/>
      <c r="T567" s="2122"/>
      <c r="U567" s="2122"/>
      <c r="V567" s="1948"/>
      <c r="W567" s="1948"/>
      <c r="X567" s="1948"/>
      <c r="Y567" s="2511"/>
      <c r="Z567" s="1948"/>
      <c r="AA567" s="1948"/>
      <c r="AZ567" s="2550"/>
      <c r="BE567" s="2122"/>
      <c r="BF567" s="21"/>
      <c r="BG567" s="21"/>
      <c r="BH567" s="1949"/>
      <c r="BI567" s="1949"/>
      <c r="BJ567" s="515"/>
    </row>
    <row r="568" spans="14:62" s="20" customFormat="1" ht="14.25">
      <c r="N568" s="2144"/>
      <c r="Q568" s="847"/>
      <c r="R568" s="1947"/>
      <c r="T568" s="2122"/>
      <c r="U568" s="2122"/>
      <c r="V568" s="1948"/>
      <c r="W568" s="1948"/>
      <c r="X568" s="1948"/>
      <c r="Y568" s="2511"/>
      <c r="Z568" s="1948"/>
      <c r="AA568" s="1948"/>
      <c r="AZ568" s="2550"/>
      <c r="BE568" s="2122"/>
      <c r="BF568" s="21"/>
      <c r="BG568" s="21"/>
      <c r="BH568" s="1949"/>
      <c r="BI568" s="1949"/>
      <c r="BJ568" s="515"/>
    </row>
    <row r="569" spans="14:62" s="20" customFormat="1" ht="14.25">
      <c r="N569" s="2144"/>
      <c r="Q569" s="847"/>
      <c r="R569" s="1947"/>
      <c r="T569" s="2122"/>
      <c r="U569" s="2122"/>
      <c r="V569" s="1948"/>
      <c r="W569" s="1948"/>
      <c r="X569" s="1948"/>
      <c r="Y569" s="2511"/>
      <c r="Z569" s="1948"/>
      <c r="AA569" s="1948"/>
      <c r="AZ569" s="2550"/>
      <c r="BE569" s="2122"/>
      <c r="BF569" s="21"/>
      <c r="BG569" s="21"/>
      <c r="BH569" s="1949"/>
      <c r="BI569" s="1949"/>
      <c r="BJ569" s="515"/>
    </row>
    <row r="570" spans="14:62" s="20" customFormat="1" ht="14.25">
      <c r="N570" s="2144"/>
      <c r="Q570" s="847"/>
      <c r="R570" s="1947"/>
      <c r="T570" s="2122"/>
      <c r="U570" s="2122"/>
      <c r="V570" s="1948"/>
      <c r="W570" s="1948"/>
      <c r="X570" s="1948"/>
      <c r="Y570" s="2511"/>
      <c r="Z570" s="1948"/>
      <c r="AA570" s="1948"/>
      <c r="AZ570" s="2550"/>
      <c r="BE570" s="2122"/>
      <c r="BF570" s="21"/>
      <c r="BG570" s="21"/>
      <c r="BH570" s="1949"/>
      <c r="BI570" s="1949"/>
      <c r="BJ570" s="515"/>
    </row>
    <row r="571" spans="14:62" s="20" customFormat="1" ht="14.25">
      <c r="N571" s="2144"/>
      <c r="Q571" s="847"/>
      <c r="R571" s="1947"/>
      <c r="T571" s="2122"/>
      <c r="U571" s="2122"/>
      <c r="V571" s="1948"/>
      <c r="W571" s="1948"/>
      <c r="X571" s="1948"/>
      <c r="Y571" s="2511"/>
      <c r="Z571" s="1948"/>
      <c r="AA571" s="1948"/>
      <c r="AZ571" s="2550"/>
      <c r="BE571" s="2122"/>
      <c r="BF571" s="21"/>
      <c r="BG571" s="21"/>
      <c r="BH571" s="1949"/>
      <c r="BI571" s="1949"/>
      <c r="BJ571" s="515"/>
    </row>
    <row r="572" spans="14:62" s="20" customFormat="1" ht="14.25">
      <c r="N572" s="2144"/>
      <c r="Q572" s="847"/>
      <c r="R572" s="1947"/>
      <c r="T572" s="2122"/>
      <c r="U572" s="2122"/>
      <c r="V572" s="1948"/>
      <c r="W572" s="1948"/>
      <c r="X572" s="1948"/>
      <c r="Y572" s="2511"/>
      <c r="Z572" s="1948"/>
      <c r="AA572" s="1948"/>
      <c r="AZ572" s="2550"/>
      <c r="BE572" s="2122"/>
      <c r="BF572" s="21"/>
      <c r="BG572" s="21"/>
      <c r="BH572" s="1949"/>
      <c r="BI572" s="1949"/>
      <c r="BJ572" s="515"/>
    </row>
    <row r="573" spans="14:62" s="20" customFormat="1" ht="14.25">
      <c r="N573" s="2144"/>
      <c r="Q573" s="847"/>
      <c r="R573" s="1947"/>
      <c r="T573" s="2122"/>
      <c r="U573" s="2122"/>
      <c r="V573" s="1948"/>
      <c r="W573" s="1948"/>
      <c r="X573" s="1948"/>
      <c r="Y573" s="2511"/>
      <c r="Z573" s="1948"/>
      <c r="AA573" s="1948"/>
      <c r="AZ573" s="2550"/>
      <c r="BE573" s="2122"/>
      <c r="BF573" s="21"/>
      <c r="BG573" s="21"/>
      <c r="BH573" s="1949"/>
      <c r="BI573" s="1949"/>
      <c r="BJ573" s="515"/>
    </row>
    <row r="574" spans="14:62" s="20" customFormat="1" ht="14.25">
      <c r="N574" s="2144"/>
      <c r="Q574" s="847"/>
      <c r="R574" s="1947"/>
      <c r="T574" s="2122"/>
      <c r="U574" s="2122"/>
      <c r="V574" s="1948"/>
      <c r="W574" s="1948"/>
      <c r="X574" s="1948"/>
      <c r="Y574" s="2511"/>
      <c r="Z574" s="1948"/>
      <c r="AA574" s="1948"/>
      <c r="AZ574" s="2550"/>
      <c r="BE574" s="2122"/>
      <c r="BF574" s="21"/>
      <c r="BG574" s="21"/>
      <c r="BH574" s="1949"/>
      <c r="BI574" s="1949"/>
      <c r="BJ574" s="515"/>
    </row>
    <row r="575" spans="14:62" s="20" customFormat="1" ht="14.25">
      <c r="N575" s="2144"/>
      <c r="Q575" s="847"/>
      <c r="R575" s="1947"/>
      <c r="T575" s="2122"/>
      <c r="U575" s="2122"/>
      <c r="V575" s="1948"/>
      <c r="W575" s="1948"/>
      <c r="X575" s="1948"/>
      <c r="Y575" s="2511"/>
      <c r="Z575" s="1948"/>
      <c r="AA575" s="1948"/>
      <c r="AZ575" s="2550"/>
      <c r="BE575" s="2122"/>
      <c r="BF575" s="21"/>
      <c r="BG575" s="21"/>
      <c r="BH575" s="1949"/>
      <c r="BI575" s="1949"/>
      <c r="BJ575" s="515"/>
    </row>
    <row r="576" spans="14:62" s="20" customFormat="1" ht="14.25">
      <c r="N576" s="2144"/>
      <c r="Q576" s="847"/>
      <c r="R576" s="1947"/>
      <c r="T576" s="2122"/>
      <c r="U576" s="2122"/>
      <c r="V576" s="1948"/>
      <c r="W576" s="1948"/>
      <c r="X576" s="1948"/>
      <c r="Y576" s="2511"/>
      <c r="Z576" s="1948"/>
      <c r="AA576" s="1948"/>
      <c r="AZ576" s="2550"/>
      <c r="BE576" s="2122"/>
      <c r="BF576" s="21"/>
      <c r="BG576" s="21"/>
      <c r="BH576" s="1949"/>
      <c r="BI576" s="1949"/>
      <c r="BJ576" s="515"/>
    </row>
    <row r="577" spans="14:62" s="20" customFormat="1" ht="14.25">
      <c r="N577" s="2144"/>
      <c r="Q577" s="847"/>
      <c r="R577" s="1947"/>
      <c r="T577" s="2122"/>
      <c r="U577" s="2122"/>
      <c r="V577" s="1948"/>
      <c r="W577" s="1948"/>
      <c r="X577" s="1948"/>
      <c r="Y577" s="2511"/>
      <c r="Z577" s="1948"/>
      <c r="AA577" s="1948"/>
      <c r="AZ577" s="2550"/>
      <c r="BE577" s="2122"/>
      <c r="BF577" s="21"/>
      <c r="BG577" s="21"/>
      <c r="BH577" s="1949"/>
      <c r="BI577" s="1949"/>
      <c r="BJ577" s="515"/>
    </row>
    <row r="578" spans="14:62" s="20" customFormat="1" ht="14.25">
      <c r="N578" s="2144"/>
      <c r="Q578" s="847"/>
      <c r="R578" s="1947"/>
      <c r="T578" s="2122"/>
      <c r="U578" s="2122"/>
      <c r="V578" s="1948"/>
      <c r="W578" s="1948"/>
      <c r="X578" s="1948"/>
      <c r="Y578" s="2511"/>
      <c r="Z578" s="1948"/>
      <c r="AA578" s="1948"/>
      <c r="AZ578" s="2550"/>
      <c r="BE578" s="2122"/>
      <c r="BF578" s="21"/>
      <c r="BG578" s="21"/>
      <c r="BH578" s="1949"/>
      <c r="BI578" s="1949"/>
      <c r="BJ578" s="515"/>
    </row>
    <row r="579" spans="14:62" s="20" customFormat="1" ht="14.25">
      <c r="N579" s="2144"/>
      <c r="Q579" s="847"/>
      <c r="R579" s="1947"/>
      <c r="T579" s="2122"/>
      <c r="U579" s="2122"/>
      <c r="V579" s="1948"/>
      <c r="W579" s="1948"/>
      <c r="X579" s="1948"/>
      <c r="Y579" s="2511"/>
      <c r="Z579" s="1948"/>
      <c r="AA579" s="1948"/>
      <c r="AZ579" s="2550"/>
      <c r="BE579" s="2122"/>
      <c r="BF579" s="21"/>
      <c r="BG579" s="21"/>
      <c r="BH579" s="1949"/>
      <c r="BI579" s="1949"/>
      <c r="BJ579" s="515"/>
    </row>
    <row r="580" spans="14:62" s="20" customFormat="1" ht="14.25">
      <c r="N580" s="2144"/>
      <c r="Q580" s="847"/>
      <c r="R580" s="1947"/>
      <c r="T580" s="2122"/>
      <c r="U580" s="2122"/>
      <c r="V580" s="1948"/>
      <c r="W580" s="1948"/>
      <c r="X580" s="1948"/>
      <c r="Y580" s="2511"/>
      <c r="Z580" s="1948"/>
      <c r="AA580" s="1948"/>
      <c r="AZ580" s="2550"/>
      <c r="BE580" s="2122"/>
      <c r="BF580" s="21"/>
      <c r="BG580" s="21"/>
      <c r="BH580" s="1949"/>
      <c r="BI580" s="1949"/>
      <c r="BJ580" s="515"/>
    </row>
    <row r="581" spans="14:62" s="20" customFormat="1" ht="14.25">
      <c r="N581" s="2144"/>
      <c r="Q581" s="847"/>
      <c r="R581" s="1947"/>
      <c r="T581" s="2122"/>
      <c r="U581" s="2122"/>
      <c r="V581" s="1948"/>
      <c r="W581" s="1948"/>
      <c r="X581" s="1948"/>
      <c r="Y581" s="2511"/>
      <c r="Z581" s="1948"/>
      <c r="AA581" s="1948"/>
      <c r="AZ581" s="2550"/>
      <c r="BE581" s="2122"/>
      <c r="BF581" s="21"/>
      <c r="BG581" s="21"/>
      <c r="BH581" s="1949"/>
      <c r="BI581" s="1949"/>
      <c r="BJ581" s="515"/>
    </row>
    <row r="582" spans="14:62" s="20" customFormat="1" ht="14.25">
      <c r="N582" s="2144"/>
      <c r="Q582" s="847"/>
      <c r="R582" s="1947"/>
      <c r="T582" s="2122"/>
      <c r="U582" s="2122"/>
      <c r="V582" s="1948"/>
      <c r="W582" s="1948"/>
      <c r="X582" s="1948"/>
      <c r="Y582" s="2511"/>
      <c r="Z582" s="1948"/>
      <c r="AA582" s="1948"/>
      <c r="AZ582" s="2550"/>
      <c r="BE582" s="2122"/>
      <c r="BF582" s="21"/>
      <c r="BG582" s="21"/>
      <c r="BH582" s="1949"/>
      <c r="BI582" s="1949"/>
      <c r="BJ582" s="515"/>
    </row>
    <row r="583" spans="14:62" s="20" customFormat="1" ht="14.25">
      <c r="N583" s="2144"/>
      <c r="Q583" s="847"/>
      <c r="R583" s="1947"/>
      <c r="T583" s="2122"/>
      <c r="U583" s="2122"/>
      <c r="V583" s="1948"/>
      <c r="W583" s="1948"/>
      <c r="X583" s="1948"/>
      <c r="Y583" s="2511"/>
      <c r="Z583" s="1948"/>
      <c r="AA583" s="1948"/>
      <c r="AZ583" s="2550"/>
      <c r="BE583" s="2122"/>
      <c r="BF583" s="21"/>
      <c r="BG583" s="21"/>
      <c r="BH583" s="1949"/>
      <c r="BI583" s="1949"/>
      <c r="BJ583" s="515"/>
    </row>
    <row r="584" spans="14:62" s="20" customFormat="1" ht="14.25">
      <c r="N584" s="2144"/>
      <c r="Q584" s="847"/>
      <c r="R584" s="1947"/>
      <c r="T584" s="2122"/>
      <c r="U584" s="2122"/>
      <c r="V584" s="1948"/>
      <c r="W584" s="1948"/>
      <c r="X584" s="1948"/>
      <c r="Y584" s="2511"/>
      <c r="Z584" s="1948"/>
      <c r="AA584" s="1948"/>
      <c r="AZ584" s="2550"/>
      <c r="BE584" s="2122"/>
      <c r="BF584" s="21"/>
      <c r="BG584" s="21"/>
      <c r="BH584" s="1949"/>
      <c r="BI584" s="1949"/>
      <c r="BJ584" s="515"/>
    </row>
    <row r="585" spans="14:62" s="20" customFormat="1" ht="14.25">
      <c r="N585" s="2144"/>
      <c r="Q585" s="847"/>
      <c r="R585" s="1947"/>
      <c r="T585" s="2122"/>
      <c r="U585" s="2122"/>
      <c r="V585" s="1948"/>
      <c r="W585" s="1948"/>
      <c r="X585" s="1948"/>
      <c r="Y585" s="2511"/>
      <c r="Z585" s="1948"/>
      <c r="AA585" s="1948"/>
      <c r="AZ585" s="2550"/>
      <c r="BE585" s="2122"/>
      <c r="BF585" s="21"/>
      <c r="BG585" s="21"/>
      <c r="BH585" s="1949"/>
      <c r="BI585" s="1949"/>
      <c r="BJ585" s="515"/>
    </row>
    <row r="586" spans="14:62" s="20" customFormat="1" ht="14.25">
      <c r="N586" s="2144"/>
      <c r="Q586" s="847"/>
      <c r="R586" s="1947"/>
      <c r="T586" s="2122"/>
      <c r="U586" s="2122"/>
      <c r="V586" s="1948"/>
      <c r="W586" s="1948"/>
      <c r="X586" s="1948"/>
      <c r="Y586" s="2511"/>
      <c r="Z586" s="1948"/>
      <c r="AA586" s="1948"/>
      <c r="AZ586" s="2550"/>
      <c r="BE586" s="2122"/>
      <c r="BF586" s="21"/>
      <c r="BG586" s="21"/>
      <c r="BH586" s="1949"/>
      <c r="BI586" s="1949"/>
      <c r="BJ586" s="515"/>
    </row>
    <row r="587" spans="14:62" s="20" customFormat="1" ht="14.25">
      <c r="N587" s="2144"/>
      <c r="Q587" s="847"/>
      <c r="R587" s="1947"/>
      <c r="T587" s="2122"/>
      <c r="U587" s="2122"/>
      <c r="V587" s="1948"/>
      <c r="W587" s="1948"/>
      <c r="X587" s="1948"/>
      <c r="Y587" s="2511"/>
      <c r="Z587" s="1948"/>
      <c r="AA587" s="1948"/>
      <c r="AZ587" s="2550"/>
      <c r="BE587" s="2122"/>
      <c r="BF587" s="21"/>
      <c r="BG587" s="21"/>
      <c r="BH587" s="1949"/>
      <c r="BI587" s="1949"/>
      <c r="BJ587" s="515"/>
    </row>
    <row r="588" spans="14:62" s="20" customFormat="1" ht="14.25">
      <c r="N588" s="2144"/>
      <c r="Q588" s="847"/>
      <c r="R588" s="1947"/>
      <c r="T588" s="2122"/>
      <c r="U588" s="2122"/>
      <c r="V588" s="1948"/>
      <c r="W588" s="1948"/>
      <c r="X588" s="1948"/>
      <c r="Y588" s="2511"/>
      <c r="Z588" s="1948"/>
      <c r="AA588" s="1948"/>
      <c r="AZ588" s="2550"/>
      <c r="BE588" s="2122"/>
      <c r="BF588" s="21"/>
      <c r="BG588" s="21"/>
      <c r="BH588" s="1949"/>
      <c r="BI588" s="1949"/>
      <c r="BJ588" s="515"/>
    </row>
    <row r="589" spans="14:62" s="20" customFormat="1" ht="14.25">
      <c r="N589" s="2144"/>
      <c r="Q589" s="847"/>
      <c r="R589" s="1947"/>
      <c r="T589" s="2122"/>
      <c r="U589" s="2122"/>
      <c r="V589" s="1948"/>
      <c r="W589" s="1948"/>
      <c r="X589" s="1948"/>
      <c r="Y589" s="2511"/>
      <c r="Z589" s="1948"/>
      <c r="AA589" s="1948"/>
      <c r="AZ589" s="2550"/>
      <c r="BE589" s="2122"/>
      <c r="BF589" s="21"/>
      <c r="BG589" s="21"/>
      <c r="BH589" s="1949"/>
      <c r="BI589" s="1949"/>
      <c r="BJ589" s="515"/>
    </row>
    <row r="590" spans="14:62" s="20" customFormat="1" ht="14.25">
      <c r="N590" s="2144"/>
      <c r="Q590" s="847"/>
      <c r="R590" s="1947"/>
      <c r="T590" s="2122"/>
      <c r="U590" s="2122"/>
      <c r="V590" s="1948"/>
      <c r="W590" s="1948"/>
      <c r="X590" s="1948"/>
      <c r="Y590" s="2511"/>
      <c r="Z590" s="1948"/>
      <c r="AA590" s="1948"/>
      <c r="AZ590" s="2550"/>
      <c r="BE590" s="2122"/>
      <c r="BF590" s="21"/>
      <c r="BG590" s="21"/>
      <c r="BH590" s="1949"/>
      <c r="BI590" s="1949"/>
      <c r="BJ590" s="515"/>
    </row>
    <row r="591" spans="14:62" s="20" customFormat="1" ht="14.25">
      <c r="N591" s="2144"/>
      <c r="Q591" s="847"/>
      <c r="R591" s="1947"/>
      <c r="T591" s="2122"/>
      <c r="U591" s="2122"/>
      <c r="V591" s="1948"/>
      <c r="W591" s="1948"/>
      <c r="X591" s="1948"/>
      <c r="Y591" s="2511"/>
      <c r="Z591" s="1948"/>
      <c r="AA591" s="1948"/>
      <c r="AZ591" s="2550"/>
      <c r="BE591" s="2122"/>
      <c r="BF591" s="21"/>
      <c r="BG591" s="21"/>
      <c r="BH591" s="1949"/>
      <c r="BI591" s="1949"/>
      <c r="BJ591" s="515"/>
    </row>
    <row r="592" spans="14:62" s="20" customFormat="1" ht="14.25">
      <c r="N592" s="2144"/>
      <c r="Q592" s="847"/>
      <c r="R592" s="1947"/>
      <c r="T592" s="2122"/>
      <c r="U592" s="2122"/>
      <c r="V592" s="1948"/>
      <c r="W592" s="1948"/>
      <c r="X592" s="1948"/>
      <c r="Y592" s="2511"/>
      <c r="Z592" s="1948"/>
      <c r="AA592" s="1948"/>
      <c r="AZ592" s="2550"/>
      <c r="BE592" s="2122"/>
      <c r="BF592" s="21"/>
      <c r="BG592" s="21"/>
      <c r="BH592" s="1949"/>
      <c r="BI592" s="1949"/>
      <c r="BJ592" s="515"/>
    </row>
    <row r="593" spans="14:62" s="20" customFormat="1" ht="14.25">
      <c r="N593" s="2144"/>
      <c r="Q593" s="847"/>
      <c r="R593" s="1947"/>
      <c r="T593" s="2122"/>
      <c r="U593" s="2122"/>
      <c r="V593" s="1948"/>
      <c r="W593" s="1948"/>
      <c r="X593" s="1948"/>
      <c r="Y593" s="2511"/>
      <c r="Z593" s="1948"/>
      <c r="AA593" s="1948"/>
      <c r="AZ593" s="2550"/>
      <c r="BE593" s="2122"/>
      <c r="BF593" s="21"/>
      <c r="BG593" s="21"/>
      <c r="BH593" s="1949"/>
      <c r="BI593" s="1949"/>
      <c r="BJ593" s="515"/>
    </row>
    <row r="594" spans="14:62" s="20" customFormat="1" ht="14.25">
      <c r="N594" s="2144"/>
      <c r="Q594" s="847"/>
      <c r="R594" s="1947"/>
      <c r="T594" s="2122"/>
      <c r="U594" s="2122"/>
      <c r="V594" s="1948"/>
      <c r="W594" s="1948"/>
      <c r="X594" s="1948"/>
      <c r="Y594" s="2511"/>
      <c r="Z594" s="1948"/>
      <c r="AA594" s="1948"/>
      <c r="AZ594" s="2550"/>
      <c r="BE594" s="2122"/>
      <c r="BF594" s="21"/>
      <c r="BG594" s="21"/>
      <c r="BH594" s="1949"/>
      <c r="BI594" s="1949"/>
      <c r="BJ594" s="515"/>
    </row>
    <row r="595" spans="14:62" s="20" customFormat="1" ht="14.25">
      <c r="N595" s="2144"/>
      <c r="Q595" s="847"/>
      <c r="R595" s="1947"/>
      <c r="T595" s="2122"/>
      <c r="U595" s="2122"/>
      <c r="V595" s="1948"/>
      <c r="W595" s="1948"/>
      <c r="X595" s="1948"/>
      <c r="Y595" s="2511"/>
      <c r="Z595" s="1948"/>
      <c r="AA595" s="1948"/>
      <c r="AZ595" s="2550"/>
      <c r="BE595" s="2122"/>
      <c r="BF595" s="21"/>
      <c r="BG595" s="21"/>
      <c r="BH595" s="1949"/>
      <c r="BI595" s="1949"/>
      <c r="BJ595" s="515"/>
    </row>
    <row r="596" spans="14:62" s="20" customFormat="1" ht="14.25">
      <c r="N596" s="2144"/>
      <c r="Q596" s="847"/>
      <c r="R596" s="1947"/>
      <c r="T596" s="2122"/>
      <c r="U596" s="2122"/>
      <c r="V596" s="1948"/>
      <c r="W596" s="1948"/>
      <c r="X596" s="1948"/>
      <c r="Y596" s="2511"/>
      <c r="Z596" s="1948"/>
      <c r="AA596" s="1948"/>
      <c r="AZ596" s="2550"/>
      <c r="BE596" s="2122"/>
      <c r="BF596" s="21"/>
      <c r="BG596" s="21"/>
      <c r="BH596" s="1949"/>
      <c r="BI596" s="1949"/>
      <c r="BJ596" s="515"/>
    </row>
    <row r="597" spans="14:62" s="20" customFormat="1" ht="14.25">
      <c r="N597" s="2144"/>
      <c r="Q597" s="847"/>
      <c r="R597" s="1947"/>
      <c r="T597" s="2122"/>
      <c r="U597" s="2122"/>
      <c r="V597" s="1948"/>
      <c r="W597" s="1948"/>
      <c r="X597" s="1948"/>
      <c r="Y597" s="2511"/>
      <c r="Z597" s="1948"/>
      <c r="AA597" s="1948"/>
      <c r="AZ597" s="2550"/>
      <c r="BE597" s="2122"/>
      <c r="BF597" s="21"/>
      <c r="BG597" s="21"/>
      <c r="BH597" s="1949"/>
      <c r="BI597" s="1949"/>
      <c r="BJ597" s="515"/>
    </row>
    <row r="598" spans="14:62" s="20" customFormat="1" ht="14.25">
      <c r="N598" s="2144"/>
      <c r="Q598" s="847"/>
      <c r="R598" s="1947"/>
      <c r="T598" s="2122"/>
      <c r="U598" s="2122"/>
      <c r="V598" s="1948"/>
      <c r="W598" s="1948"/>
      <c r="X598" s="1948"/>
      <c r="Y598" s="2511"/>
      <c r="Z598" s="1948"/>
      <c r="AA598" s="1948"/>
      <c r="AZ598" s="2550"/>
      <c r="BE598" s="2122"/>
      <c r="BF598" s="21"/>
      <c r="BG598" s="21"/>
      <c r="BH598" s="1949"/>
      <c r="BI598" s="1949"/>
      <c r="BJ598" s="515"/>
    </row>
    <row r="599" spans="14:62" s="20" customFormat="1" ht="14.25">
      <c r="N599" s="2144"/>
      <c r="Q599" s="847"/>
      <c r="R599" s="1947"/>
      <c r="T599" s="2122"/>
      <c r="U599" s="2122"/>
      <c r="V599" s="1948"/>
      <c r="W599" s="1948"/>
      <c r="X599" s="1948"/>
      <c r="Y599" s="2511"/>
      <c r="Z599" s="1948"/>
      <c r="AA599" s="1948"/>
      <c r="AZ599" s="2550"/>
      <c r="BE599" s="2122"/>
      <c r="BF599" s="21"/>
      <c r="BG599" s="21"/>
      <c r="BH599" s="1949"/>
      <c r="BI599" s="1949"/>
      <c r="BJ599" s="515"/>
    </row>
    <row r="600" spans="14:62" s="20" customFormat="1" ht="14.25">
      <c r="N600" s="2144"/>
      <c r="Q600" s="847"/>
      <c r="R600" s="1947"/>
      <c r="T600" s="2122"/>
      <c r="U600" s="2122"/>
      <c r="V600" s="1948"/>
      <c r="W600" s="1948"/>
      <c r="X600" s="1948"/>
      <c r="Y600" s="2511"/>
      <c r="Z600" s="1948"/>
      <c r="AA600" s="1948"/>
      <c r="AZ600" s="2550"/>
      <c r="BE600" s="2122"/>
      <c r="BF600" s="21"/>
      <c r="BG600" s="21"/>
      <c r="BH600" s="1949"/>
      <c r="BI600" s="1949"/>
      <c r="BJ600" s="515"/>
    </row>
    <row r="601" spans="14:62" s="20" customFormat="1" ht="14.25">
      <c r="N601" s="2144"/>
      <c r="Q601" s="847"/>
      <c r="R601" s="1947"/>
      <c r="T601" s="2122"/>
      <c r="U601" s="2122"/>
      <c r="V601" s="1948"/>
      <c r="W601" s="1948"/>
      <c r="X601" s="1948"/>
      <c r="Y601" s="2511"/>
      <c r="Z601" s="1948"/>
      <c r="AA601" s="1948"/>
      <c r="AZ601" s="2550"/>
      <c r="BE601" s="2122"/>
      <c r="BF601" s="21"/>
      <c r="BG601" s="21"/>
      <c r="BH601" s="1949"/>
      <c r="BI601" s="1949"/>
      <c r="BJ601" s="515"/>
    </row>
    <row r="602" spans="14:62" s="20" customFormat="1" ht="14.25">
      <c r="N602" s="2144"/>
      <c r="Q602" s="847"/>
      <c r="R602" s="1947"/>
      <c r="T602" s="2122"/>
      <c r="U602" s="2122"/>
      <c r="V602" s="1948"/>
      <c r="W602" s="1948"/>
      <c r="X602" s="1948"/>
      <c r="Y602" s="2511"/>
      <c r="Z602" s="1948"/>
      <c r="AA602" s="1948"/>
      <c r="AZ602" s="2550"/>
      <c r="BE602" s="2122"/>
      <c r="BF602" s="21"/>
      <c r="BG602" s="21"/>
      <c r="BH602" s="1949"/>
      <c r="BI602" s="1949"/>
      <c r="BJ602" s="515"/>
    </row>
    <row r="603" spans="14:62" s="20" customFormat="1" ht="14.25">
      <c r="N603" s="2144"/>
      <c r="Q603" s="847"/>
      <c r="R603" s="1947"/>
      <c r="T603" s="2122"/>
      <c r="U603" s="2122"/>
      <c r="V603" s="1948"/>
      <c r="W603" s="1948"/>
      <c r="X603" s="1948"/>
      <c r="Y603" s="2511"/>
      <c r="Z603" s="1948"/>
      <c r="AA603" s="1948"/>
      <c r="AZ603" s="2550"/>
      <c r="BE603" s="2122"/>
      <c r="BF603" s="21"/>
      <c r="BG603" s="21"/>
      <c r="BH603" s="1949"/>
      <c r="BI603" s="1949"/>
      <c r="BJ603" s="515"/>
    </row>
    <row r="604" spans="14:62" s="20" customFormat="1" ht="14.25">
      <c r="N604" s="2144"/>
      <c r="Q604" s="847"/>
      <c r="R604" s="1947"/>
      <c r="T604" s="2122"/>
      <c r="U604" s="2122"/>
      <c r="V604" s="1948"/>
      <c r="W604" s="1948"/>
      <c r="X604" s="1948"/>
      <c r="Y604" s="2511"/>
      <c r="Z604" s="1948"/>
      <c r="AA604" s="1948"/>
      <c r="AZ604" s="2550"/>
      <c r="BE604" s="2122"/>
      <c r="BF604" s="21"/>
      <c r="BG604" s="21"/>
      <c r="BH604" s="1949"/>
      <c r="BI604" s="1949"/>
      <c r="BJ604" s="515"/>
    </row>
    <row r="605" spans="14:62" s="20" customFormat="1" ht="14.25">
      <c r="N605" s="2144"/>
      <c r="Q605" s="847"/>
      <c r="R605" s="1947"/>
      <c r="T605" s="2122"/>
      <c r="U605" s="2122"/>
      <c r="V605" s="1948"/>
      <c r="W605" s="1948"/>
      <c r="X605" s="1948"/>
      <c r="Y605" s="2511"/>
      <c r="Z605" s="1948"/>
      <c r="AA605" s="1948"/>
      <c r="AZ605" s="2550"/>
      <c r="BE605" s="2122"/>
      <c r="BF605" s="21"/>
      <c r="BG605" s="21"/>
      <c r="BH605" s="1949"/>
      <c r="BI605" s="1949"/>
      <c r="BJ605" s="515"/>
    </row>
    <row r="606" spans="14:62" s="20" customFormat="1" ht="14.25">
      <c r="N606" s="2144"/>
      <c r="Q606" s="847"/>
      <c r="R606" s="1947"/>
      <c r="T606" s="2122"/>
      <c r="U606" s="2122"/>
      <c r="V606" s="1948"/>
      <c r="W606" s="1948"/>
      <c r="X606" s="1948"/>
      <c r="Y606" s="2511"/>
      <c r="Z606" s="1948"/>
      <c r="AA606" s="1948"/>
      <c r="AZ606" s="2550"/>
      <c r="BE606" s="2122"/>
      <c r="BF606" s="21"/>
      <c r="BG606" s="21"/>
      <c r="BH606" s="1949"/>
      <c r="BI606" s="1949"/>
      <c r="BJ606" s="515"/>
    </row>
    <row r="607" spans="14:62" s="20" customFormat="1" ht="14.25">
      <c r="N607" s="2144"/>
      <c r="Q607" s="847"/>
      <c r="R607" s="1947"/>
      <c r="T607" s="2122"/>
      <c r="U607" s="2122"/>
      <c r="V607" s="1948"/>
      <c r="W607" s="1948"/>
      <c r="X607" s="1948"/>
      <c r="Y607" s="2511"/>
      <c r="Z607" s="1948"/>
      <c r="AA607" s="1948"/>
      <c r="AZ607" s="2550"/>
      <c r="BE607" s="2122"/>
      <c r="BF607" s="21"/>
      <c r="BG607" s="21"/>
      <c r="BH607" s="1949"/>
      <c r="BI607" s="1949"/>
      <c r="BJ607" s="515"/>
    </row>
    <row r="608" spans="14:62" s="20" customFormat="1" ht="14.25">
      <c r="N608" s="2144"/>
      <c r="Q608" s="847"/>
      <c r="R608" s="1947"/>
      <c r="T608" s="2122"/>
      <c r="U608" s="2122"/>
      <c r="V608" s="1948"/>
      <c r="W608" s="1948"/>
      <c r="X608" s="1948"/>
      <c r="Y608" s="2511"/>
      <c r="Z608" s="1948"/>
      <c r="AA608" s="1948"/>
      <c r="AZ608" s="2550"/>
      <c r="BE608" s="2122"/>
      <c r="BF608" s="21"/>
      <c r="BG608" s="21"/>
      <c r="BH608" s="1949"/>
      <c r="BI608" s="1949"/>
      <c r="BJ608" s="515"/>
    </row>
    <row r="609" spans="14:62" s="20" customFormat="1" ht="14.25">
      <c r="N609" s="2144"/>
      <c r="Q609" s="847"/>
      <c r="R609" s="1947"/>
      <c r="T609" s="2122"/>
      <c r="U609" s="2122"/>
      <c r="V609" s="1948"/>
      <c r="W609" s="1948"/>
      <c r="X609" s="1948"/>
      <c r="Y609" s="2511"/>
      <c r="Z609" s="1948"/>
      <c r="AA609" s="1948"/>
      <c r="AZ609" s="2550"/>
      <c r="BE609" s="2122"/>
      <c r="BF609" s="21"/>
      <c r="BG609" s="21"/>
      <c r="BH609" s="1949"/>
      <c r="BI609" s="1949"/>
      <c r="BJ609" s="515"/>
    </row>
    <row r="610" spans="14:62" s="20" customFormat="1" ht="14.25">
      <c r="N610" s="2144"/>
      <c r="Q610" s="847"/>
      <c r="R610" s="1947"/>
      <c r="T610" s="2122"/>
      <c r="U610" s="2122"/>
      <c r="V610" s="1948"/>
      <c r="W610" s="1948"/>
      <c r="X610" s="1948"/>
      <c r="Y610" s="2511"/>
      <c r="Z610" s="1948"/>
      <c r="AA610" s="1948"/>
      <c r="AZ610" s="2550"/>
      <c r="BE610" s="2122"/>
      <c r="BF610" s="21"/>
      <c r="BG610" s="21"/>
      <c r="BH610" s="1949"/>
      <c r="BI610" s="1949"/>
      <c r="BJ610" s="515"/>
    </row>
    <row r="611" spans="14:62" s="20" customFormat="1" ht="14.25">
      <c r="N611" s="2144"/>
      <c r="Q611" s="847"/>
      <c r="R611" s="1947"/>
      <c r="T611" s="2122"/>
      <c r="U611" s="2122"/>
      <c r="V611" s="1948"/>
      <c r="W611" s="1948"/>
      <c r="X611" s="1948"/>
      <c r="Y611" s="2511"/>
      <c r="Z611" s="1948"/>
      <c r="AA611" s="1948"/>
      <c r="AZ611" s="2550"/>
      <c r="BE611" s="2122"/>
      <c r="BF611" s="21"/>
      <c r="BG611" s="21"/>
      <c r="BH611" s="1949"/>
      <c r="BI611" s="1949"/>
      <c r="BJ611" s="515"/>
    </row>
    <row r="612" spans="14:62" s="20" customFormat="1" ht="14.25">
      <c r="N612" s="2144"/>
      <c r="Q612" s="847"/>
      <c r="R612" s="1947"/>
      <c r="T612" s="2122"/>
      <c r="U612" s="2122"/>
      <c r="V612" s="1948"/>
      <c r="W612" s="1948"/>
      <c r="X612" s="1948"/>
      <c r="Y612" s="2511"/>
      <c r="Z612" s="1948"/>
      <c r="AA612" s="1948"/>
      <c r="AZ612" s="2550"/>
      <c r="BE612" s="2122"/>
      <c r="BF612" s="21"/>
      <c r="BG612" s="21"/>
      <c r="BH612" s="1949"/>
      <c r="BI612" s="1949"/>
      <c r="BJ612" s="515"/>
    </row>
    <row r="613" spans="14:62" s="20" customFormat="1" ht="14.25">
      <c r="N613" s="2144"/>
      <c r="Q613" s="847"/>
      <c r="R613" s="1947"/>
      <c r="T613" s="2122"/>
      <c r="U613" s="2122"/>
      <c r="V613" s="1948"/>
      <c r="W613" s="1948"/>
      <c r="X613" s="1948"/>
      <c r="Y613" s="2511"/>
      <c r="Z613" s="1948"/>
      <c r="AA613" s="1948"/>
      <c r="AZ613" s="2550"/>
      <c r="BE613" s="2122"/>
      <c r="BF613" s="21"/>
      <c r="BG613" s="21"/>
      <c r="BH613" s="1949"/>
      <c r="BI613" s="1949"/>
      <c r="BJ613" s="515"/>
    </row>
    <row r="614" spans="14:62" s="20" customFormat="1" ht="14.25">
      <c r="N614" s="2144"/>
      <c r="Q614" s="847"/>
      <c r="R614" s="1947"/>
      <c r="T614" s="2122"/>
      <c r="U614" s="2122"/>
      <c r="V614" s="1948"/>
      <c r="W614" s="1948"/>
      <c r="X614" s="1948"/>
      <c r="Y614" s="2511"/>
      <c r="Z614" s="1948"/>
      <c r="AA614" s="1948"/>
      <c r="AZ614" s="2550"/>
      <c r="BE614" s="2122"/>
      <c r="BF614" s="21"/>
      <c r="BG614" s="21"/>
      <c r="BH614" s="1949"/>
      <c r="BI614" s="1949"/>
      <c r="BJ614" s="515"/>
    </row>
    <row r="615" spans="14:62" s="20" customFormat="1" ht="14.25">
      <c r="N615" s="2144"/>
      <c r="Q615" s="847"/>
      <c r="R615" s="1947"/>
      <c r="T615" s="2122"/>
      <c r="U615" s="2122"/>
      <c r="V615" s="1948"/>
      <c r="W615" s="1948"/>
      <c r="X615" s="1948"/>
      <c r="Y615" s="2511"/>
      <c r="Z615" s="1948"/>
      <c r="AA615" s="1948"/>
      <c r="AZ615" s="2550"/>
      <c r="BE615" s="2122"/>
      <c r="BF615" s="21"/>
      <c r="BG615" s="21"/>
      <c r="BH615" s="1949"/>
      <c r="BI615" s="1949"/>
      <c r="BJ615" s="515"/>
    </row>
    <row r="616" spans="14:62" s="20" customFormat="1" ht="14.25">
      <c r="N616" s="2144"/>
      <c r="Q616" s="847"/>
      <c r="R616" s="1947"/>
      <c r="T616" s="2122"/>
      <c r="U616" s="2122"/>
      <c r="V616" s="1948"/>
      <c r="W616" s="1948"/>
      <c r="X616" s="1948"/>
      <c r="Y616" s="2511"/>
      <c r="Z616" s="1948"/>
      <c r="AA616" s="1948"/>
      <c r="AZ616" s="2550"/>
      <c r="BE616" s="2122"/>
      <c r="BF616" s="21"/>
      <c r="BG616" s="21"/>
      <c r="BH616" s="1949"/>
      <c r="BI616" s="1949"/>
      <c r="BJ616" s="515"/>
    </row>
    <row r="617" spans="14:62" s="20" customFormat="1" ht="14.25">
      <c r="N617" s="2144"/>
      <c r="Q617" s="847"/>
      <c r="R617" s="1947"/>
      <c r="T617" s="2122"/>
      <c r="U617" s="2122"/>
      <c r="V617" s="1948"/>
      <c r="W617" s="1948"/>
      <c r="X617" s="1948"/>
      <c r="Y617" s="2511"/>
      <c r="Z617" s="1948"/>
      <c r="AA617" s="1948"/>
      <c r="AZ617" s="2550"/>
      <c r="BE617" s="2122"/>
      <c r="BF617" s="21"/>
      <c r="BG617" s="21"/>
      <c r="BH617" s="1949"/>
      <c r="BI617" s="1949"/>
      <c r="BJ617" s="515"/>
    </row>
    <row r="618" spans="14:62" s="20" customFormat="1" ht="14.25">
      <c r="N618" s="2144"/>
      <c r="Q618" s="847"/>
      <c r="R618" s="1947"/>
      <c r="T618" s="2122"/>
      <c r="U618" s="2122"/>
      <c r="V618" s="1948"/>
      <c r="W618" s="1948"/>
      <c r="X618" s="1948"/>
      <c r="Y618" s="2511"/>
      <c r="Z618" s="1948"/>
      <c r="AA618" s="1948"/>
      <c r="AZ618" s="2550"/>
      <c r="BE618" s="2122"/>
      <c r="BF618" s="21"/>
      <c r="BG618" s="21"/>
      <c r="BH618" s="1949"/>
      <c r="BI618" s="1949"/>
      <c r="BJ618" s="515"/>
    </row>
    <row r="619" spans="14:62" s="20" customFormat="1" ht="14.25">
      <c r="N619" s="2144"/>
      <c r="Q619" s="847"/>
      <c r="R619" s="1947"/>
      <c r="T619" s="2122"/>
      <c r="U619" s="2122"/>
      <c r="V619" s="1948"/>
      <c r="W619" s="1948"/>
      <c r="X619" s="1948"/>
      <c r="Y619" s="2511"/>
      <c r="Z619" s="1948"/>
      <c r="AA619" s="1948"/>
      <c r="AZ619" s="2550"/>
      <c r="BE619" s="2122"/>
      <c r="BF619" s="21"/>
      <c r="BG619" s="21"/>
      <c r="BH619" s="1949"/>
      <c r="BI619" s="1949"/>
      <c r="BJ619" s="515"/>
    </row>
    <row r="620" spans="14:62" s="20" customFormat="1" ht="14.25">
      <c r="N620" s="2144"/>
      <c r="Q620" s="847"/>
      <c r="R620" s="1947"/>
      <c r="T620" s="2122"/>
      <c r="U620" s="2122"/>
      <c r="V620" s="1948"/>
      <c r="W620" s="1948"/>
      <c r="X620" s="1948"/>
      <c r="Y620" s="2511"/>
      <c r="Z620" s="1948"/>
      <c r="AA620" s="1948"/>
      <c r="AZ620" s="2550"/>
      <c r="BE620" s="2122"/>
      <c r="BF620" s="21"/>
      <c r="BG620" s="21"/>
      <c r="BH620" s="1949"/>
      <c r="BI620" s="1949"/>
      <c r="BJ620" s="515"/>
    </row>
    <row r="621" spans="14:62" s="20" customFormat="1" ht="14.25">
      <c r="N621" s="2144"/>
      <c r="Q621" s="847"/>
      <c r="R621" s="1947"/>
      <c r="T621" s="2122"/>
      <c r="U621" s="2122"/>
      <c r="V621" s="1948"/>
      <c r="W621" s="1948"/>
      <c r="X621" s="1948"/>
      <c r="Y621" s="2511"/>
      <c r="Z621" s="1948"/>
      <c r="AA621" s="1948"/>
      <c r="AZ621" s="2550"/>
      <c r="BE621" s="2122"/>
      <c r="BF621" s="21"/>
      <c r="BG621" s="21"/>
      <c r="BH621" s="1949"/>
      <c r="BI621" s="1949"/>
      <c r="BJ621" s="515"/>
    </row>
    <row r="622" spans="14:62" s="20" customFormat="1" ht="14.25">
      <c r="N622" s="2144"/>
      <c r="Q622" s="847"/>
      <c r="R622" s="1947"/>
      <c r="T622" s="2122"/>
      <c r="U622" s="2122"/>
      <c r="V622" s="1948"/>
      <c r="W622" s="1948"/>
      <c r="X622" s="1948"/>
      <c r="Y622" s="2511"/>
      <c r="Z622" s="1948"/>
      <c r="AA622" s="1948"/>
      <c r="AZ622" s="2550"/>
      <c r="BE622" s="2122"/>
      <c r="BF622" s="21"/>
      <c r="BG622" s="21"/>
      <c r="BH622" s="1949"/>
      <c r="BI622" s="1949"/>
      <c r="BJ622" s="515"/>
    </row>
    <row r="623" spans="14:62" s="20" customFormat="1" ht="14.25">
      <c r="N623" s="2144"/>
      <c r="Q623" s="847"/>
      <c r="R623" s="1947"/>
      <c r="T623" s="2122"/>
      <c r="U623" s="2122"/>
      <c r="V623" s="1948"/>
      <c r="W623" s="1948"/>
      <c r="X623" s="1948"/>
      <c r="Y623" s="2511"/>
      <c r="Z623" s="1948"/>
      <c r="AA623" s="1948"/>
      <c r="AZ623" s="2550"/>
      <c r="BE623" s="2122"/>
      <c r="BF623" s="21"/>
      <c r="BG623" s="21"/>
      <c r="BH623" s="1949"/>
      <c r="BI623" s="1949"/>
      <c r="BJ623" s="515"/>
    </row>
    <row r="624" spans="14:62" s="20" customFormat="1" ht="14.25">
      <c r="N624" s="2144"/>
      <c r="Q624" s="847"/>
      <c r="R624" s="1947"/>
      <c r="T624" s="2122"/>
      <c r="U624" s="2122"/>
      <c r="V624" s="1948"/>
      <c r="W624" s="1948"/>
      <c r="X624" s="1948"/>
      <c r="Y624" s="2511"/>
      <c r="Z624" s="1948"/>
      <c r="AA624" s="1948"/>
      <c r="AZ624" s="2550"/>
      <c r="BE624" s="2122"/>
      <c r="BF624" s="21"/>
      <c r="BG624" s="21"/>
      <c r="BH624" s="1949"/>
      <c r="BI624" s="1949"/>
      <c r="BJ624" s="515"/>
    </row>
    <row r="625" spans="14:62" s="20" customFormat="1" ht="14.25">
      <c r="N625" s="2144"/>
      <c r="Q625" s="847"/>
      <c r="R625" s="1947"/>
      <c r="T625" s="2122"/>
      <c r="U625" s="2122"/>
      <c r="V625" s="1948"/>
      <c r="W625" s="1948"/>
      <c r="X625" s="1948"/>
      <c r="Y625" s="2511"/>
      <c r="Z625" s="1948"/>
      <c r="AA625" s="1948"/>
      <c r="AZ625" s="2550"/>
      <c r="BE625" s="2122"/>
      <c r="BF625" s="21"/>
      <c r="BG625" s="21"/>
      <c r="BH625" s="1949"/>
      <c r="BI625" s="1949"/>
      <c r="BJ625" s="515"/>
    </row>
    <row r="626" spans="14:62" s="20" customFormat="1" ht="14.25">
      <c r="N626" s="2144"/>
      <c r="Q626" s="847"/>
      <c r="R626" s="1947"/>
      <c r="T626" s="2122"/>
      <c r="U626" s="2122"/>
      <c r="V626" s="1948"/>
      <c r="W626" s="1948"/>
      <c r="X626" s="1948"/>
      <c r="Y626" s="2511"/>
      <c r="Z626" s="1948"/>
      <c r="AA626" s="1948"/>
      <c r="AZ626" s="2550"/>
      <c r="BE626" s="2122"/>
      <c r="BF626" s="21"/>
      <c r="BG626" s="21"/>
      <c r="BH626" s="1949"/>
      <c r="BI626" s="1949"/>
      <c r="BJ626" s="515"/>
    </row>
    <row r="627" spans="14:62" s="20" customFormat="1" ht="14.25">
      <c r="N627" s="2144"/>
      <c r="Q627" s="847"/>
      <c r="R627" s="1947"/>
      <c r="T627" s="2122"/>
      <c r="U627" s="2122"/>
      <c r="V627" s="1948"/>
      <c r="W627" s="1948"/>
      <c r="X627" s="1948"/>
      <c r="Y627" s="2511"/>
      <c r="Z627" s="1948"/>
      <c r="AA627" s="1948"/>
      <c r="AZ627" s="2550"/>
      <c r="BE627" s="2122"/>
      <c r="BF627" s="21"/>
      <c r="BG627" s="21"/>
      <c r="BH627" s="1949"/>
      <c r="BI627" s="1949"/>
      <c r="BJ627" s="515"/>
    </row>
    <row r="628" spans="14:62" s="20" customFormat="1" ht="14.25">
      <c r="N628" s="2144"/>
      <c r="Q628" s="847"/>
      <c r="R628" s="1947"/>
      <c r="T628" s="2122"/>
      <c r="U628" s="2122"/>
      <c r="V628" s="1948"/>
      <c r="W628" s="1948"/>
      <c r="X628" s="1948"/>
      <c r="Y628" s="2511"/>
      <c r="Z628" s="1948"/>
      <c r="AA628" s="1948"/>
      <c r="AZ628" s="2550"/>
      <c r="BE628" s="2122"/>
      <c r="BF628" s="21"/>
      <c r="BG628" s="21"/>
      <c r="BH628" s="1949"/>
      <c r="BI628" s="1949"/>
      <c r="BJ628" s="515"/>
    </row>
    <row r="629" spans="14:62" s="20" customFormat="1" ht="14.25">
      <c r="N629" s="2144"/>
      <c r="Q629" s="847"/>
      <c r="R629" s="1947"/>
      <c r="T629" s="2122"/>
      <c r="U629" s="2122"/>
      <c r="V629" s="1948"/>
      <c r="W629" s="1948"/>
      <c r="X629" s="1948"/>
      <c r="Y629" s="2511"/>
      <c r="Z629" s="1948"/>
      <c r="AA629" s="1948"/>
      <c r="AZ629" s="2550"/>
      <c r="BE629" s="2122"/>
      <c r="BF629" s="21"/>
      <c r="BG629" s="21"/>
      <c r="BH629" s="1949"/>
      <c r="BI629" s="1949"/>
      <c r="BJ629" s="515"/>
    </row>
    <row r="630" spans="14:62" s="20" customFormat="1" ht="14.25">
      <c r="N630" s="2144"/>
      <c r="Q630" s="847"/>
      <c r="R630" s="1947"/>
      <c r="T630" s="2122"/>
      <c r="U630" s="2122"/>
      <c r="V630" s="1948"/>
      <c r="W630" s="1948"/>
      <c r="X630" s="1948"/>
      <c r="Y630" s="2511"/>
      <c r="Z630" s="1948"/>
      <c r="AA630" s="1948"/>
      <c r="AZ630" s="2550"/>
      <c r="BE630" s="2122"/>
      <c r="BF630" s="21"/>
      <c r="BG630" s="21"/>
      <c r="BH630" s="1949"/>
      <c r="BI630" s="1949"/>
      <c r="BJ630" s="515"/>
    </row>
    <row r="631" spans="14:62" s="20" customFormat="1" ht="14.25">
      <c r="N631" s="2144"/>
      <c r="Q631" s="847"/>
      <c r="R631" s="1947"/>
      <c r="T631" s="2122"/>
      <c r="U631" s="2122"/>
      <c r="V631" s="1948"/>
      <c r="W631" s="1948"/>
      <c r="X631" s="1948"/>
      <c r="Y631" s="2511"/>
      <c r="Z631" s="1948"/>
      <c r="AA631" s="1948"/>
      <c r="AZ631" s="2550"/>
      <c r="BE631" s="2122"/>
      <c r="BF631" s="21"/>
      <c r="BG631" s="21"/>
      <c r="BH631" s="1949"/>
      <c r="BI631" s="1949"/>
      <c r="BJ631" s="515"/>
    </row>
    <row r="632" spans="14:62" s="20" customFormat="1" ht="14.25">
      <c r="N632" s="2144"/>
      <c r="Q632" s="847"/>
      <c r="R632" s="1947"/>
      <c r="T632" s="2122"/>
      <c r="U632" s="2122"/>
      <c r="V632" s="1948"/>
      <c r="W632" s="1948"/>
      <c r="X632" s="1948"/>
      <c r="Y632" s="2511"/>
      <c r="Z632" s="1948"/>
      <c r="AA632" s="1948"/>
      <c r="AZ632" s="2550"/>
      <c r="BE632" s="2122"/>
      <c r="BF632" s="21"/>
      <c r="BG632" s="21"/>
      <c r="BH632" s="1949"/>
      <c r="BI632" s="1949"/>
      <c r="BJ632" s="515"/>
    </row>
    <row r="633" spans="14:62" s="20" customFormat="1" ht="14.25">
      <c r="N633" s="2144"/>
      <c r="Q633" s="847"/>
      <c r="R633" s="1947"/>
      <c r="T633" s="2122"/>
      <c r="U633" s="2122"/>
      <c r="V633" s="1948"/>
      <c r="W633" s="1948"/>
      <c r="X633" s="1948"/>
      <c r="Y633" s="2511"/>
      <c r="Z633" s="1948"/>
      <c r="AA633" s="1948"/>
      <c r="AZ633" s="2550"/>
      <c r="BE633" s="2122"/>
      <c r="BF633" s="21"/>
      <c r="BG633" s="21"/>
      <c r="BH633" s="1949"/>
      <c r="BI633" s="1949"/>
      <c r="BJ633" s="515"/>
    </row>
    <row r="634" spans="14:62" s="20" customFormat="1" ht="14.25">
      <c r="N634" s="2144"/>
      <c r="Q634" s="847"/>
      <c r="R634" s="1947"/>
      <c r="T634" s="2122"/>
      <c r="U634" s="2122"/>
      <c r="V634" s="1948"/>
      <c r="W634" s="1948"/>
      <c r="X634" s="1948"/>
      <c r="Y634" s="2511"/>
      <c r="Z634" s="1948"/>
      <c r="AA634" s="1948"/>
      <c r="AZ634" s="2550"/>
      <c r="BE634" s="2122"/>
      <c r="BF634" s="21"/>
      <c r="BG634" s="21"/>
      <c r="BH634" s="1949"/>
      <c r="BI634" s="1949"/>
      <c r="BJ634" s="515"/>
    </row>
    <row r="635" spans="14:62" s="20" customFormat="1" ht="14.25">
      <c r="N635" s="2144"/>
      <c r="Q635" s="847"/>
      <c r="R635" s="1947"/>
      <c r="T635" s="2122"/>
      <c r="U635" s="2122"/>
      <c r="V635" s="1948"/>
      <c r="W635" s="1948"/>
      <c r="X635" s="1948"/>
      <c r="Y635" s="2511"/>
      <c r="Z635" s="1948"/>
      <c r="AA635" s="1948"/>
      <c r="AZ635" s="2550"/>
      <c r="BE635" s="2122"/>
      <c r="BF635" s="21"/>
      <c r="BG635" s="21"/>
      <c r="BH635" s="1949"/>
      <c r="BI635" s="1949"/>
      <c r="BJ635" s="515"/>
    </row>
    <row r="636" spans="14:62" s="20" customFormat="1" ht="14.25">
      <c r="N636" s="2144"/>
      <c r="Q636" s="847"/>
      <c r="R636" s="1947"/>
      <c r="T636" s="2122"/>
      <c r="U636" s="2122"/>
      <c r="V636" s="1948"/>
      <c r="W636" s="1948"/>
      <c r="X636" s="1948"/>
      <c r="Y636" s="2511"/>
      <c r="Z636" s="1948"/>
      <c r="AA636" s="1948"/>
      <c r="AZ636" s="2550"/>
      <c r="BE636" s="2122"/>
      <c r="BF636" s="21"/>
      <c r="BG636" s="21"/>
      <c r="BH636" s="1949"/>
      <c r="BI636" s="1949"/>
      <c r="BJ636" s="515"/>
    </row>
    <row r="637" spans="14:62" s="20" customFormat="1" ht="14.25">
      <c r="N637" s="2144"/>
      <c r="Q637" s="847"/>
      <c r="R637" s="1947"/>
      <c r="T637" s="2122"/>
      <c r="U637" s="2122"/>
      <c r="V637" s="1948"/>
      <c r="W637" s="1948"/>
      <c r="X637" s="1948"/>
      <c r="Y637" s="2511"/>
      <c r="Z637" s="1948"/>
      <c r="AA637" s="1948"/>
      <c r="AZ637" s="2550"/>
      <c r="BE637" s="2122"/>
      <c r="BF637" s="21"/>
      <c r="BG637" s="21"/>
      <c r="BH637" s="1949"/>
      <c r="BI637" s="1949"/>
      <c r="BJ637" s="515"/>
    </row>
    <row r="638" spans="14:62" s="20" customFormat="1" ht="14.25">
      <c r="N638" s="2144"/>
      <c r="Q638" s="847"/>
      <c r="R638" s="1947"/>
      <c r="T638" s="2122"/>
      <c r="U638" s="2122"/>
      <c r="V638" s="1948"/>
      <c r="W638" s="1948"/>
      <c r="X638" s="1948"/>
      <c r="Y638" s="2511"/>
      <c r="Z638" s="1948"/>
      <c r="AA638" s="1948"/>
      <c r="AZ638" s="2550"/>
      <c r="BE638" s="2122"/>
      <c r="BF638" s="21"/>
      <c r="BG638" s="21"/>
      <c r="BH638" s="1949"/>
      <c r="BI638" s="1949"/>
      <c r="BJ638" s="515"/>
    </row>
    <row r="639" spans="14:62" s="20" customFormat="1" ht="14.25">
      <c r="N639" s="2144"/>
      <c r="Q639" s="847"/>
      <c r="R639" s="1947"/>
      <c r="T639" s="2122"/>
      <c r="U639" s="2122"/>
      <c r="V639" s="1948"/>
      <c r="W639" s="1948"/>
      <c r="X639" s="1948"/>
      <c r="Y639" s="2511"/>
      <c r="Z639" s="1948"/>
      <c r="AA639" s="1948"/>
      <c r="AZ639" s="2550"/>
      <c r="BE639" s="2122"/>
      <c r="BF639" s="21"/>
      <c r="BG639" s="21"/>
      <c r="BH639" s="1949"/>
      <c r="BI639" s="1949"/>
      <c r="BJ639" s="515"/>
    </row>
    <row r="640" spans="14:62" s="20" customFormat="1" ht="14.25">
      <c r="N640" s="2144"/>
      <c r="Q640" s="847"/>
      <c r="R640" s="1947"/>
      <c r="T640" s="2122"/>
      <c r="U640" s="2122"/>
      <c r="V640" s="1948"/>
      <c r="W640" s="1948"/>
      <c r="X640" s="1948"/>
      <c r="Y640" s="2511"/>
      <c r="Z640" s="1948"/>
      <c r="AA640" s="1948"/>
      <c r="AZ640" s="2550"/>
      <c r="BE640" s="2122"/>
      <c r="BF640" s="21"/>
      <c r="BG640" s="21"/>
      <c r="BH640" s="1949"/>
      <c r="BI640" s="1949"/>
      <c r="BJ640" s="515"/>
    </row>
    <row r="641" spans="14:62" s="20" customFormat="1" ht="14.25">
      <c r="N641" s="2144"/>
      <c r="Q641" s="847"/>
      <c r="R641" s="1947"/>
      <c r="T641" s="2122"/>
      <c r="U641" s="2122"/>
      <c r="V641" s="1948"/>
      <c r="W641" s="1948"/>
      <c r="X641" s="1948"/>
      <c r="Y641" s="2511"/>
      <c r="Z641" s="1948"/>
      <c r="AA641" s="1948"/>
      <c r="AZ641" s="2550"/>
      <c r="BE641" s="2122"/>
      <c r="BF641" s="21"/>
      <c r="BG641" s="21"/>
      <c r="BH641" s="1949"/>
      <c r="BI641" s="1949"/>
      <c r="BJ641" s="515"/>
    </row>
    <row r="642" spans="14:62" s="20" customFormat="1" ht="14.25">
      <c r="N642" s="2144"/>
      <c r="Q642" s="847"/>
      <c r="R642" s="1947"/>
      <c r="T642" s="2122"/>
      <c r="U642" s="2122"/>
      <c r="V642" s="1948"/>
      <c r="W642" s="1948"/>
      <c r="X642" s="1948"/>
      <c r="Y642" s="2511"/>
      <c r="Z642" s="1948"/>
      <c r="AA642" s="1948"/>
      <c r="AZ642" s="2550"/>
      <c r="BE642" s="2122"/>
      <c r="BF642" s="21"/>
      <c r="BG642" s="21"/>
      <c r="BH642" s="1949"/>
      <c r="BI642" s="1949"/>
      <c r="BJ642" s="515"/>
    </row>
    <row r="643" spans="14:62" s="20" customFormat="1" ht="14.25">
      <c r="N643" s="2144"/>
      <c r="Q643" s="847"/>
      <c r="R643" s="1947"/>
      <c r="T643" s="2122"/>
      <c r="U643" s="2122"/>
      <c r="V643" s="1948"/>
      <c r="W643" s="1948"/>
      <c r="X643" s="1948"/>
      <c r="Y643" s="2511"/>
      <c r="Z643" s="1948"/>
      <c r="AA643" s="1948"/>
      <c r="AZ643" s="2550"/>
      <c r="BE643" s="2122"/>
      <c r="BF643" s="21"/>
      <c r="BG643" s="21"/>
      <c r="BH643" s="1949"/>
      <c r="BI643" s="1949"/>
      <c r="BJ643" s="515"/>
    </row>
    <row r="644" spans="14:62" s="20" customFormat="1" ht="14.25">
      <c r="N644" s="2144"/>
      <c r="Q644" s="847"/>
      <c r="R644" s="1947"/>
      <c r="T644" s="2122"/>
      <c r="U644" s="2122"/>
      <c r="V644" s="1948"/>
      <c r="W644" s="1948"/>
      <c r="X644" s="1948"/>
      <c r="Y644" s="2511"/>
      <c r="Z644" s="1948"/>
      <c r="AA644" s="1948"/>
      <c r="AZ644" s="2550"/>
      <c r="BE644" s="2122"/>
      <c r="BF644" s="21"/>
      <c r="BG644" s="21"/>
      <c r="BH644" s="1949"/>
      <c r="BI644" s="1949"/>
      <c r="BJ644" s="515"/>
    </row>
    <row r="645" spans="14:62" s="20" customFormat="1" ht="14.25">
      <c r="N645" s="2144"/>
      <c r="Q645" s="847"/>
      <c r="R645" s="1947"/>
      <c r="T645" s="2122"/>
      <c r="U645" s="2122"/>
      <c r="V645" s="1948"/>
      <c r="W645" s="1948"/>
      <c r="X645" s="1948"/>
      <c r="Y645" s="2511"/>
      <c r="Z645" s="1948"/>
      <c r="AA645" s="1948"/>
      <c r="AZ645" s="2550"/>
      <c r="BE645" s="2122"/>
      <c r="BF645" s="21"/>
      <c r="BG645" s="21"/>
      <c r="BH645" s="1949"/>
      <c r="BI645" s="1949"/>
      <c r="BJ645" s="515"/>
    </row>
    <row r="646" spans="14:62" s="20" customFormat="1" ht="14.25">
      <c r="N646" s="2144"/>
      <c r="Q646" s="847"/>
      <c r="R646" s="1947"/>
      <c r="T646" s="2122"/>
      <c r="U646" s="2122"/>
      <c r="V646" s="1948"/>
      <c r="W646" s="1948"/>
      <c r="X646" s="1948"/>
      <c r="Y646" s="2511"/>
      <c r="Z646" s="1948"/>
      <c r="AA646" s="1948"/>
      <c r="AZ646" s="2550"/>
      <c r="BE646" s="2122"/>
      <c r="BF646" s="21"/>
      <c r="BG646" s="21"/>
      <c r="BH646" s="1949"/>
      <c r="BI646" s="1949"/>
      <c r="BJ646" s="515"/>
    </row>
    <row r="647" spans="14:62" s="20" customFormat="1" ht="14.25">
      <c r="N647" s="2144"/>
      <c r="Q647" s="847"/>
      <c r="R647" s="1947"/>
      <c r="T647" s="2122"/>
      <c r="U647" s="2122"/>
      <c r="V647" s="1948"/>
      <c r="W647" s="1948"/>
      <c r="X647" s="1948"/>
      <c r="Y647" s="2511"/>
      <c r="Z647" s="1948"/>
      <c r="AA647" s="1948"/>
      <c r="AZ647" s="2550"/>
      <c r="BE647" s="2122"/>
      <c r="BF647" s="21"/>
      <c r="BG647" s="21"/>
      <c r="BH647" s="1949"/>
      <c r="BI647" s="1949"/>
      <c r="BJ647" s="515"/>
    </row>
    <row r="648" spans="14:62" s="20" customFormat="1" ht="14.25">
      <c r="N648" s="2144"/>
      <c r="Q648" s="847"/>
      <c r="R648" s="1947"/>
      <c r="T648" s="2122"/>
      <c r="U648" s="2122"/>
      <c r="V648" s="1948"/>
      <c r="W648" s="1948"/>
      <c r="X648" s="1948"/>
      <c r="Y648" s="2511"/>
      <c r="Z648" s="1948"/>
      <c r="AA648" s="1948"/>
      <c r="AZ648" s="2550"/>
      <c r="BE648" s="2122"/>
      <c r="BF648" s="21"/>
      <c r="BG648" s="21"/>
      <c r="BH648" s="1949"/>
      <c r="BI648" s="1949"/>
      <c r="BJ648" s="515"/>
    </row>
    <row r="649" spans="14:62" s="20" customFormat="1" ht="14.25">
      <c r="N649" s="2144"/>
      <c r="Q649" s="847"/>
      <c r="R649" s="1947"/>
      <c r="T649" s="2122"/>
      <c r="U649" s="2122"/>
      <c r="V649" s="1948"/>
      <c r="W649" s="1948"/>
      <c r="X649" s="1948"/>
      <c r="Y649" s="2511"/>
      <c r="Z649" s="1948"/>
      <c r="AA649" s="1948"/>
      <c r="AZ649" s="2550"/>
      <c r="BE649" s="2122"/>
      <c r="BF649" s="21"/>
      <c r="BG649" s="21"/>
      <c r="BH649" s="1949"/>
      <c r="BI649" s="1949"/>
      <c r="BJ649" s="515"/>
    </row>
    <row r="650" spans="14:62" s="20" customFormat="1" ht="14.25">
      <c r="N650" s="2144"/>
      <c r="Q650" s="847"/>
      <c r="R650" s="1947"/>
      <c r="T650" s="2122"/>
      <c r="U650" s="2122"/>
      <c r="V650" s="1948"/>
      <c r="W650" s="1948"/>
      <c r="X650" s="1948"/>
      <c r="Y650" s="2511"/>
      <c r="Z650" s="1948"/>
      <c r="AA650" s="1948"/>
      <c r="AZ650" s="2550"/>
      <c r="BE650" s="2122"/>
      <c r="BF650" s="21"/>
      <c r="BG650" s="21"/>
      <c r="BH650" s="1949"/>
      <c r="BI650" s="1949"/>
      <c r="BJ650" s="515"/>
    </row>
    <row r="651" spans="14:62" s="20" customFormat="1" ht="14.25">
      <c r="N651" s="2144"/>
      <c r="Q651" s="847"/>
      <c r="R651" s="1947"/>
      <c r="T651" s="2122"/>
      <c r="U651" s="2122"/>
      <c r="V651" s="1948"/>
      <c r="W651" s="1948"/>
      <c r="X651" s="1948"/>
      <c r="Y651" s="2511"/>
      <c r="Z651" s="1948"/>
      <c r="AA651" s="1948"/>
      <c r="AZ651" s="2550"/>
      <c r="BE651" s="2122"/>
      <c r="BF651" s="21"/>
      <c r="BG651" s="21"/>
      <c r="BH651" s="1949"/>
      <c r="BI651" s="1949"/>
      <c r="BJ651" s="515"/>
    </row>
    <row r="652" spans="14:62" s="20" customFormat="1" ht="14.25">
      <c r="N652" s="2144"/>
      <c r="Q652" s="847"/>
      <c r="R652" s="1947"/>
      <c r="T652" s="2122"/>
      <c r="U652" s="2122"/>
      <c r="V652" s="1948"/>
      <c r="W652" s="1948"/>
      <c r="X652" s="1948"/>
      <c r="Y652" s="2511"/>
      <c r="Z652" s="1948"/>
      <c r="AA652" s="1948"/>
      <c r="AZ652" s="2550"/>
      <c r="BE652" s="2122"/>
      <c r="BF652" s="21"/>
      <c r="BG652" s="21"/>
      <c r="BH652" s="1949"/>
      <c r="BI652" s="1949"/>
      <c r="BJ652" s="515"/>
    </row>
    <row r="653" spans="14:62" s="20" customFormat="1" ht="14.25">
      <c r="N653" s="2144"/>
      <c r="Q653" s="847"/>
      <c r="R653" s="1947"/>
      <c r="T653" s="2122"/>
      <c r="U653" s="2122"/>
      <c r="V653" s="1948"/>
      <c r="W653" s="1948"/>
      <c r="X653" s="1948"/>
      <c r="Y653" s="2511"/>
      <c r="Z653" s="1948"/>
      <c r="AA653" s="1948"/>
      <c r="AZ653" s="2550"/>
      <c r="BE653" s="2122"/>
      <c r="BF653" s="21"/>
      <c r="BG653" s="21"/>
      <c r="BH653" s="1949"/>
      <c r="BI653" s="1949"/>
      <c r="BJ653" s="515"/>
    </row>
    <row r="654" spans="14:62" s="20" customFormat="1" ht="14.25">
      <c r="N654" s="2144"/>
      <c r="Q654" s="847"/>
      <c r="R654" s="1947"/>
      <c r="T654" s="2122"/>
      <c r="U654" s="2122"/>
      <c r="V654" s="1948"/>
      <c r="W654" s="1948"/>
      <c r="X654" s="1948"/>
      <c r="Y654" s="2511"/>
      <c r="Z654" s="1948"/>
      <c r="AA654" s="1948"/>
      <c r="AZ654" s="2550"/>
      <c r="BE654" s="2122"/>
      <c r="BF654" s="21"/>
      <c r="BG654" s="21"/>
      <c r="BH654" s="1949"/>
      <c r="BI654" s="1949"/>
      <c r="BJ654" s="515"/>
    </row>
    <row r="655" spans="14:62" s="20" customFormat="1" ht="14.25">
      <c r="N655" s="2144"/>
      <c r="Q655" s="847"/>
      <c r="R655" s="1947"/>
      <c r="T655" s="2122"/>
      <c r="U655" s="2122"/>
      <c r="V655" s="1948"/>
      <c r="W655" s="1948"/>
      <c r="X655" s="1948"/>
      <c r="Y655" s="2511"/>
      <c r="Z655" s="1948"/>
      <c r="AA655" s="1948"/>
      <c r="AZ655" s="2550"/>
      <c r="BE655" s="2122"/>
      <c r="BF655" s="21"/>
      <c r="BG655" s="21"/>
      <c r="BH655" s="1949"/>
      <c r="BI655" s="1949"/>
      <c r="BJ655" s="515"/>
    </row>
    <row r="656" spans="14:62" s="20" customFormat="1" ht="14.25">
      <c r="N656" s="2144"/>
      <c r="Q656" s="847"/>
      <c r="R656" s="1947"/>
      <c r="T656" s="2122"/>
      <c r="U656" s="2122"/>
      <c r="V656" s="1948"/>
      <c r="W656" s="1948"/>
      <c r="X656" s="1948"/>
      <c r="Y656" s="2511"/>
      <c r="Z656" s="1948"/>
      <c r="AA656" s="1948"/>
      <c r="AZ656" s="2550"/>
      <c r="BE656" s="2122"/>
      <c r="BF656" s="21"/>
      <c r="BG656" s="21"/>
      <c r="BH656" s="1949"/>
      <c r="BI656" s="1949"/>
      <c r="BJ656" s="515"/>
    </row>
    <row r="657" spans="14:62" s="20" customFormat="1" ht="14.25">
      <c r="N657" s="2144"/>
      <c r="Q657" s="847"/>
      <c r="R657" s="1947"/>
      <c r="T657" s="2122"/>
      <c r="U657" s="2122"/>
      <c r="V657" s="1948"/>
      <c r="W657" s="1948"/>
      <c r="X657" s="1948"/>
      <c r="Y657" s="2511"/>
      <c r="Z657" s="1948"/>
      <c r="AA657" s="1948"/>
      <c r="AZ657" s="2550"/>
      <c r="BE657" s="2122"/>
      <c r="BF657" s="21"/>
      <c r="BG657" s="21"/>
      <c r="BH657" s="1949"/>
      <c r="BI657" s="1949"/>
      <c r="BJ657" s="515"/>
    </row>
    <row r="658" spans="14:62" s="20" customFormat="1" ht="14.25">
      <c r="N658" s="2144"/>
      <c r="Q658" s="847"/>
      <c r="R658" s="1947"/>
      <c r="T658" s="2122"/>
      <c r="U658" s="2122"/>
      <c r="V658" s="1948"/>
      <c r="W658" s="1948"/>
      <c r="X658" s="1948"/>
      <c r="Y658" s="2511"/>
      <c r="Z658" s="1948"/>
      <c r="AA658" s="1948"/>
      <c r="AZ658" s="2550"/>
      <c r="BE658" s="2122"/>
      <c r="BF658" s="21"/>
      <c r="BG658" s="21"/>
      <c r="BH658" s="1949"/>
      <c r="BI658" s="1949"/>
      <c r="BJ658" s="515"/>
    </row>
    <row r="659" spans="14:62" s="20" customFormat="1" ht="14.25">
      <c r="N659" s="2144"/>
      <c r="Q659" s="847"/>
      <c r="R659" s="1947"/>
      <c r="T659" s="2122"/>
      <c r="U659" s="2122"/>
      <c r="V659" s="1948"/>
      <c r="W659" s="1948"/>
      <c r="X659" s="1948"/>
      <c r="Y659" s="2511"/>
      <c r="Z659" s="1948"/>
      <c r="AA659" s="1948"/>
      <c r="AZ659" s="2550"/>
      <c r="BE659" s="2122"/>
      <c r="BF659" s="21"/>
      <c r="BG659" s="21"/>
      <c r="BH659" s="1949"/>
      <c r="BI659" s="1949"/>
      <c r="BJ659" s="515"/>
    </row>
    <row r="660" spans="14:62" s="20" customFormat="1" ht="14.25">
      <c r="N660" s="2144"/>
      <c r="Q660" s="847"/>
      <c r="R660" s="1947"/>
      <c r="T660" s="2122"/>
      <c r="U660" s="2122"/>
      <c r="V660" s="1948"/>
      <c r="W660" s="1948"/>
      <c r="X660" s="1948"/>
      <c r="Y660" s="2511"/>
      <c r="Z660" s="1948"/>
      <c r="AA660" s="1948"/>
      <c r="AZ660" s="2550"/>
      <c r="BE660" s="2122"/>
      <c r="BF660" s="21"/>
      <c r="BG660" s="21"/>
      <c r="BH660" s="1949"/>
      <c r="BI660" s="1949"/>
      <c r="BJ660" s="515"/>
    </row>
    <row r="661" spans="14:62" s="20" customFormat="1" ht="14.25">
      <c r="N661" s="2144"/>
      <c r="Q661" s="847"/>
      <c r="R661" s="1947"/>
      <c r="T661" s="2122"/>
      <c r="U661" s="2122"/>
      <c r="V661" s="1948"/>
      <c r="W661" s="1948"/>
      <c r="X661" s="1948"/>
      <c r="Y661" s="2511"/>
      <c r="Z661" s="1948"/>
      <c r="AA661" s="1948"/>
      <c r="AZ661" s="2550"/>
      <c r="BE661" s="2122"/>
      <c r="BF661" s="21"/>
      <c r="BG661" s="21"/>
      <c r="BH661" s="1949"/>
      <c r="BI661" s="1949"/>
      <c r="BJ661" s="515"/>
    </row>
    <row r="662" spans="14:62" s="20" customFormat="1" ht="14.25">
      <c r="N662" s="2144"/>
      <c r="Q662" s="847"/>
      <c r="R662" s="1947"/>
      <c r="T662" s="2122"/>
      <c r="U662" s="2122"/>
      <c r="V662" s="1948"/>
      <c r="W662" s="1948"/>
      <c r="X662" s="1948"/>
      <c r="Y662" s="2511"/>
      <c r="Z662" s="1948"/>
      <c r="AA662" s="1948"/>
      <c r="AZ662" s="2550"/>
      <c r="BE662" s="2122"/>
      <c r="BF662" s="21"/>
      <c r="BG662" s="21"/>
      <c r="BH662" s="1949"/>
      <c r="BI662" s="1949"/>
      <c r="BJ662" s="515"/>
    </row>
    <row r="663" spans="14:62" s="20" customFormat="1" ht="14.25">
      <c r="N663" s="2144"/>
      <c r="Q663" s="847"/>
      <c r="R663" s="1947"/>
      <c r="T663" s="2122"/>
      <c r="U663" s="2122"/>
      <c r="V663" s="1948"/>
      <c r="W663" s="1948"/>
      <c r="X663" s="1948"/>
      <c r="Y663" s="2511"/>
      <c r="Z663" s="1948"/>
      <c r="AA663" s="1948"/>
      <c r="AZ663" s="2550"/>
      <c r="BE663" s="2122"/>
      <c r="BF663" s="21"/>
      <c r="BG663" s="21"/>
      <c r="BH663" s="1949"/>
      <c r="BI663" s="1949"/>
      <c r="BJ663" s="515"/>
    </row>
    <row r="664" spans="14:62" s="20" customFormat="1" ht="14.25">
      <c r="N664" s="2144"/>
      <c r="Q664" s="847"/>
      <c r="R664" s="1947"/>
      <c r="T664" s="2122"/>
      <c r="U664" s="2122"/>
      <c r="V664" s="1948"/>
      <c r="W664" s="1948"/>
      <c r="X664" s="1948"/>
      <c r="Y664" s="2511"/>
      <c r="Z664" s="1948"/>
      <c r="AA664" s="1948"/>
      <c r="AZ664" s="2550"/>
      <c r="BE664" s="2122"/>
      <c r="BF664" s="21"/>
      <c r="BG664" s="21"/>
      <c r="BH664" s="1949"/>
      <c r="BI664" s="1949"/>
      <c r="BJ664" s="515"/>
    </row>
    <row r="665" spans="14:62" s="20" customFormat="1" ht="14.25">
      <c r="N665" s="2144"/>
      <c r="Q665" s="847"/>
      <c r="R665" s="1947"/>
      <c r="T665" s="2122"/>
      <c r="U665" s="2122"/>
      <c r="V665" s="1948"/>
      <c r="W665" s="1948"/>
      <c r="X665" s="1948"/>
      <c r="Y665" s="2511"/>
      <c r="Z665" s="1948"/>
      <c r="AA665" s="1948"/>
      <c r="AZ665" s="2550"/>
      <c r="BE665" s="2122"/>
      <c r="BF665" s="21"/>
      <c r="BG665" s="21"/>
      <c r="BH665" s="1949"/>
      <c r="BI665" s="1949"/>
      <c r="BJ665" s="515"/>
    </row>
    <row r="666" spans="14:62" s="20" customFormat="1" ht="14.25">
      <c r="N666" s="2144"/>
      <c r="Q666" s="847"/>
      <c r="R666" s="1947"/>
      <c r="T666" s="2122"/>
      <c r="U666" s="2122"/>
      <c r="V666" s="1948"/>
      <c r="W666" s="1948"/>
      <c r="X666" s="1948"/>
      <c r="Y666" s="2511"/>
      <c r="Z666" s="1948"/>
      <c r="AA666" s="1948"/>
      <c r="AZ666" s="2550"/>
      <c r="BE666" s="2122"/>
      <c r="BF666" s="21"/>
      <c r="BG666" s="21"/>
      <c r="BH666" s="1949"/>
      <c r="BI666" s="1949"/>
      <c r="BJ666" s="515"/>
    </row>
    <row r="667" spans="14:62" s="20" customFormat="1" ht="14.25">
      <c r="N667" s="2144"/>
      <c r="Q667" s="847"/>
      <c r="R667" s="1947"/>
      <c r="T667" s="2122"/>
      <c r="U667" s="2122"/>
      <c r="V667" s="1948"/>
      <c r="W667" s="1948"/>
      <c r="X667" s="1948"/>
      <c r="Y667" s="2511"/>
      <c r="Z667" s="1948"/>
      <c r="AA667" s="1948"/>
      <c r="AZ667" s="2550"/>
      <c r="BE667" s="2122"/>
      <c r="BF667" s="21"/>
      <c r="BG667" s="21"/>
      <c r="BH667" s="1949"/>
      <c r="BI667" s="1949"/>
      <c r="BJ667" s="515"/>
    </row>
    <row r="668" spans="14:62" s="20" customFormat="1" ht="14.25">
      <c r="N668" s="2144"/>
      <c r="Q668" s="847"/>
      <c r="R668" s="1947"/>
      <c r="T668" s="2122"/>
      <c r="U668" s="2122"/>
      <c r="V668" s="1948"/>
      <c r="W668" s="1948"/>
      <c r="X668" s="1948"/>
      <c r="Y668" s="2511"/>
      <c r="Z668" s="1948"/>
      <c r="AA668" s="1948"/>
      <c r="AZ668" s="2550"/>
      <c r="BE668" s="2122"/>
      <c r="BF668" s="21"/>
      <c r="BG668" s="21"/>
      <c r="BH668" s="1949"/>
      <c r="BI668" s="1949"/>
      <c r="BJ668" s="515"/>
    </row>
    <row r="669" spans="14:62" s="20" customFormat="1" ht="14.25">
      <c r="N669" s="2144"/>
      <c r="Q669" s="847"/>
      <c r="R669" s="1947"/>
      <c r="T669" s="2122"/>
      <c r="U669" s="2122"/>
      <c r="V669" s="1948"/>
      <c r="W669" s="1948"/>
      <c r="X669" s="1948"/>
      <c r="Y669" s="2511"/>
      <c r="Z669" s="1948"/>
      <c r="AA669" s="1948"/>
      <c r="AZ669" s="2550"/>
      <c r="BE669" s="2122"/>
      <c r="BF669" s="21"/>
      <c r="BG669" s="21"/>
      <c r="BH669" s="1949"/>
      <c r="BI669" s="1949"/>
      <c r="BJ669" s="515"/>
    </row>
    <row r="670" spans="14:62" s="20" customFormat="1" ht="14.25">
      <c r="N670" s="2144"/>
      <c r="Q670" s="847"/>
      <c r="R670" s="1947"/>
      <c r="T670" s="2122"/>
      <c r="U670" s="2122"/>
      <c r="V670" s="1948"/>
      <c r="W670" s="1948"/>
      <c r="X670" s="1948"/>
      <c r="Y670" s="2511"/>
      <c r="Z670" s="1948"/>
      <c r="AA670" s="1948"/>
      <c r="AZ670" s="2550"/>
      <c r="BE670" s="2122"/>
      <c r="BF670" s="21"/>
      <c r="BG670" s="21"/>
      <c r="BH670" s="1949"/>
      <c r="BI670" s="1949"/>
      <c r="BJ670" s="515"/>
    </row>
    <row r="671" spans="14:62" s="20" customFormat="1" ht="14.25">
      <c r="N671" s="2144"/>
      <c r="Q671" s="847"/>
      <c r="R671" s="1947"/>
      <c r="T671" s="2122"/>
      <c r="U671" s="2122"/>
      <c r="V671" s="1948"/>
      <c r="W671" s="1948"/>
      <c r="X671" s="1948"/>
      <c r="Y671" s="2511"/>
      <c r="Z671" s="1948"/>
      <c r="AA671" s="1948"/>
      <c r="AZ671" s="2550"/>
      <c r="BE671" s="2122"/>
      <c r="BF671" s="21"/>
      <c r="BG671" s="21"/>
      <c r="BH671" s="1949"/>
      <c r="BI671" s="1949"/>
      <c r="BJ671" s="515"/>
    </row>
    <row r="672" spans="14:62" s="20" customFormat="1" ht="14.25">
      <c r="N672" s="2144"/>
      <c r="Q672" s="847"/>
      <c r="R672" s="1947"/>
      <c r="T672" s="2122"/>
      <c r="U672" s="2122"/>
      <c r="V672" s="1948"/>
      <c r="W672" s="1948"/>
      <c r="X672" s="1948"/>
      <c r="Y672" s="2511"/>
      <c r="Z672" s="1948"/>
      <c r="AA672" s="1948"/>
      <c r="AZ672" s="2550"/>
      <c r="BE672" s="2122"/>
      <c r="BF672" s="21"/>
      <c r="BG672" s="21"/>
      <c r="BH672" s="1949"/>
      <c r="BI672" s="1949"/>
      <c r="BJ672" s="515"/>
    </row>
  </sheetData>
  <sheetProtection/>
  <mergeCells count="156">
    <mergeCell ref="AQ19:AQ20"/>
    <mergeCell ref="AP19:AP20"/>
    <mergeCell ref="N19:N20"/>
    <mergeCell ref="M19:M20"/>
    <mergeCell ref="L19:L20"/>
    <mergeCell ref="K19:K20"/>
    <mergeCell ref="J19:J20"/>
    <mergeCell ref="J17:J18"/>
    <mergeCell ref="K17:K18"/>
    <mergeCell ref="L17:L18"/>
    <mergeCell ref="M17:M18"/>
    <mergeCell ref="N17:N18"/>
    <mergeCell ref="S13:S21"/>
    <mergeCell ref="AZ19:AZ20"/>
    <mergeCell ref="AY19:AY20"/>
    <mergeCell ref="AX19:AX20"/>
    <mergeCell ref="AW19:AW20"/>
    <mergeCell ref="AV19:AV20"/>
    <mergeCell ref="AU19:AU20"/>
    <mergeCell ref="AT19:AT20"/>
    <mergeCell ref="AS19:AS20"/>
    <mergeCell ref="AR19:AR20"/>
    <mergeCell ref="BI19:BI20"/>
    <mergeCell ref="BH19:BH20"/>
    <mergeCell ref="BG19:BG20"/>
    <mergeCell ref="BF19:BF20"/>
    <mergeCell ref="BE19:BE20"/>
    <mergeCell ref="BD19:BD20"/>
    <mergeCell ref="BC19:BC20"/>
    <mergeCell ref="BB19:BB20"/>
    <mergeCell ref="BA19:BA20"/>
    <mergeCell ref="BB15:BB16"/>
    <mergeCell ref="BG17:BG18"/>
    <mergeCell ref="BH17:BH18"/>
    <mergeCell ref="BI17:BI18"/>
    <mergeCell ref="AZ17:AZ18"/>
    <mergeCell ref="BA17:BA18"/>
    <mergeCell ref="BB17:BB18"/>
    <mergeCell ref="BC17:BC18"/>
    <mergeCell ref="BD17:BD18"/>
    <mergeCell ref="BE17:BE18"/>
    <mergeCell ref="BF17:BF18"/>
    <mergeCell ref="BH15:BH16"/>
    <mergeCell ref="A23:R23"/>
    <mergeCell ref="BJ13:BJ21"/>
    <mergeCell ref="AB15:AB21"/>
    <mergeCell ref="AC15:AC21"/>
    <mergeCell ref="AD15:AD21"/>
    <mergeCell ref="AE15:AE21"/>
    <mergeCell ref="AF15:AF21"/>
    <mergeCell ref="AG15:AG21"/>
    <mergeCell ref="AH15:AH21"/>
    <mergeCell ref="R17:R18"/>
    <mergeCell ref="R19:R20"/>
    <mergeCell ref="AI15:AI21"/>
    <mergeCell ref="AJ15:AJ21"/>
    <mergeCell ref="AK15:AK21"/>
    <mergeCell ref="AL15:AL21"/>
    <mergeCell ref="AM15:AM21"/>
    <mergeCell ref="AN15:AN16"/>
    <mergeCell ref="AN17:AN18"/>
    <mergeCell ref="AN19:AN20"/>
    <mergeCell ref="AO15:AO16"/>
    <mergeCell ref="AO17:AO18"/>
    <mergeCell ref="AO19:AO20"/>
    <mergeCell ref="BA15:BA16"/>
    <mergeCell ref="P12:AA12"/>
    <mergeCell ref="H12:L12"/>
    <mergeCell ref="H14:N14"/>
    <mergeCell ref="M12:O12"/>
    <mergeCell ref="J15:J16"/>
    <mergeCell ref="K15:K16"/>
    <mergeCell ref="L15:L16"/>
    <mergeCell ref="M15:M16"/>
    <mergeCell ref="N15:N16"/>
    <mergeCell ref="E14:F14"/>
    <mergeCell ref="U15:U16"/>
    <mergeCell ref="V15:V16"/>
    <mergeCell ref="V17:V18"/>
    <mergeCell ref="V19:V20"/>
    <mergeCell ref="P15:P21"/>
    <mergeCell ref="Q15:Q21"/>
    <mergeCell ref="R15:R16"/>
    <mergeCell ref="T15:T21"/>
    <mergeCell ref="U17:U21"/>
    <mergeCell ref="Z7:Z9"/>
    <mergeCell ref="AA7:AA9"/>
    <mergeCell ref="AB7:AM7"/>
    <mergeCell ref="AN7:AY7"/>
    <mergeCell ref="AZ7:BE7"/>
    <mergeCell ref="AR8:AS8"/>
    <mergeCell ref="AT8:AU8"/>
    <mergeCell ref="AV8:AW8"/>
    <mergeCell ref="AX8:AY8"/>
    <mergeCell ref="AZ8:AZ9"/>
    <mergeCell ref="BA8:BA9"/>
    <mergeCell ref="BB8:BB9"/>
    <mergeCell ref="BC8:BC9"/>
    <mergeCell ref="BD8:BD9"/>
    <mergeCell ref="BE8:BE9"/>
    <mergeCell ref="AB8:AC8"/>
    <mergeCell ref="AD8:AE8"/>
    <mergeCell ref="AF8:AG8"/>
    <mergeCell ref="AH8:AI8"/>
    <mergeCell ref="AJ8:AK8"/>
    <mergeCell ref="AL8:AM8"/>
    <mergeCell ref="AN8:AO8"/>
    <mergeCell ref="AP8:AQ8"/>
    <mergeCell ref="A7:A9"/>
    <mergeCell ref="B7:C9"/>
    <mergeCell ref="D7:D9"/>
    <mergeCell ref="E7:F9"/>
    <mergeCell ref="G7:G9"/>
    <mergeCell ref="H7:I9"/>
    <mergeCell ref="A1:BF4"/>
    <mergeCell ref="A5:M6"/>
    <mergeCell ref="Q5:BJ5"/>
    <mergeCell ref="Q6:AA6"/>
    <mergeCell ref="BF6:BJ6"/>
    <mergeCell ref="Q7:Q9"/>
    <mergeCell ref="R7:R9"/>
    <mergeCell ref="S7:S9"/>
    <mergeCell ref="T7:T9"/>
    <mergeCell ref="U7:U9"/>
    <mergeCell ref="V7:V9"/>
    <mergeCell ref="J7:J9"/>
    <mergeCell ref="K7:K9"/>
    <mergeCell ref="L7:L9"/>
    <mergeCell ref="M7:N8"/>
    <mergeCell ref="O7:O9"/>
    <mergeCell ref="P7:P9"/>
    <mergeCell ref="W7:Y8"/>
    <mergeCell ref="AB6:AY6"/>
    <mergeCell ref="BI15:BI16"/>
    <mergeCell ref="AY15:AY16"/>
    <mergeCell ref="AZ15:AZ16"/>
    <mergeCell ref="BC15:BC16"/>
    <mergeCell ref="BD15:BD16"/>
    <mergeCell ref="BE15:BE16"/>
    <mergeCell ref="BF15:BF16"/>
    <mergeCell ref="BG15:BG16"/>
    <mergeCell ref="AP15:AP16"/>
    <mergeCell ref="AQ15:AQ16"/>
    <mergeCell ref="AR15:AR16"/>
    <mergeCell ref="AS15:AS16"/>
    <mergeCell ref="AT15:AT16"/>
    <mergeCell ref="AU15:AU16"/>
    <mergeCell ref="AV15:AV16"/>
    <mergeCell ref="AW15:AW16"/>
    <mergeCell ref="AX15:AX16"/>
    <mergeCell ref="BF7:BG8"/>
    <mergeCell ref="BH7:BI8"/>
    <mergeCell ref="B10:BJ10"/>
    <mergeCell ref="B11:C11"/>
    <mergeCell ref="E11:BJ11"/>
    <mergeCell ref="B14:C14"/>
  </mergeCells>
  <printOptions/>
  <pageMargins left="0.7" right="0.7" top="0.75" bottom="0.75" header="0.3" footer="0.3"/>
  <pageSetup horizontalDpi="300" verticalDpi="300" orientation="portrait" r:id="rId2"/>
  <drawing r:id="rId1"/>
</worksheet>
</file>

<file path=xl/worksheets/sheet16.xml><?xml version="1.0" encoding="utf-8"?>
<worksheet xmlns="http://schemas.openxmlformats.org/spreadsheetml/2006/main" xmlns:r="http://schemas.openxmlformats.org/officeDocument/2006/relationships">
  <dimension ref="A1:BJ24"/>
  <sheetViews>
    <sheetView zoomScale="60" zoomScaleNormal="60" zoomScalePageLayoutView="0" workbookViewId="0" topLeftCell="A1">
      <selection activeCell="W14" sqref="W14"/>
    </sheetView>
  </sheetViews>
  <sheetFormatPr defaultColWidth="11.421875" defaultRowHeight="15"/>
  <cols>
    <col min="1" max="1" width="12.57421875" style="3" customWidth="1"/>
    <col min="2" max="2" width="4.00390625" style="3" customWidth="1"/>
    <col min="3" max="3" width="14.7109375" style="3" customWidth="1"/>
    <col min="4" max="4" width="12.00390625" style="3" customWidth="1"/>
    <col min="5" max="5" width="7.421875" style="3" customWidth="1"/>
    <col min="6" max="6" width="10.140625" style="3" customWidth="1"/>
    <col min="7" max="7" width="12.140625" style="3" customWidth="1"/>
    <col min="8" max="8" width="8.57421875" style="3" customWidth="1"/>
    <col min="9" max="9" width="14.7109375" style="3" customWidth="1"/>
    <col min="10" max="10" width="13.140625" style="1934" customWidth="1"/>
    <col min="11" max="11" width="22.7109375" style="3" customWidth="1"/>
    <col min="12" max="12" width="18.140625" style="3" customWidth="1"/>
    <col min="13" max="14" width="21.00390625" style="3" customWidth="1"/>
    <col min="15" max="15" width="24.28125" style="3" customWidth="1"/>
    <col min="16" max="16" width="11.7109375" style="3" customWidth="1"/>
    <col min="17" max="17" width="23.7109375" style="6" customWidth="1"/>
    <col min="18" max="18" width="14.8515625" style="478" customWidth="1"/>
    <col min="19" max="19" width="20.57421875" style="8" bestFit="1" customWidth="1"/>
    <col min="20" max="20" width="27.28125" style="2121" customWidth="1"/>
    <col min="21" max="21" width="23.421875" style="2121" customWidth="1"/>
    <col min="22" max="22" width="21.421875" style="7" customWidth="1"/>
    <col min="23" max="23" width="21.8515625" style="885" customWidth="1"/>
    <col min="24" max="25" width="21.8515625" style="892" customWidth="1"/>
    <col min="26" max="26" width="21.8515625" style="885" customWidth="1"/>
    <col min="27" max="27" width="17.8515625" style="7" customWidth="1"/>
    <col min="28" max="39" width="9.8515625" style="3" customWidth="1"/>
    <col min="40" max="41" width="13.421875" style="3" customWidth="1"/>
    <col min="42" max="43" width="10.140625" style="3" customWidth="1"/>
    <col min="44" max="51" width="7.28125" style="3" customWidth="1"/>
    <col min="52" max="57" width="24.8515625" style="3" customWidth="1"/>
    <col min="58" max="58" width="22.7109375" style="1936" customWidth="1"/>
    <col min="59" max="59" width="22.7109375" style="1937" customWidth="1"/>
    <col min="60" max="60" width="22.7109375" style="1858" customWidth="1"/>
    <col min="61" max="61" width="22.7109375" style="1859" customWidth="1"/>
    <col min="62" max="62" width="28.7109375" style="517" customWidth="1"/>
    <col min="63" max="16384" width="11.421875" style="848" customWidth="1"/>
  </cols>
  <sheetData>
    <row r="1" spans="1:62" s="2" customFormat="1" ht="18">
      <c r="A1" t="s">
        <v>1651</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s="888"/>
      <c r="BH1" s="4"/>
      <c r="BI1" s="2633" t="s">
        <v>97</v>
      </c>
      <c r="BJ1" s="2633" t="s">
        <v>112</v>
      </c>
    </row>
    <row r="2" spans="1:62" s="2" customFormat="1" ht="18">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s="888"/>
      <c r="BH2" s="4"/>
      <c r="BI2" s="2634" t="s">
        <v>98</v>
      </c>
      <c r="BJ2" s="2635">
        <v>5</v>
      </c>
    </row>
    <row r="3" spans="1:62" s="2" customFormat="1" ht="18">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s="888"/>
      <c r="BH3" s="4"/>
      <c r="BI3" s="2633" t="s">
        <v>99</v>
      </c>
      <c r="BJ3" s="2636" t="s">
        <v>2149</v>
      </c>
    </row>
    <row r="4" spans="1:62" s="2" customFormat="1" ht="18">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s="889"/>
      <c r="BH4" s="4"/>
      <c r="BI4" s="842" t="s">
        <v>100</v>
      </c>
      <c r="BJ4" s="2637" t="s">
        <v>113</v>
      </c>
    </row>
    <row r="5" spans="1:62" s="2" customFormat="1" ht="15">
      <c r="A5" s="3319" t="s">
        <v>0</v>
      </c>
      <c r="B5" s="3319"/>
      <c r="C5" s="3319"/>
      <c r="D5" s="3319"/>
      <c r="E5" s="3319"/>
      <c r="F5" s="3319"/>
      <c r="G5" s="3319"/>
      <c r="H5" s="3319"/>
      <c r="I5" s="3319"/>
      <c r="J5" s="3319"/>
      <c r="K5" s="3319"/>
      <c r="L5" s="3319"/>
      <c r="M5" s="3319"/>
      <c r="N5" s="854"/>
      <c r="O5" s="854"/>
      <c r="P5" s="854"/>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c r="BH5" s="3049"/>
      <c r="BI5" s="3049"/>
      <c r="BJ5" s="3049"/>
    </row>
    <row r="6" spans="1:62" s="2" customFormat="1" ht="15.75" thickBot="1">
      <c r="A6" s="3790"/>
      <c r="B6" s="3790"/>
      <c r="C6" s="3790"/>
      <c r="D6" s="3790"/>
      <c r="E6" s="3790"/>
      <c r="F6" s="3790"/>
      <c r="G6" s="3790"/>
      <c r="H6" s="3790"/>
      <c r="I6" s="3790"/>
      <c r="J6" s="3790"/>
      <c r="K6" s="3790"/>
      <c r="L6" s="3790"/>
      <c r="M6" s="3790"/>
      <c r="N6" s="853"/>
      <c r="O6" s="853"/>
      <c r="P6" s="853"/>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855"/>
      <c r="BA6" s="855"/>
      <c r="BB6" s="855"/>
      <c r="BC6" s="855"/>
      <c r="BD6" s="855"/>
      <c r="BE6" s="855"/>
      <c r="BF6" s="3050"/>
      <c r="BG6" s="3051"/>
      <c r="BH6" s="3051"/>
      <c r="BI6" s="3051"/>
      <c r="BJ6" s="3052"/>
    </row>
    <row r="7" spans="1:62" s="2" customFormat="1" ht="30">
      <c r="A7" s="3036" t="s">
        <v>3</v>
      </c>
      <c r="B7" s="3034" t="s">
        <v>4</v>
      </c>
      <c r="C7" s="3036"/>
      <c r="D7" s="3040" t="s">
        <v>3</v>
      </c>
      <c r="E7" s="3034" t="s">
        <v>5</v>
      </c>
      <c r="F7" s="3036"/>
      <c r="G7" s="3040" t="s">
        <v>3</v>
      </c>
      <c r="H7" s="3034" t="s">
        <v>6</v>
      </c>
      <c r="I7" s="3036"/>
      <c r="J7" t="s">
        <v>3</v>
      </c>
      <c r="K7" s="3040" t="s">
        <v>7</v>
      </c>
      <c r="L7" s="3040" t="s">
        <v>8</v>
      </c>
      <c r="M7" s="3034" t="s">
        <v>9</v>
      </c>
      <c r="N7" s="3036"/>
      <c r="O7" s="3040" t="s">
        <v>10</v>
      </c>
      <c r="P7" s="3040" t="s">
        <v>37</v>
      </c>
      <c r="Q7" s="3040" t="s">
        <v>1</v>
      </c>
      <c r="R7" s="3040" t="s">
        <v>11</v>
      </c>
      <c r="S7" s="873" t="s">
        <v>12</v>
      </c>
      <c r="T7" s="2118" t="s">
        <v>13</v>
      </c>
      <c r="U7" s="2118" t="s">
        <v>14</v>
      </c>
      <c r="V7" s="874" t="s">
        <v>15</v>
      </c>
      <c r="W7" s="3327" t="s">
        <v>12</v>
      </c>
      <c r="X7" s="3380"/>
      <c r="Y7" s="3328"/>
      <c r="Z7" s="873" t="s">
        <v>3</v>
      </c>
      <c r="AA7" s="874" t="s">
        <v>16</v>
      </c>
      <c r="AB7" s="3057" t="s">
        <v>17</v>
      </c>
      <c r="AC7" s="3058"/>
      <c r="AD7" s="3058"/>
      <c r="AE7" s="3058"/>
      <c r="AF7" s="3058"/>
      <c r="AG7" s="3058"/>
      <c r="AH7" s="3058"/>
      <c r="AI7" s="3058"/>
      <c r="AJ7" s="3058"/>
      <c r="AK7" s="3058"/>
      <c r="AL7" s="3058"/>
      <c r="AM7" s="3059"/>
      <c r="AN7" t="s">
        <v>18</v>
      </c>
      <c r="AO7"/>
      <c r="AP7"/>
      <c r="AQ7"/>
      <c r="AR7"/>
      <c r="AS7"/>
      <c r="AT7"/>
      <c r="AU7"/>
      <c r="AV7"/>
      <c r="AW7"/>
      <c r="AX7"/>
      <c r="AY7"/>
      <c r="AZ7" s="3314" t="s">
        <v>119</v>
      </c>
      <c r="BA7" s="3315"/>
      <c r="BB7" s="3315"/>
      <c r="BC7" s="3315"/>
      <c r="BD7" s="3315"/>
      <c r="BE7" s="3316"/>
      <c r="BF7" s="3317" t="s">
        <v>19</v>
      </c>
      <c r="BG7" s="3317"/>
      <c r="BH7" s="3317" t="s">
        <v>20</v>
      </c>
      <c r="BI7" s="3317"/>
      <c r="BJ7" s="3309" t="s">
        <v>21</v>
      </c>
    </row>
    <row r="8" spans="1:62" s="2" customFormat="1" ht="15">
      <c r="A8" s="3039"/>
      <c r="B8" s="3037"/>
      <c r="C8" s="3039"/>
      <c r="D8" s="3041"/>
      <c r="E8" s="3037"/>
      <c r="F8" s="3039"/>
      <c r="G8" s="3041"/>
      <c r="H8" s="3037"/>
      <c r="I8" s="3039"/>
      <c r="J8"/>
      <c r="K8" s="3041"/>
      <c r="L8" s="3041"/>
      <c r="M8" s="3037"/>
      <c r="N8" s="3039"/>
      <c r="O8" s="3041"/>
      <c r="P8" s="3041"/>
      <c r="Q8" s="3041"/>
      <c r="R8" s="3041"/>
      <c r="S8" s="875"/>
      <c r="T8" s="2116"/>
      <c r="U8" s="2116"/>
      <c r="V8" s="876"/>
      <c r="W8" s="3331"/>
      <c r="X8" s="3381"/>
      <c r="Y8" s="3332"/>
      <c r="Z8" s="875"/>
      <c r="AA8" s="876"/>
      <c r="AB8" s="3053" t="s">
        <v>22</v>
      </c>
      <c r="AC8" s="3053"/>
      <c r="AD8" t="s">
        <v>23</v>
      </c>
      <c r="AE8"/>
      <c r="AF8" s="3034" t="s">
        <v>24</v>
      </c>
      <c r="AG8" s="3036"/>
      <c r="AH8" s="3034" t="s">
        <v>25</v>
      </c>
      <c r="AI8" s="3036"/>
      <c r="AJ8" s="3034" t="s">
        <v>26</v>
      </c>
      <c r="AK8" s="3036"/>
      <c r="AL8" s="3034" t="s">
        <v>27</v>
      </c>
      <c r="AM8" s="3036"/>
      <c r="AN8" s="3034" t="s">
        <v>28</v>
      </c>
      <c r="AO8" s="3036"/>
      <c r="AP8" s="3034" t="s">
        <v>29</v>
      </c>
      <c r="AQ8" s="3036"/>
      <c r="AR8" s="3034" t="s">
        <v>30</v>
      </c>
      <c r="AS8" s="3036"/>
      <c r="AT8" s="3034" t="s">
        <v>31</v>
      </c>
      <c r="AU8" s="3036"/>
      <c r="AV8" s="3034" t="s">
        <v>32</v>
      </c>
      <c r="AW8" s="3036"/>
      <c r="AX8" s="3037" t="s">
        <v>33</v>
      </c>
      <c r="AY8" s="3039"/>
      <c r="AZ8" s="3279" t="s">
        <v>116</v>
      </c>
      <c r="BA8" t="s">
        <v>120</v>
      </c>
      <c r="BB8" s="3279" t="s">
        <v>121</v>
      </c>
      <c r="BC8" s="3299" t="s">
        <v>117</v>
      </c>
      <c r="BD8" s="3279" t="s">
        <v>118</v>
      </c>
      <c r="BE8" s="3279" t="s">
        <v>122</v>
      </c>
      <c r="BF8" s="3317"/>
      <c r="BG8" s="3317"/>
      <c r="BH8" s="3317"/>
      <c r="BI8" s="3317"/>
      <c r="BJ8" s="3310"/>
    </row>
    <row r="9" spans="1:62" s="2" customFormat="1" ht="15">
      <c r="A9" s="3039"/>
      <c r="B9" s="3037"/>
      <c r="C9" s="3039"/>
      <c r="D9" s="3041"/>
      <c r="E9" s="3037"/>
      <c r="F9" s="3039"/>
      <c r="G9" s="3041"/>
      <c r="H9" s="3037"/>
      <c r="I9" s="3039"/>
      <c r="J9"/>
      <c r="K9" s="3041"/>
      <c r="L9" s="3041"/>
      <c r="M9" s="876"/>
      <c r="N9" s="2594"/>
      <c r="O9" s="3041"/>
      <c r="P9" s="3041"/>
      <c r="Q9" s="3041"/>
      <c r="R9" s="3041"/>
      <c r="S9" s="875"/>
      <c r="T9" s="2116"/>
      <c r="U9" s="2116"/>
      <c r="V9" s="876"/>
      <c r="W9" s="3040" t="s">
        <v>105</v>
      </c>
      <c r="X9" t="s">
        <v>115</v>
      </c>
      <c r="Y9" t="s">
        <v>114</v>
      </c>
      <c r="Z9" s="875"/>
      <c r="AA9" s="876"/>
      <c r="AB9" s="2593"/>
      <c r="AC9" s="2593"/>
      <c r="AD9" s="877"/>
      <c r="AE9" s="877"/>
      <c r="AF9" s="2596"/>
      <c r="AG9" s="2596"/>
      <c r="AH9" s="2596"/>
      <c r="AI9" s="2596"/>
      <c r="AJ9" s="2596"/>
      <c r="AK9" s="2596"/>
      <c r="AL9" s="2596"/>
      <c r="AM9" s="2596"/>
      <c r="AN9" s="2596"/>
      <c r="AO9" s="2596"/>
      <c r="AP9" s="2596"/>
      <c r="AQ9" s="2596"/>
      <c r="AR9" s="2596"/>
      <c r="AS9" s="2596"/>
      <c r="AT9" s="2596"/>
      <c r="AU9" s="2596"/>
      <c r="AV9" s="2596"/>
      <c r="AW9" s="2596"/>
      <c r="AX9" s="2596"/>
      <c r="AY9" s="2596"/>
      <c r="AZ9"/>
      <c r="BA9"/>
      <c r="BB9"/>
      <c r="BC9"/>
      <c r="BD9"/>
      <c r="BE9"/>
      <c r="BF9" s="93"/>
      <c r="BG9" s="117"/>
      <c r="BH9" s="93"/>
      <c r="BI9" s="117"/>
      <c r="BJ9" s="3310"/>
    </row>
    <row r="10" spans="1:62" s="2" customFormat="1" ht="15">
      <c r="A10" s="3055"/>
      <c r="B10" s="3054"/>
      <c r="C10" s="3055"/>
      <c r="D10" s="3042"/>
      <c r="E10" s="3054"/>
      <c r="F10" s="3055"/>
      <c r="G10" s="3042"/>
      <c r="H10" s="3054"/>
      <c r="I10" s="3055"/>
      <c r="J10"/>
      <c r="K10" s="3042"/>
      <c r="L10" s="3042"/>
      <c r="M10" s="2593" t="s">
        <v>106</v>
      </c>
      <c r="N10" s="92" t="s">
        <v>107</v>
      </c>
      <c r="O10" s="3042"/>
      <c r="P10" s="3042"/>
      <c r="Q10" s="3042"/>
      <c r="R10" s="3042"/>
      <c r="S10" s="875"/>
      <c r="T10" s="2116"/>
      <c r="U10" s="2116"/>
      <c r="V10" s="876"/>
      <c r="W10" s="3042"/>
      <c r="X10"/>
      <c r="Y10"/>
      <c r="Z10" s="875"/>
      <c r="AA10" s="876"/>
      <c r="AB10" s="2593" t="s">
        <v>109</v>
      </c>
      <c r="AC10" s="92" t="s">
        <v>107</v>
      </c>
      <c r="AD10" s="2593" t="s">
        <v>109</v>
      </c>
      <c r="AE10" s="92" t="s">
        <v>107</v>
      </c>
      <c r="AF10" s="2593" t="s">
        <v>109</v>
      </c>
      <c r="AG10" s="92" t="s">
        <v>107</v>
      </c>
      <c r="AH10" s="2593" t="s">
        <v>109</v>
      </c>
      <c r="AI10" s="92" t="s">
        <v>107</v>
      </c>
      <c r="AJ10" s="2593" t="s">
        <v>109</v>
      </c>
      <c r="AK10" s="92" t="s">
        <v>107</v>
      </c>
      <c r="AL10" s="2593" t="s">
        <v>109</v>
      </c>
      <c r="AM10" s="92" t="s">
        <v>107</v>
      </c>
      <c r="AN10" s="2593" t="s">
        <v>109</v>
      </c>
      <c r="AO10" s="92" t="s">
        <v>107</v>
      </c>
      <c r="AP10" s="2593" t="s">
        <v>109</v>
      </c>
      <c r="AQ10" s="92" t="s">
        <v>107</v>
      </c>
      <c r="AR10" s="2593" t="s">
        <v>109</v>
      </c>
      <c r="AS10" s="92" t="s">
        <v>107</v>
      </c>
      <c r="AT10" s="2593" t="s">
        <v>109</v>
      </c>
      <c r="AU10" s="92" t="s">
        <v>107</v>
      </c>
      <c r="AV10" s="2593" t="s">
        <v>109</v>
      </c>
      <c r="AW10" s="92" t="s">
        <v>107</v>
      </c>
      <c r="AX10" s="2593" t="s">
        <v>109</v>
      </c>
      <c r="AY10" s="92" t="s">
        <v>107</v>
      </c>
      <c r="AZ10" s="3280"/>
      <c r="BA10"/>
      <c r="BB10" s="3280"/>
      <c r="BC10"/>
      <c r="BD10" s="3280"/>
      <c r="BE10" s="3280"/>
      <c r="BF10" s="2602" t="s">
        <v>106</v>
      </c>
      <c r="BG10" s="117" t="s">
        <v>107</v>
      </c>
      <c r="BH10" s="2602" t="s">
        <v>106</v>
      </c>
      <c r="BI10" s="117" t="s">
        <v>107</v>
      </c>
      <c r="BJ10" s="3311"/>
    </row>
    <row r="11" spans="1:62" s="2" customFormat="1" ht="15">
      <c r="A11" s="41">
        <v>4</v>
      </c>
      <c r="B11" t="s">
        <v>845</v>
      </c>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s="2" customFormat="1" ht="15">
      <c r="A12"/>
      <c r="B12" s="3743"/>
      <c r="C12" s="3287"/>
      <c r="D12" s="878">
        <v>23</v>
      </c>
      <c r="E12" t="s">
        <v>846</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row>
    <row r="13" spans="1:62" s="2" customFormat="1" ht="15">
      <c r="A13"/>
      <c r="B13" s="3744"/>
      <c r="C13" s="3288"/>
      <c r="D13"/>
      <c r="E13"/>
      <c r="F13"/>
      <c r="G13" s="879">
        <v>77</v>
      </c>
      <c r="H13" t="s">
        <v>847</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71.25">
      <c r="A14"/>
      <c r="B14" s="3744"/>
      <c r="C14" s="3288"/>
      <c r="D14"/>
      <c r="E14"/>
      <c r="F14"/>
      <c r="G14" s="3347"/>
      <c r="H14"/>
      <c r="I14" s="3348"/>
      <c r="J14">
        <v>223</v>
      </c>
      <c r="K14" s="2910" t="s">
        <v>848</v>
      </c>
      <c r="L14" s="3012" t="s">
        <v>37</v>
      </c>
      <c r="M14" s="3012">
        <v>1</v>
      </c>
      <c r="N14" s="2977">
        <v>1</v>
      </c>
      <c r="O14" s="3012">
        <v>2301010335</v>
      </c>
      <c r="P14" s="3012">
        <v>172</v>
      </c>
      <c r="Q14" s="2910" t="s">
        <v>849</v>
      </c>
      <c r="R14" s="3403">
        <f>+(S15+S14)/S19</f>
        <v>0.7681842884615384</v>
      </c>
      <c r="S14" s="3409">
        <v>39945583</v>
      </c>
      <c r="T14" s="3359" t="s">
        <v>850</v>
      </c>
      <c r="U14" s="3359" t="s">
        <v>851</v>
      </c>
      <c r="V14" s="2622" t="s">
        <v>852</v>
      </c>
      <c r="W14" s="886">
        <v>20000000</v>
      </c>
      <c r="X14" s="2614">
        <v>20000000</v>
      </c>
      <c r="Y14" s="2614">
        <v>20000000</v>
      </c>
      <c r="Z14">
        <v>2301010335</v>
      </c>
      <c r="AA14" s="3012" t="s">
        <v>1087</v>
      </c>
      <c r="AB14" t="s">
        <v>853</v>
      </c>
      <c r="AC14" t="s">
        <v>853</v>
      </c>
      <c r="AD14" t="s">
        <v>854</v>
      </c>
      <c r="AE14" t="s">
        <v>854</v>
      </c>
      <c r="AF14" t="s">
        <v>855</v>
      </c>
      <c r="AG14" t="s">
        <v>855</v>
      </c>
      <c r="AH14" t="s">
        <v>856</v>
      </c>
      <c r="AI14" t="s">
        <v>856</v>
      </c>
      <c r="AJ14" t="s">
        <v>857</v>
      </c>
      <c r="AK14" t="s">
        <v>857</v>
      </c>
      <c r="AL14" t="s">
        <v>858</v>
      </c>
      <c r="AM14" t="s">
        <v>858</v>
      </c>
      <c r="AN14"/>
      <c r="AO14"/>
      <c r="AP14"/>
      <c r="AQ14"/>
      <c r="AR14"/>
      <c r="AS14"/>
      <c r="AT14"/>
      <c r="AU14"/>
      <c r="AV14"/>
      <c r="AW14"/>
      <c r="AX14"/>
      <c r="AY14"/>
      <c r="AZ14" s="2617">
        <v>2</v>
      </c>
      <c r="BA14" s="2617">
        <v>20000000</v>
      </c>
      <c r="BB14" s="2617">
        <v>20000000</v>
      </c>
      <c r="BC14" s="2607">
        <v>1</v>
      </c>
      <c r="BD14" s="2617" t="s">
        <v>330</v>
      </c>
      <c r="BE14" s="2617" t="s">
        <v>865</v>
      </c>
      <c r="BF14" s="896">
        <v>42597</v>
      </c>
      <c r="BG14" s="2621">
        <v>42492</v>
      </c>
      <c r="BH14" s="896">
        <v>42735</v>
      </c>
      <c r="BI14" s="2620">
        <v>42733</v>
      </c>
      <c r="BJ14" s="3409" t="s">
        <v>859</v>
      </c>
    </row>
    <row r="15" spans="1:62" ht="71.25">
      <c r="A15"/>
      <c r="B15" s="3744"/>
      <c r="C15" s="3288"/>
      <c r="D15"/>
      <c r="E15"/>
      <c r="F15"/>
      <c r="G15" s="3349"/>
      <c r="H15" s="3393"/>
      <c r="I15" s="3350"/>
      <c r="J15"/>
      <c r="K15" s="3293"/>
      <c r="L15" s="3014"/>
      <c r="M15" s="3014"/>
      <c r="N15" s="2979"/>
      <c r="O15" s="3013"/>
      <c r="P15" s="3013"/>
      <c r="Q15" s="3292"/>
      <c r="R15" s="3404"/>
      <c r="S15" s="3410"/>
      <c r="T15" s="3360"/>
      <c r="U15" s="3360"/>
      <c r="V15" s="2622" t="s">
        <v>860</v>
      </c>
      <c r="W15" s="886">
        <v>19945583</v>
      </c>
      <c r="X15" s="2614">
        <v>19902249</v>
      </c>
      <c r="Y15" s="2614">
        <v>19902249</v>
      </c>
      <c r="Z15"/>
      <c r="AA15" s="3013"/>
      <c r="AB15"/>
      <c r="AC15"/>
      <c r="AD15"/>
      <c r="AE15"/>
      <c r="AF15"/>
      <c r="AG15"/>
      <c r="AH15"/>
      <c r="AI15"/>
      <c r="AJ15"/>
      <c r="AK15"/>
      <c r="AL15"/>
      <c r="AM15"/>
      <c r="AN15"/>
      <c r="AO15"/>
      <c r="AP15"/>
      <c r="AQ15"/>
      <c r="AR15"/>
      <c r="AS15"/>
      <c r="AT15"/>
      <c r="AU15"/>
      <c r="AV15"/>
      <c r="AW15"/>
      <c r="AX15"/>
      <c r="AY15"/>
      <c r="AZ15" s="2617">
        <v>3</v>
      </c>
      <c r="BA15" s="2617">
        <v>19902249</v>
      </c>
      <c r="BB15" s="2617">
        <v>19902249</v>
      </c>
      <c r="BC15" s="2607">
        <v>1</v>
      </c>
      <c r="BD15" s="2617" t="s">
        <v>330</v>
      </c>
      <c r="BE15" s="2617" t="s">
        <v>865</v>
      </c>
      <c r="BF15" s="560">
        <v>42597</v>
      </c>
      <c r="BG15" s="2616">
        <v>42735</v>
      </c>
      <c r="BH15" s="560">
        <v>42735</v>
      </c>
      <c r="BI15" s="2620">
        <v>42735</v>
      </c>
      <c r="BJ15"/>
    </row>
    <row r="16" spans="1:62" ht="28.5" customHeight="1">
      <c r="A16"/>
      <c r="B16" s="3744"/>
      <c r="C16" s="3288"/>
      <c r="D16"/>
      <c r="E16"/>
      <c r="F16"/>
      <c r="G16" s="3349"/>
      <c r="H16" s="3393"/>
      <c r="I16" s="3350"/>
      <c r="J16">
        <v>224</v>
      </c>
      <c r="K16" s="2910" t="s">
        <v>861</v>
      </c>
      <c r="L16" s="3012" t="s">
        <v>76</v>
      </c>
      <c r="M16" s="3012">
        <v>1</v>
      </c>
      <c r="N16" s="2977">
        <v>0</v>
      </c>
      <c r="O16" s="3013"/>
      <c r="P16" s="3013"/>
      <c r="Q16" s="3292"/>
      <c r="R16" s="3403">
        <f>+(S16+S17)/S19</f>
        <v>0.19335417307692307</v>
      </c>
      <c r="S16" s="3409">
        <v>10054417</v>
      </c>
      <c r="T16" s="3360"/>
      <c r="U16" s="3360"/>
      <c r="V16" t="s">
        <v>862</v>
      </c>
      <c r="W16" s="3409">
        <v>10054417</v>
      </c>
      <c r="X16">
        <v>0</v>
      </c>
      <c r="Y16">
        <v>0</v>
      </c>
      <c r="Z16"/>
      <c r="AA16" s="3013"/>
      <c r="AB16"/>
      <c r="AC16"/>
      <c r="AD16"/>
      <c r="AE16"/>
      <c r="AF16"/>
      <c r="AG16"/>
      <c r="AH16"/>
      <c r="AI16"/>
      <c r="AJ16"/>
      <c r="AK16"/>
      <c r="AL16"/>
      <c r="AM16"/>
      <c r="AN16"/>
      <c r="AO16"/>
      <c r="AP16"/>
      <c r="AQ16"/>
      <c r="AR16"/>
      <c r="AS16"/>
      <c r="AT16"/>
      <c r="AU16"/>
      <c r="AV16"/>
      <c r="AW16"/>
      <c r="AX16"/>
      <c r="AY16"/>
      <c r="AZ16">
        <v>0</v>
      </c>
      <c r="BA16">
        <v>0</v>
      </c>
      <c r="BB16">
        <v>0</v>
      </c>
      <c r="BC16" s="3495">
        <v>0</v>
      </c>
      <c r="BD16" t="s">
        <v>330</v>
      </c>
      <c r="BE16" t="s">
        <v>865</v>
      </c>
      <c r="BF16" s="3385">
        <v>42597</v>
      </c>
      <c r="BG16" s="2883"/>
      <c r="BH16" s="3385">
        <v>42735</v>
      </c>
      <c r="BI16"/>
      <c r="BJ16"/>
    </row>
    <row r="17" spans="1:62" ht="85.5" customHeight="1">
      <c r="A17"/>
      <c r="B17" s="3744"/>
      <c r="C17" s="3288"/>
      <c r="D17"/>
      <c r="E17"/>
      <c r="F17"/>
      <c r="G17" s="3349"/>
      <c r="H17" s="3393"/>
      <c r="I17" s="3350"/>
      <c r="J17"/>
      <c r="K17" s="3293"/>
      <c r="L17" s="3014"/>
      <c r="M17" s="3014"/>
      <c r="N17" s="2979"/>
      <c r="O17" s="3013"/>
      <c r="P17" s="3013"/>
      <c r="Q17" s="3292"/>
      <c r="R17" s="3404"/>
      <c r="S17" s="3410"/>
      <c r="T17" s="3360"/>
      <c r="U17" s="3360"/>
      <c r="V17"/>
      <c r="W17" s="3410"/>
      <c r="X17"/>
      <c r="Y17"/>
      <c r="Z17"/>
      <c r="AA17" s="3013"/>
      <c r="AB17"/>
      <c r="AC17"/>
      <c r="AD17"/>
      <c r="AE17"/>
      <c r="AF17"/>
      <c r="AG17"/>
      <c r="AH17"/>
      <c r="AI17"/>
      <c r="AJ17"/>
      <c r="AK17"/>
      <c r="AL17"/>
      <c r="AM17"/>
      <c r="AN17"/>
      <c r="AO17"/>
      <c r="AP17"/>
      <c r="AQ17"/>
      <c r="AR17"/>
      <c r="AS17"/>
      <c r="AT17"/>
      <c r="AU17"/>
      <c r="AV17"/>
      <c r="AW17"/>
      <c r="AX17"/>
      <c r="AY17"/>
      <c r="AZ17"/>
      <c r="BA17"/>
      <c r="BB17"/>
      <c r="BC17" s="3495"/>
      <c r="BD17"/>
      <c r="BE17"/>
      <c r="BF17" s="3387"/>
      <c r="BG17" s="2885"/>
      <c r="BH17" s="3387"/>
      <c r="BI17"/>
      <c r="BJ17"/>
    </row>
    <row r="18" spans="1:62" ht="86.25" thickBot="1">
      <c r="A18"/>
      <c r="B18"/>
      <c r="C18"/>
      <c r="D18"/>
      <c r="E18"/>
      <c r="F18"/>
      <c r="G18"/>
      <c r="H18"/>
      <c r="I18"/>
      <c r="J18" s="2785">
        <v>225</v>
      </c>
      <c r="K18" s="2786" t="s">
        <v>863</v>
      </c>
      <c r="L18" s="2623" t="s">
        <v>37</v>
      </c>
      <c r="M18" s="2623">
        <v>1</v>
      </c>
      <c r="N18" s="2870">
        <v>0</v>
      </c>
      <c r="O18"/>
      <c r="P18"/>
      <c r="Q18"/>
      <c r="R18" s="2787">
        <v>0.04</v>
      </c>
      <c r="S18" s="2788">
        <v>2000000</v>
      </c>
      <c r="T18"/>
      <c r="U18"/>
      <c r="V18" s="2789" t="s">
        <v>864</v>
      </c>
      <c r="W18" s="2788">
        <v>2000000</v>
      </c>
      <c r="X18" s="126">
        <v>0</v>
      </c>
      <c r="Y18" s="126">
        <v>0</v>
      </c>
      <c r="Z18"/>
      <c r="AA18"/>
      <c r="AB18"/>
      <c r="AC18"/>
      <c r="AD18"/>
      <c r="AE18"/>
      <c r="AF18"/>
      <c r="AG18"/>
      <c r="AH18"/>
      <c r="AI18"/>
      <c r="AJ18"/>
      <c r="AK18"/>
      <c r="AL18"/>
      <c r="AM18"/>
      <c r="AN18"/>
      <c r="AO18"/>
      <c r="AP18"/>
      <c r="AQ18"/>
      <c r="AR18"/>
      <c r="AS18"/>
      <c r="AT18"/>
      <c r="AU18"/>
      <c r="AV18"/>
      <c r="AW18"/>
      <c r="AX18"/>
      <c r="AY18"/>
      <c r="AZ18" s="900">
        <v>0</v>
      </c>
      <c r="BA18" s="900">
        <v>0</v>
      </c>
      <c r="BB18" s="900">
        <v>0</v>
      </c>
      <c r="BC18" s="901">
        <v>0</v>
      </c>
      <c r="BD18" s="900" t="s">
        <v>330</v>
      </c>
      <c r="BE18" s="900" t="s">
        <v>865</v>
      </c>
      <c r="BF18" s="897">
        <v>42597</v>
      </c>
      <c r="BG18" s="898"/>
      <c r="BH18" s="897">
        <v>42725</v>
      </c>
      <c r="BI18" s="899"/>
      <c r="BJ18"/>
    </row>
    <row r="19" spans="1:62" s="2" customFormat="1" ht="15.75" thickBot="1">
      <c r="A19"/>
      <c r="B19"/>
      <c r="C19"/>
      <c r="D19"/>
      <c r="E19"/>
      <c r="F19"/>
      <c r="G19"/>
      <c r="H19"/>
      <c r="I19"/>
      <c r="J19"/>
      <c r="K19"/>
      <c r="L19"/>
      <c r="M19"/>
      <c r="N19"/>
      <c r="O19"/>
      <c r="P19"/>
      <c r="Q19"/>
      <c r="R19"/>
      <c r="S19" s="880">
        <f>SUM(S14:S18)</f>
        <v>52000000</v>
      </c>
      <c r="T19" s="2119"/>
      <c r="U19" s="2120"/>
      <c r="V19" s="78"/>
      <c r="W19" s="881">
        <f>SUM(W14:W18)</f>
        <v>52000000</v>
      </c>
      <c r="X19" s="891">
        <f>SUM(X14:X18)</f>
        <v>39902249</v>
      </c>
      <c r="Y19" s="891">
        <f>SUM(Y14:Y18)</f>
        <v>39902249</v>
      </c>
      <c r="Z19" s="882"/>
      <c r="AA19" s="77"/>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883"/>
      <c r="BA19" s="887">
        <f>SUM(BA14:BA18)</f>
        <v>39902249</v>
      </c>
      <c r="BB19" s="887">
        <f>SUM(BB14:BB18)</f>
        <v>39902249</v>
      </c>
      <c r="BC19" s="883"/>
      <c r="BD19" s="883"/>
      <c r="BE19" s="883"/>
      <c r="BF19" s="893"/>
      <c r="BG19" s="894"/>
      <c r="BH19" s="884"/>
      <c r="BI19" s="890"/>
      <c r="BJ19" s="2790"/>
    </row>
    <row r="21" ht="14.25">
      <c r="AC21" s="1935"/>
    </row>
    <row r="23" spans="3:10" ht="15">
      <c r="C23" s="3268" t="s">
        <v>1798</v>
      </c>
      <c r="D23" s="3268"/>
      <c r="E23" s="3268"/>
      <c r="F23" s="3268"/>
      <c r="G23" s="3268"/>
      <c r="H23" s="3268"/>
      <c r="I23" s="3268"/>
      <c r="J23" s="3268"/>
    </row>
    <row r="24" spans="3:28" ht="15">
      <c r="C24" s="3268" t="s">
        <v>1799</v>
      </c>
      <c r="D24" s="3268"/>
      <c r="E24" s="3268"/>
      <c r="F24" s="3268"/>
      <c r="G24" s="3268"/>
      <c r="H24" s="3268"/>
      <c r="I24" s="3268"/>
      <c r="J24" s="3268"/>
      <c r="AB24" s="1935"/>
    </row>
  </sheetData>
  <sheetProtection/>
  <mergeCells count="118">
    <mergeCell ref="A1:BF4"/>
    <mergeCell ref="A5:M6"/>
    <mergeCell ref="Q5:BJ5"/>
    <mergeCell ref="Q6:AA6"/>
    <mergeCell ref="AB6:AY6"/>
    <mergeCell ref="BF6:BJ6"/>
    <mergeCell ref="S14:S15"/>
    <mergeCell ref="J7:J10"/>
    <mergeCell ref="K7:K10"/>
    <mergeCell ref="L7:L10"/>
    <mergeCell ref="M7:N8"/>
    <mergeCell ref="O7:O10"/>
    <mergeCell ref="P7:P10"/>
    <mergeCell ref="A7:A10"/>
    <mergeCell ref="B7:C10"/>
    <mergeCell ref="D7:D10"/>
    <mergeCell ref="E7:F10"/>
    <mergeCell ref="G7:G10"/>
    <mergeCell ref="H7:I10"/>
    <mergeCell ref="Q7:Q10"/>
    <mergeCell ref="R7:R10"/>
    <mergeCell ref="AB7:AM7"/>
    <mergeCell ref="AN7:AY7"/>
    <mergeCell ref="AZ7:BE7"/>
    <mergeCell ref="BE16:BE17"/>
    <mergeCell ref="BD16:BD17"/>
    <mergeCell ref="BH7:BI8"/>
    <mergeCell ref="BJ7:BJ10"/>
    <mergeCell ref="AB8:AC8"/>
    <mergeCell ref="AD8:AE8"/>
    <mergeCell ref="AF8:AG8"/>
    <mergeCell ref="AH8:AI8"/>
    <mergeCell ref="AJ8:AK8"/>
    <mergeCell ref="AL8:AM8"/>
    <mergeCell ref="AN8:AO8"/>
    <mergeCell ref="AP8:AQ8"/>
    <mergeCell ref="BF7:BG8"/>
    <mergeCell ref="AR8:AS8"/>
    <mergeCell ref="AT8:AU8"/>
    <mergeCell ref="AV8:AW8"/>
    <mergeCell ref="AX8:AY8"/>
    <mergeCell ref="AZ8:AZ10"/>
    <mergeCell ref="BA8:BA10"/>
    <mergeCell ref="BB8:BB10"/>
    <mergeCell ref="BC8:BC10"/>
    <mergeCell ref="BD8:BD10"/>
    <mergeCell ref="BE8:BE10"/>
    <mergeCell ref="AB14:AB18"/>
    <mergeCell ref="AC14:AC18"/>
    <mergeCell ref="AD14:AD18"/>
    <mergeCell ref="R16:R17"/>
    <mergeCell ref="V16:V17"/>
    <mergeCell ref="W16:W17"/>
    <mergeCell ref="B11:BJ11"/>
    <mergeCell ref="A12:A18"/>
    <mergeCell ref="B12:C18"/>
    <mergeCell ref="E12:BJ12"/>
    <mergeCell ref="D13:F18"/>
    <mergeCell ref="H13:BJ13"/>
    <mergeCell ref="G14:I18"/>
    <mergeCell ref="J14:J15"/>
    <mergeCell ref="K14:K15"/>
    <mergeCell ref="O14:O18"/>
    <mergeCell ref="BF16:BF17"/>
    <mergeCell ref="BG16:BG17"/>
    <mergeCell ref="BH16:BH17"/>
    <mergeCell ref="BI16:BI17"/>
    <mergeCell ref="AZ16:AZ17"/>
    <mergeCell ref="BA16:BA17"/>
    <mergeCell ref="BB16:BB17"/>
    <mergeCell ref="BC16:BC17"/>
    <mergeCell ref="AW14:AW18"/>
    <mergeCell ref="AN14:AN18"/>
    <mergeCell ref="AO14:AO18"/>
    <mergeCell ref="AP14:AP18"/>
    <mergeCell ref="AQ14:AQ18"/>
    <mergeCell ref="AR14:AR18"/>
    <mergeCell ref="AS14:AS18"/>
    <mergeCell ref="AH14:AH18"/>
    <mergeCell ref="AI14:AI18"/>
    <mergeCell ref="AJ14:AJ18"/>
    <mergeCell ref="AK14:AK18"/>
    <mergeCell ref="AL14:AL18"/>
    <mergeCell ref="AM14:AM18"/>
    <mergeCell ref="BJ14:BJ18"/>
    <mergeCell ref="J16:J17"/>
    <mergeCell ref="K16:K17"/>
    <mergeCell ref="L16:L17"/>
    <mergeCell ref="M16:M17"/>
    <mergeCell ref="AX14:AX18"/>
    <mergeCell ref="AY14:AY18"/>
    <mergeCell ref="AE14:AE18"/>
    <mergeCell ref="AF14:AF18"/>
    <mergeCell ref="AG14:AG18"/>
    <mergeCell ref="P14:P18"/>
    <mergeCell ref="Q14:Q18"/>
    <mergeCell ref="T14:T18"/>
    <mergeCell ref="U14:U18"/>
    <mergeCell ref="Z14:Z18"/>
    <mergeCell ref="AA14:AA18"/>
    <mergeCell ref="R14:R15"/>
    <mergeCell ref="L14:L15"/>
    <mergeCell ref="M14:M15"/>
    <mergeCell ref="N14:N15"/>
    <mergeCell ref="N16:N17"/>
    <mergeCell ref="AT14:AT18"/>
    <mergeCell ref="AU14:AU18"/>
    <mergeCell ref="AV14:AV18"/>
    <mergeCell ref="C23:J23"/>
    <mergeCell ref="C24:J24"/>
    <mergeCell ref="W7:Y8"/>
    <mergeCell ref="W9:W10"/>
    <mergeCell ref="X9:X10"/>
    <mergeCell ref="Y9:Y10"/>
    <mergeCell ref="X16:X17"/>
    <mergeCell ref="S16:S17"/>
    <mergeCell ref="Y16:Y17"/>
    <mergeCell ref="A19:R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V86"/>
  <sheetViews>
    <sheetView showGridLines="0" zoomScale="55" zoomScaleNormal="55" zoomScalePageLayoutView="0" workbookViewId="0" topLeftCell="A1">
      <selection activeCell="A1" sqref="A1:BF4"/>
    </sheetView>
  </sheetViews>
  <sheetFormatPr defaultColWidth="11.421875" defaultRowHeight="15"/>
  <cols>
    <col min="1" max="1" width="12.00390625" style="456" customWidth="1"/>
    <col min="2" max="2" width="4.00390625" style="131" customWidth="1"/>
    <col min="3" max="3" width="16.7109375" style="131" customWidth="1"/>
    <col min="4" max="4" width="14.7109375" style="131" customWidth="1"/>
    <col min="5" max="5" width="10.00390625" style="131" customWidth="1"/>
    <col min="6" max="6" width="10.8515625" style="131" customWidth="1"/>
    <col min="7" max="7" width="14.421875" style="131" customWidth="1"/>
    <col min="8" max="8" width="8.57421875" style="131" customWidth="1"/>
    <col min="9" max="9" width="13.7109375" style="131" customWidth="1"/>
    <col min="10" max="10" width="11.57421875" style="131" customWidth="1"/>
    <col min="11" max="11" width="22.7109375" style="457" customWidth="1"/>
    <col min="12" max="12" width="22.7109375" style="352" customWidth="1"/>
    <col min="13" max="13" width="12.00390625" style="352" customWidth="1"/>
    <col min="14" max="14" width="12.00390625" style="458" customWidth="1"/>
    <col min="15" max="15" width="30.28125" style="352" customWidth="1"/>
    <col min="16" max="16" width="10.421875" style="459" customWidth="1"/>
    <col min="17" max="17" width="29.8515625" style="457" customWidth="1"/>
    <col min="18" max="18" width="12.7109375" style="460" customWidth="1"/>
    <col min="19" max="19" width="21.00390625" style="461" customWidth="1"/>
    <col min="20" max="20" width="31.421875" style="457" customWidth="1"/>
    <col min="21" max="21" width="44.140625" style="457" customWidth="1"/>
    <col min="22" max="22" width="30.57421875" style="457" customWidth="1"/>
    <col min="23" max="23" width="33.28125" style="462" customWidth="1"/>
    <col min="24" max="24" width="26.140625" style="463" customWidth="1"/>
    <col min="25" max="25" width="30.421875" style="463" customWidth="1"/>
    <col min="26" max="26" width="11.7109375" style="464" customWidth="1"/>
    <col min="27" max="27" width="16.8515625" style="465" customWidth="1"/>
    <col min="28" max="28" width="13.8515625" style="131" customWidth="1"/>
    <col min="29" max="29" width="13.8515625" style="125" customWidth="1"/>
    <col min="30" max="30" width="13.8515625" style="131" customWidth="1"/>
    <col min="31" max="31" width="13.8515625" style="125" customWidth="1"/>
    <col min="32" max="32" width="13.8515625" style="131" customWidth="1"/>
    <col min="33" max="33" width="13.8515625" style="125" customWidth="1"/>
    <col min="34" max="34" width="13.8515625" style="131" customWidth="1"/>
    <col min="35" max="35" width="13.8515625" style="125" customWidth="1"/>
    <col min="36" max="36" width="13.8515625" style="131" customWidth="1"/>
    <col min="37" max="37" width="13.8515625" style="125" customWidth="1"/>
    <col min="38" max="38" width="13.8515625" style="131" customWidth="1"/>
    <col min="39" max="39" width="13.8515625" style="125" customWidth="1"/>
    <col min="40" max="40" width="13.8515625" style="131" customWidth="1"/>
    <col min="41" max="41" width="13.8515625" style="125" customWidth="1"/>
    <col min="42" max="42" width="13.8515625" style="131" customWidth="1"/>
    <col min="43" max="43" width="13.8515625" style="125" customWidth="1"/>
    <col min="44" max="44" width="13.8515625" style="131" customWidth="1"/>
    <col min="45" max="45" width="13.8515625" style="125" customWidth="1"/>
    <col min="46" max="46" width="13.8515625" style="131" customWidth="1"/>
    <col min="47" max="47" width="13.8515625" style="125" customWidth="1"/>
    <col min="48" max="48" width="13.8515625" style="131" customWidth="1"/>
    <col min="49" max="49" width="13.8515625" style="125" customWidth="1"/>
    <col min="50" max="50" width="13.8515625" style="131" customWidth="1"/>
    <col min="51" max="51" width="13.8515625" style="125" customWidth="1"/>
    <col min="52" max="52" width="22.7109375" style="131" customWidth="1"/>
    <col min="53" max="54" width="22.7109375" style="466" customWidth="1"/>
    <col min="55" max="55" width="22.7109375" style="131" customWidth="1"/>
    <col min="56" max="56" width="17.8515625" style="131" customWidth="1"/>
    <col min="57" max="57" width="22.7109375" style="467" customWidth="1"/>
    <col min="58" max="58" width="22.7109375" style="468" customWidth="1"/>
    <col min="59" max="59" width="22.7109375" style="469" customWidth="1"/>
    <col min="60" max="60" width="22.7109375" style="470" customWidth="1"/>
    <col min="61" max="61" width="22.7109375" style="471" customWidth="1"/>
    <col min="62" max="62" width="28.7109375" style="472" customWidth="1"/>
    <col min="63" max="16384" width="11.421875" style="131" customWidth="1"/>
  </cols>
  <sheetData>
    <row r="1" spans="1:62" s="4" customFormat="1" ht="15" customHeight="1">
      <c r="A1" s="3047" t="s">
        <v>111</v>
      </c>
      <c r="B1" s="3047"/>
      <c r="C1" s="3047"/>
      <c r="D1" s="3047"/>
      <c r="E1" s="3047"/>
      <c r="F1" s="3047"/>
      <c r="G1" s="3047"/>
      <c r="H1" s="3047"/>
      <c r="I1" s="3047"/>
      <c r="J1" s="3047"/>
      <c r="K1" s="3047"/>
      <c r="L1" s="3047"/>
      <c r="M1" s="3047"/>
      <c r="N1" s="3047"/>
      <c r="O1" s="3047"/>
      <c r="P1" s="3047"/>
      <c r="Q1" s="3047"/>
      <c r="R1" s="3047"/>
      <c r="S1" s="3047"/>
      <c r="T1" s="3047"/>
      <c r="U1" s="3047"/>
      <c r="V1" s="3047"/>
      <c r="W1" s="3047"/>
      <c r="X1" s="3047"/>
      <c r="Y1" s="3047"/>
      <c r="Z1" s="3047"/>
      <c r="AA1" s="3047"/>
      <c r="AB1" s="3047"/>
      <c r="AC1" s="3047"/>
      <c r="AD1" s="3047"/>
      <c r="AE1" s="3047"/>
      <c r="AF1" s="3047"/>
      <c r="AG1" s="3047"/>
      <c r="AH1" s="3047"/>
      <c r="AI1" s="3047"/>
      <c r="AJ1" s="3047"/>
      <c r="AK1" s="3047"/>
      <c r="AL1" s="3047"/>
      <c r="AM1" s="3047"/>
      <c r="AN1" s="3047"/>
      <c r="AO1" s="3047"/>
      <c r="AP1" s="3047"/>
      <c r="AQ1" s="3047"/>
      <c r="AR1" s="3047"/>
      <c r="AS1" s="3047"/>
      <c r="AT1" s="3047"/>
      <c r="AU1" s="3047"/>
      <c r="AV1" s="3047"/>
      <c r="AW1" s="3047"/>
      <c r="AX1" s="3047"/>
      <c r="AY1" s="3047"/>
      <c r="AZ1" s="3047"/>
      <c r="BA1" s="3047"/>
      <c r="BB1" s="3047"/>
      <c r="BC1" s="3047"/>
      <c r="BD1" s="3047"/>
      <c r="BE1" s="3047"/>
      <c r="BF1" s="3047"/>
      <c r="BG1" s="2875"/>
      <c r="BI1" s="2633" t="s">
        <v>97</v>
      </c>
      <c r="BJ1" s="2633" t="s">
        <v>112</v>
      </c>
    </row>
    <row r="2" spans="1:62" s="4" customFormat="1" ht="15">
      <c r="A2" s="3047"/>
      <c r="B2" s="3047"/>
      <c r="C2" s="3047"/>
      <c r="D2" s="3047"/>
      <c r="E2" s="3047"/>
      <c r="F2" s="3047"/>
      <c r="G2" s="3047"/>
      <c r="H2" s="3047"/>
      <c r="I2" s="3047"/>
      <c r="J2" s="3047"/>
      <c r="K2" s="3047"/>
      <c r="L2" s="3047"/>
      <c r="M2" s="3047"/>
      <c r="N2" s="3047"/>
      <c r="O2" s="3047"/>
      <c r="P2" s="3047"/>
      <c r="Q2" s="3047"/>
      <c r="R2" s="3047"/>
      <c r="S2" s="3047"/>
      <c r="T2" s="3047"/>
      <c r="U2" s="3047"/>
      <c r="V2" s="3047"/>
      <c r="W2" s="3047"/>
      <c r="X2" s="3047"/>
      <c r="Y2" s="3047"/>
      <c r="Z2" s="3047"/>
      <c r="AA2" s="3047"/>
      <c r="AB2" s="3047"/>
      <c r="AC2" s="3047"/>
      <c r="AD2" s="3047"/>
      <c r="AE2" s="3047"/>
      <c r="AF2" s="3047"/>
      <c r="AG2" s="3047"/>
      <c r="AH2" s="3047"/>
      <c r="AI2" s="3047"/>
      <c r="AJ2" s="3047"/>
      <c r="AK2" s="3047"/>
      <c r="AL2" s="3047"/>
      <c r="AM2" s="3047"/>
      <c r="AN2" s="3047"/>
      <c r="AO2" s="3047"/>
      <c r="AP2" s="3047"/>
      <c r="AQ2" s="3047"/>
      <c r="AR2" s="3047"/>
      <c r="AS2" s="3047"/>
      <c r="AT2" s="3047"/>
      <c r="AU2" s="3047"/>
      <c r="AV2" s="3047"/>
      <c r="AW2" s="3047"/>
      <c r="AX2" s="3047"/>
      <c r="AY2" s="3047"/>
      <c r="AZ2" s="3047"/>
      <c r="BA2" s="3047"/>
      <c r="BB2" s="3047"/>
      <c r="BC2" s="3047"/>
      <c r="BD2" s="3047"/>
      <c r="BE2" s="3047"/>
      <c r="BF2" s="3047"/>
      <c r="BG2" s="2875"/>
      <c r="BI2" s="2634" t="s">
        <v>98</v>
      </c>
      <c r="BJ2" s="2635">
        <v>5</v>
      </c>
    </row>
    <row r="3" spans="1:62" s="4" customFormat="1" ht="15">
      <c r="A3" s="3047"/>
      <c r="B3" s="3047"/>
      <c r="C3" s="3047"/>
      <c r="D3" s="3047"/>
      <c r="E3" s="3047"/>
      <c r="F3" s="3047"/>
      <c r="G3" s="3047"/>
      <c r="H3" s="3047"/>
      <c r="I3" s="3047"/>
      <c r="J3" s="3047"/>
      <c r="K3" s="3047"/>
      <c r="L3" s="3047"/>
      <c r="M3" s="3047"/>
      <c r="N3" s="3047"/>
      <c r="O3" s="3047"/>
      <c r="P3" s="3047"/>
      <c r="Q3" s="3047"/>
      <c r="R3" s="3047"/>
      <c r="S3" s="3047"/>
      <c r="T3" s="3047"/>
      <c r="U3" s="3047"/>
      <c r="V3" s="3047"/>
      <c r="W3" s="3047"/>
      <c r="X3" s="3047"/>
      <c r="Y3" s="3047"/>
      <c r="Z3" s="3047"/>
      <c r="AA3" s="3047"/>
      <c r="AB3" s="3047"/>
      <c r="AC3" s="3047"/>
      <c r="AD3" s="3047"/>
      <c r="AE3" s="3047"/>
      <c r="AF3" s="3047"/>
      <c r="AG3" s="3047"/>
      <c r="AH3" s="3047"/>
      <c r="AI3" s="3047"/>
      <c r="AJ3" s="3047"/>
      <c r="AK3" s="3047"/>
      <c r="AL3" s="3047"/>
      <c r="AM3" s="3047"/>
      <c r="AN3" s="3047"/>
      <c r="AO3" s="3047"/>
      <c r="AP3" s="3047"/>
      <c r="AQ3" s="3047"/>
      <c r="AR3" s="3047"/>
      <c r="AS3" s="3047"/>
      <c r="AT3" s="3047"/>
      <c r="AU3" s="3047"/>
      <c r="AV3" s="3047"/>
      <c r="AW3" s="3047"/>
      <c r="AX3" s="3047"/>
      <c r="AY3" s="3047"/>
      <c r="AZ3" s="3047"/>
      <c r="BA3" s="3047"/>
      <c r="BB3" s="3047"/>
      <c r="BC3" s="3047"/>
      <c r="BD3" s="3047"/>
      <c r="BE3" s="3047"/>
      <c r="BF3" s="3047"/>
      <c r="BG3" s="2875"/>
      <c r="BI3" s="2633" t="s">
        <v>99</v>
      </c>
      <c r="BJ3" s="2636" t="s">
        <v>2156</v>
      </c>
    </row>
    <row r="4" spans="1:62" s="24" customFormat="1" ht="21" customHeight="1">
      <c r="A4" s="3048"/>
      <c r="B4" s="3048"/>
      <c r="C4" s="3048"/>
      <c r="D4" s="3048"/>
      <c r="E4" s="3048"/>
      <c r="F4" s="3048"/>
      <c r="G4" s="3048"/>
      <c r="H4" s="3048"/>
      <c r="I4" s="3048"/>
      <c r="J4" s="3048"/>
      <c r="K4" s="3048"/>
      <c r="L4" s="3048"/>
      <c r="M4" s="3048"/>
      <c r="N4" s="3048"/>
      <c r="O4" s="3048"/>
      <c r="P4" s="3048"/>
      <c r="Q4" s="3048"/>
      <c r="R4" s="3048"/>
      <c r="S4" s="3048"/>
      <c r="T4" s="3048"/>
      <c r="U4" s="3048"/>
      <c r="V4" s="3048"/>
      <c r="W4" s="3048"/>
      <c r="X4" s="3048"/>
      <c r="Y4" s="3048"/>
      <c r="Z4" s="3048"/>
      <c r="AA4" s="3048"/>
      <c r="AB4" s="3048"/>
      <c r="AC4" s="3048"/>
      <c r="AD4" s="3048"/>
      <c r="AE4" s="3048"/>
      <c r="AF4" s="3048"/>
      <c r="AG4" s="3048"/>
      <c r="AH4" s="3048"/>
      <c r="AI4" s="3048"/>
      <c r="AJ4" s="3048"/>
      <c r="AK4" s="3048"/>
      <c r="AL4" s="3048"/>
      <c r="AM4" s="3048"/>
      <c r="AN4" s="3048"/>
      <c r="AO4" s="3048"/>
      <c r="AP4" s="3048"/>
      <c r="AQ4" s="3048"/>
      <c r="AR4" s="3048"/>
      <c r="AS4" s="3048"/>
      <c r="AT4" s="3048"/>
      <c r="AU4" s="3048"/>
      <c r="AV4" s="3048"/>
      <c r="AW4" s="3048"/>
      <c r="AX4" s="3048"/>
      <c r="AY4" s="3048"/>
      <c r="AZ4" s="3048"/>
      <c r="BA4" s="3048"/>
      <c r="BB4" s="3048"/>
      <c r="BC4" s="3048"/>
      <c r="BD4" s="3048"/>
      <c r="BE4" s="3048"/>
      <c r="BF4" s="3048"/>
      <c r="BG4" s="2876"/>
      <c r="BI4" s="842" t="s">
        <v>100</v>
      </c>
      <c r="BJ4" s="2637" t="s">
        <v>113</v>
      </c>
    </row>
    <row r="5" spans="1:62" s="4" customFormat="1" ht="15">
      <c r="A5" s="3049" t="s">
        <v>0</v>
      </c>
      <c r="B5" s="3049"/>
      <c r="C5" s="3049"/>
      <c r="D5" s="3049"/>
      <c r="E5" s="3049"/>
      <c r="F5" s="3049"/>
      <c r="G5" s="3049"/>
      <c r="H5" s="3049"/>
      <c r="I5" s="3049"/>
      <c r="J5" s="3049"/>
      <c r="K5" s="3049"/>
      <c r="L5" s="3049"/>
      <c r="M5" s="3049"/>
      <c r="N5" s="2877"/>
      <c r="O5" s="2877"/>
      <c r="P5" s="2877"/>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c r="BH5" s="3049"/>
      <c r="BI5" s="3049"/>
      <c r="BJ5" s="3049"/>
    </row>
    <row r="6" spans="1:62" s="4" customFormat="1" ht="14.25" customHeight="1" thickBot="1">
      <c r="A6" s="3049"/>
      <c r="B6" s="3049"/>
      <c r="C6" s="3049"/>
      <c r="D6" s="3049"/>
      <c r="E6" s="3049"/>
      <c r="F6" s="3049"/>
      <c r="G6" s="3049"/>
      <c r="H6" s="3049"/>
      <c r="I6" s="3049"/>
      <c r="J6" s="3049"/>
      <c r="K6" s="3049"/>
      <c r="L6" s="3049"/>
      <c r="M6" s="3049"/>
      <c r="N6" s="2877"/>
      <c r="O6" s="2877"/>
      <c r="P6" s="2878"/>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2879"/>
      <c r="BA6" s="2879"/>
      <c r="BB6" s="2879"/>
      <c r="BC6" s="2879"/>
      <c r="BD6" s="2879"/>
      <c r="BE6" s="2879"/>
      <c r="BF6" s="3050"/>
      <c r="BG6" s="3051"/>
      <c r="BH6" s="3051"/>
      <c r="BI6" s="3051"/>
      <c r="BJ6" s="3052"/>
    </row>
    <row r="7" spans="1:62" ht="36" customHeight="1">
      <c r="A7" s="3067" t="s">
        <v>3</v>
      </c>
      <c r="B7" s="3065" t="s">
        <v>4</v>
      </c>
      <c r="C7" s="3066"/>
      <c r="D7" s="3063" t="s">
        <v>3</v>
      </c>
      <c r="E7" s="3065" t="s">
        <v>5</v>
      </c>
      <c r="F7" s="3066"/>
      <c r="G7" s="3063" t="s">
        <v>3</v>
      </c>
      <c r="H7" s="3065" t="s">
        <v>6</v>
      </c>
      <c r="I7" s="3066"/>
      <c r="J7" s="3063" t="s">
        <v>3</v>
      </c>
      <c r="K7" s="3063" t="s">
        <v>7</v>
      </c>
      <c r="L7" s="3063" t="s">
        <v>8</v>
      </c>
      <c r="M7" s="3065" t="s">
        <v>9</v>
      </c>
      <c r="N7" s="3066"/>
      <c r="O7" s="3063" t="s">
        <v>10</v>
      </c>
      <c r="P7" s="3063" t="s">
        <v>37</v>
      </c>
      <c r="Q7" s="3063" t="s">
        <v>1</v>
      </c>
      <c r="R7" s="3073" t="s">
        <v>11</v>
      </c>
      <c r="S7" s="3075" t="s">
        <v>12</v>
      </c>
      <c r="T7" s="3063" t="s">
        <v>13</v>
      </c>
      <c r="U7" s="3063" t="s">
        <v>14</v>
      </c>
      <c r="V7" s="3063" t="s">
        <v>15</v>
      </c>
      <c r="W7" s="3083" t="s">
        <v>12</v>
      </c>
      <c r="X7" s="3084"/>
      <c r="Y7" s="3085"/>
      <c r="Z7" s="3086" t="s">
        <v>3</v>
      </c>
      <c r="AA7" s="3063" t="s">
        <v>16</v>
      </c>
      <c r="AB7" s="3077" t="s">
        <v>17</v>
      </c>
      <c r="AC7" s="3078"/>
      <c r="AD7" s="3078"/>
      <c r="AE7" s="3078"/>
      <c r="AF7" s="3078"/>
      <c r="AG7" s="3078"/>
      <c r="AH7" s="3078"/>
      <c r="AI7" s="3078"/>
      <c r="AJ7" s="3078"/>
      <c r="AK7" s="3078"/>
      <c r="AL7" s="3078"/>
      <c r="AM7" s="3079"/>
      <c r="AN7" s="3077" t="s">
        <v>18</v>
      </c>
      <c r="AO7" s="3078"/>
      <c r="AP7" s="3078"/>
      <c r="AQ7" s="3078"/>
      <c r="AR7" s="3078"/>
      <c r="AS7" s="3078"/>
      <c r="AT7" s="3078"/>
      <c r="AU7" s="3078"/>
      <c r="AV7" s="3078"/>
      <c r="AW7" s="3078"/>
      <c r="AX7" s="3078"/>
      <c r="AY7" s="3079"/>
      <c r="AZ7" s="3080" t="s">
        <v>119</v>
      </c>
      <c r="BA7" s="3081"/>
      <c r="BB7" s="3081"/>
      <c r="BC7" s="3081"/>
      <c r="BD7" s="3081"/>
      <c r="BE7" s="3082"/>
      <c r="BF7" s="3071" t="s">
        <v>19</v>
      </c>
      <c r="BG7" s="3072"/>
      <c r="BH7" s="3071" t="s">
        <v>20</v>
      </c>
      <c r="BI7" s="3072"/>
      <c r="BJ7" s="2082" t="s">
        <v>21</v>
      </c>
    </row>
    <row r="8" spans="1:62" ht="28.5" customHeight="1">
      <c r="A8" s="3068"/>
      <c r="B8" s="3069"/>
      <c r="C8" s="3070"/>
      <c r="D8" s="3064"/>
      <c r="E8" s="3069"/>
      <c r="F8" s="3070"/>
      <c r="G8" s="3064"/>
      <c r="H8" s="3069"/>
      <c r="I8" s="3070"/>
      <c r="J8" s="3064"/>
      <c r="K8" s="3064"/>
      <c r="L8" s="3064"/>
      <c r="M8" s="318" t="s">
        <v>109</v>
      </c>
      <c r="N8" s="87" t="s">
        <v>107</v>
      </c>
      <c r="O8" s="3064"/>
      <c r="P8" s="3064"/>
      <c r="Q8" s="3064"/>
      <c r="R8" s="3074"/>
      <c r="S8" s="3076"/>
      <c r="T8" s="3064"/>
      <c r="U8" s="3064"/>
      <c r="V8" s="3064"/>
      <c r="W8" s="318" t="s">
        <v>105</v>
      </c>
      <c r="X8" s="87" t="s">
        <v>115</v>
      </c>
      <c r="Y8" s="87" t="s">
        <v>114</v>
      </c>
      <c r="Z8" s="3087"/>
      <c r="AA8" s="3064"/>
      <c r="AB8" s="318" t="s">
        <v>109</v>
      </c>
      <c r="AC8" s="87" t="s">
        <v>107</v>
      </c>
      <c r="AD8" s="318" t="s">
        <v>109</v>
      </c>
      <c r="AE8" s="87" t="s">
        <v>107</v>
      </c>
      <c r="AF8" s="318" t="s">
        <v>109</v>
      </c>
      <c r="AG8" s="87" t="s">
        <v>107</v>
      </c>
      <c r="AH8" s="318" t="s">
        <v>109</v>
      </c>
      <c r="AI8" s="87" t="s">
        <v>107</v>
      </c>
      <c r="AJ8" s="318" t="s">
        <v>109</v>
      </c>
      <c r="AK8" s="87" t="s">
        <v>107</v>
      </c>
      <c r="AL8" s="318" t="s">
        <v>109</v>
      </c>
      <c r="AM8" s="87" t="s">
        <v>107</v>
      </c>
      <c r="AN8" s="318" t="s">
        <v>109</v>
      </c>
      <c r="AO8" s="87" t="s">
        <v>107</v>
      </c>
      <c r="AP8" s="318" t="s">
        <v>109</v>
      </c>
      <c r="AQ8" s="87" t="s">
        <v>107</v>
      </c>
      <c r="AR8" s="318" t="s">
        <v>109</v>
      </c>
      <c r="AS8" s="87" t="s">
        <v>107</v>
      </c>
      <c r="AT8" s="318" t="s">
        <v>109</v>
      </c>
      <c r="AU8" s="87" t="s">
        <v>107</v>
      </c>
      <c r="AV8" s="318" t="s">
        <v>109</v>
      </c>
      <c r="AW8" s="87" t="s">
        <v>107</v>
      </c>
      <c r="AX8" s="318" t="s">
        <v>109</v>
      </c>
      <c r="AY8" s="87" t="s">
        <v>107</v>
      </c>
      <c r="AZ8" s="2084"/>
      <c r="BA8" s="2085"/>
      <c r="BB8" s="2085"/>
      <c r="BC8" s="2086"/>
      <c r="BD8" s="2084"/>
      <c r="BE8" s="2083"/>
      <c r="BF8" s="319" t="s">
        <v>106</v>
      </c>
      <c r="BG8" s="320" t="s">
        <v>107</v>
      </c>
      <c r="BH8" s="319" t="s">
        <v>106</v>
      </c>
      <c r="BI8" s="321" t="s">
        <v>107</v>
      </c>
      <c r="BJ8" s="322"/>
    </row>
    <row r="9" spans="1:62" s="337" customFormat="1" ht="29.25" customHeight="1">
      <c r="A9" s="323">
        <v>5</v>
      </c>
      <c r="B9" s="324" t="s">
        <v>34</v>
      </c>
      <c r="C9" s="324"/>
      <c r="D9" s="324"/>
      <c r="E9" s="324"/>
      <c r="F9" s="324"/>
      <c r="G9" s="324"/>
      <c r="H9" s="324"/>
      <c r="I9" s="324"/>
      <c r="J9" s="324"/>
      <c r="K9" s="325"/>
      <c r="L9" s="324"/>
      <c r="M9" s="324"/>
      <c r="N9" s="326"/>
      <c r="O9" s="324"/>
      <c r="P9" s="327"/>
      <c r="Q9" s="325"/>
      <c r="R9" s="328"/>
      <c r="S9" s="329"/>
      <c r="T9" s="325"/>
      <c r="U9" s="325"/>
      <c r="V9" s="325"/>
      <c r="W9" s="330"/>
      <c r="X9" s="331"/>
      <c r="Y9" s="331"/>
      <c r="Z9" s="332"/>
      <c r="AA9" s="327"/>
      <c r="AB9" s="324"/>
      <c r="AC9" s="326"/>
      <c r="AD9" s="324"/>
      <c r="AE9" s="326"/>
      <c r="AF9" s="324"/>
      <c r="AG9" s="326"/>
      <c r="AH9" s="324"/>
      <c r="AI9" s="326"/>
      <c r="AJ9" s="324"/>
      <c r="AK9" s="326"/>
      <c r="AL9" s="324"/>
      <c r="AM9" s="326"/>
      <c r="AN9" s="324"/>
      <c r="AO9" s="326"/>
      <c r="AP9" s="324"/>
      <c r="AQ9" s="326"/>
      <c r="AR9" s="324"/>
      <c r="AS9" s="326"/>
      <c r="AT9" s="324"/>
      <c r="AU9" s="326"/>
      <c r="AV9" s="324"/>
      <c r="AW9" s="326"/>
      <c r="AX9" s="324"/>
      <c r="AY9" s="326"/>
      <c r="AZ9" s="324"/>
      <c r="BA9" s="333"/>
      <c r="BB9" s="333"/>
      <c r="BC9" s="324"/>
      <c r="BD9" s="324"/>
      <c r="BE9" s="327"/>
      <c r="BF9" s="334"/>
      <c r="BG9" s="335"/>
      <c r="BH9" s="334"/>
      <c r="BI9" s="335"/>
      <c r="BJ9" s="336"/>
    </row>
    <row r="10" spans="1:62" s="352" customFormat="1" ht="26.25" customHeight="1">
      <c r="A10" s="1664"/>
      <c r="B10" s="1663"/>
      <c r="C10" s="1665"/>
      <c r="D10" s="1688">
        <v>26</v>
      </c>
      <c r="E10" s="1689" t="s">
        <v>35</v>
      </c>
      <c r="F10" s="1689"/>
      <c r="G10" s="339"/>
      <c r="H10" s="339"/>
      <c r="I10" s="339"/>
      <c r="J10" s="339"/>
      <c r="K10" s="340"/>
      <c r="L10" s="339"/>
      <c r="M10" s="339"/>
      <c r="N10" s="341"/>
      <c r="O10" s="339"/>
      <c r="P10" s="342"/>
      <c r="Q10" s="340"/>
      <c r="R10" s="343"/>
      <c r="S10" s="344"/>
      <c r="T10" s="340"/>
      <c r="U10" s="340"/>
      <c r="V10" s="340"/>
      <c r="W10" s="345"/>
      <c r="X10" s="346"/>
      <c r="Y10" s="346"/>
      <c r="Z10" s="347"/>
      <c r="AA10" s="342"/>
      <c r="AB10" s="339"/>
      <c r="AC10" s="341"/>
      <c r="AD10" s="339"/>
      <c r="AE10" s="341"/>
      <c r="AF10" s="339"/>
      <c r="AG10" s="341"/>
      <c r="AH10" s="339"/>
      <c r="AI10" s="341"/>
      <c r="AJ10" s="339"/>
      <c r="AK10" s="341"/>
      <c r="AL10" s="339"/>
      <c r="AM10" s="341"/>
      <c r="AN10" s="339"/>
      <c r="AO10" s="341"/>
      <c r="AP10" s="339"/>
      <c r="AQ10" s="341"/>
      <c r="AR10" s="339"/>
      <c r="AS10" s="341"/>
      <c r="AT10" s="339"/>
      <c r="AU10" s="341"/>
      <c r="AV10" s="339"/>
      <c r="AW10" s="341"/>
      <c r="AX10" s="339"/>
      <c r="AY10" s="341"/>
      <c r="AZ10" s="339"/>
      <c r="BA10" s="348"/>
      <c r="BB10" s="348"/>
      <c r="BC10" s="339"/>
      <c r="BD10" s="339"/>
      <c r="BE10" s="342"/>
      <c r="BF10" s="349"/>
      <c r="BG10" s="350"/>
      <c r="BH10" s="349"/>
      <c r="BI10" s="350"/>
      <c r="BJ10" s="351"/>
    </row>
    <row r="11" spans="1:62" s="352" customFormat="1" ht="28.5" customHeight="1">
      <c r="A11" s="1666"/>
      <c r="B11" s="338"/>
      <c r="C11" s="338"/>
      <c r="D11" s="353"/>
      <c r="E11" s="1663"/>
      <c r="F11" s="1665"/>
      <c r="G11" s="1687">
        <v>83</v>
      </c>
      <c r="H11" s="1671" t="s">
        <v>36</v>
      </c>
      <c r="I11" s="1671"/>
      <c r="J11" s="1671"/>
      <c r="K11" s="1672"/>
      <c r="L11" s="1671"/>
      <c r="M11" s="1671"/>
      <c r="N11" s="1673"/>
      <c r="O11" s="1671"/>
      <c r="P11" s="1674"/>
      <c r="Q11" s="1672"/>
      <c r="R11" s="1675"/>
      <c r="S11" s="1676"/>
      <c r="T11" s="1672"/>
      <c r="U11" s="1672"/>
      <c r="V11" s="1672"/>
      <c r="W11" s="1677"/>
      <c r="X11" s="1678"/>
      <c r="Y11" s="1678"/>
      <c r="Z11" s="1679"/>
      <c r="AA11" s="1674"/>
      <c r="AB11" s="1671"/>
      <c r="AC11" s="1673"/>
      <c r="AD11" s="1671"/>
      <c r="AE11" s="1673"/>
      <c r="AF11" s="1671"/>
      <c r="AG11" s="1673"/>
      <c r="AH11" s="1671"/>
      <c r="AI11" s="1673"/>
      <c r="AJ11" s="1671"/>
      <c r="AK11" s="1673"/>
      <c r="AL11" s="1671"/>
      <c r="AM11" s="1673"/>
      <c r="AN11" s="1671"/>
      <c r="AO11" s="1673"/>
      <c r="AP11" s="1671"/>
      <c r="AQ11" s="1673"/>
      <c r="AR11" s="1671"/>
      <c r="AS11" s="1673"/>
      <c r="AT11" s="1671"/>
      <c r="AU11" s="1673"/>
      <c r="AV11" s="1671"/>
      <c r="AW11" s="1673"/>
      <c r="AX11" s="1671"/>
      <c r="AY11" s="1673"/>
      <c r="AZ11" s="1671"/>
      <c r="BA11" s="1680"/>
      <c r="BB11" s="1680"/>
      <c r="BC11" s="1671"/>
      <c r="BD11" s="1674"/>
      <c r="BE11" s="1674"/>
      <c r="BF11" s="1681"/>
      <c r="BG11" s="1682"/>
      <c r="BH11" s="1681"/>
      <c r="BI11" s="1682"/>
      <c r="BJ11" s="1683"/>
    </row>
    <row r="12" spans="1:62" s="352" customFormat="1" ht="165.75" customHeight="1">
      <c r="A12" s="1667"/>
      <c r="B12" s="1145"/>
      <c r="C12" s="1145"/>
      <c r="D12" s="364"/>
      <c r="E12" s="1145"/>
      <c r="F12" s="1254"/>
      <c r="G12" s="1669"/>
      <c r="H12" s="1669"/>
      <c r="I12" s="1669"/>
      <c r="J12" s="2949">
        <v>246</v>
      </c>
      <c r="K12" s="3091" t="s">
        <v>226</v>
      </c>
      <c r="L12" s="2949" t="s">
        <v>37</v>
      </c>
      <c r="M12" s="2949">
        <v>13</v>
      </c>
      <c r="N12" s="3126">
        <v>13</v>
      </c>
      <c r="O12" s="2949" t="s">
        <v>227</v>
      </c>
      <c r="P12" s="2949">
        <v>6</v>
      </c>
      <c r="Q12" s="3091" t="s">
        <v>228</v>
      </c>
      <c r="R12" s="2892">
        <v>1</v>
      </c>
      <c r="S12" s="2889">
        <v>30000000</v>
      </c>
      <c r="T12" s="3091" t="s">
        <v>229</v>
      </c>
      <c r="U12" s="3097" t="s">
        <v>230</v>
      </c>
      <c r="V12" s="1686" t="s">
        <v>231</v>
      </c>
      <c r="W12" s="1176">
        <v>1800000</v>
      </c>
      <c r="X12" s="1177">
        <v>1500000</v>
      </c>
      <c r="Y12" s="1177">
        <v>1500000</v>
      </c>
      <c r="Z12" s="3100">
        <v>20</v>
      </c>
      <c r="AA12" s="2949" t="s">
        <v>232</v>
      </c>
      <c r="AB12" s="3094">
        <v>64149</v>
      </c>
      <c r="AC12" s="3088">
        <f>+AB12/($W$12+$W$13+$W$14+$W$15+$W$16+$W$17+$W$18+$W$19+$W$20+$W$21)*($Y$12+$Y$13+$Y$16+$Y$17)</f>
        <v>15160.547</v>
      </c>
      <c r="AD12" s="3094">
        <v>72224</v>
      </c>
      <c r="AE12" s="3088">
        <f>+AD12/($W$12+$W$13+$W$14+$W$15+$W$16+$W$17+$W$18+$W$19+$W$20+$W$21)*($Y$12+$Y$13+$Y$16+$Y$17)</f>
        <v>17068.93866666667</v>
      </c>
      <c r="AF12" s="3094">
        <v>27477</v>
      </c>
      <c r="AG12" s="3088">
        <f>+AF12/($W$12+$W$13+$W$14+$W$15+$W$16+$W$17+$W$18+$W$19+$W$20+$W$21)*($Y$12+$Y$13+$Y$16+$Y$17)</f>
        <v>6493.731</v>
      </c>
      <c r="AH12" s="3094">
        <v>86843</v>
      </c>
      <c r="AI12" s="3088">
        <f>+AH12/($W$12+$W$13+$W$14+$W$15+$W$16+$W$17+$W$18+$W$19+$W$20+$W$21)*($Y$12+$Y$13+$Y$16+$Y$17)</f>
        <v>20523.895666666667</v>
      </c>
      <c r="AJ12" s="3094">
        <v>236429</v>
      </c>
      <c r="AK12" s="3088">
        <f>+AJ12/($W$12+$W$13+$W$14+$W$15+$W$16+$W$17+$W$18+$W$19+$W$20+$W$21)*($Y$12+$Y$13+$Y$16+$Y$17)</f>
        <v>55876.05366666666</v>
      </c>
      <c r="AL12" s="3094">
        <v>81384</v>
      </c>
      <c r="AM12" s="3088">
        <f>+AL12/($W$12+$W$13+$W$14+$W$15+$W$16+$W$17+$W$18+$W$19+$W$20+$W$21)*($Y$12+$Y$13+$Y$16+$Y$17)</f>
        <v>19233.752</v>
      </c>
      <c r="AN12" s="3100">
        <v>12718</v>
      </c>
      <c r="AO12" s="3088">
        <f>+AN12/($W$12+$W$13+$W$14+$W$15+$W$16+$W$17+$W$18+$W$19+$W$20+$W$21)*($Y$12+$Y$13+$Y$16+$Y$17)</f>
        <v>3005.6873333333333</v>
      </c>
      <c r="AP12" s="3100">
        <v>2145</v>
      </c>
      <c r="AQ12" s="3088">
        <f>+AP12/($W$12+$W$13+$W$14+$W$15+$W$16+$W$17+$W$18+$W$19+$W$20+$W$21)*($Y$12+$Y$13+$Y$16+$Y$17)</f>
        <v>506.935</v>
      </c>
      <c r="AR12" s="3100">
        <v>413</v>
      </c>
      <c r="AS12" s="3088">
        <f>+AR12/($W$12+$W$13+$W$14+$W$15+$W$16+$W$17+$W$18+$W$19+$W$20+$W$21)*($Y$12+$Y$13+$Y$16+$Y$17)</f>
        <v>97.60566666666666</v>
      </c>
      <c r="AT12" s="3100">
        <v>78</v>
      </c>
      <c r="AU12" s="3088">
        <f>+AT12/($W$12+$W$13+$W$14+$W$15+$W$16+$W$17+$W$18+$W$19+$W$20+$W$21)*($Y$12+$Y$13+$Y$16+$Y$17)</f>
        <v>18.434</v>
      </c>
      <c r="AV12" s="3100">
        <v>16897</v>
      </c>
      <c r="AW12" s="3088">
        <f>+AV12/($W$12+$W$13+$W$14+$W$15+$W$16+$W$17+$W$18+$W$19+$W$20+$W$21)*($Y$12+$Y$13+$Y$16+$Y$17)</f>
        <v>3993.3243333333335</v>
      </c>
      <c r="AX12" s="3094">
        <v>81384</v>
      </c>
      <c r="AY12" s="3088">
        <f>+AX12/($W$12+$W$13+$W$14+$W$15+$W$16+$W$17+$W$18+$W$19+$W$20+$W$21)*($Y$12+$Y$13+$Y$16+$Y$17)</f>
        <v>19233.752</v>
      </c>
      <c r="AZ12" s="3094">
        <v>2</v>
      </c>
      <c r="BA12" s="3114">
        <v>20000000</v>
      </c>
      <c r="BB12" s="3114">
        <v>20000000</v>
      </c>
      <c r="BC12" s="3117">
        <f>BB12/BA12</f>
        <v>1</v>
      </c>
      <c r="BD12" s="3100" t="s">
        <v>233</v>
      </c>
      <c r="BE12" s="3100" t="s">
        <v>234</v>
      </c>
      <c r="BF12" s="3106">
        <v>42597</v>
      </c>
      <c r="BG12" s="3103">
        <v>42601</v>
      </c>
      <c r="BH12" s="3106">
        <v>42719</v>
      </c>
      <c r="BI12" s="3103">
        <v>42722</v>
      </c>
      <c r="BJ12" s="3109" t="s">
        <v>235</v>
      </c>
    </row>
    <row r="13" spans="1:62" s="352" customFormat="1" ht="71.25" customHeight="1">
      <c r="A13" s="1667"/>
      <c r="B13" s="1145"/>
      <c r="C13" s="1145"/>
      <c r="D13" s="364"/>
      <c r="E13" s="1145"/>
      <c r="F13" s="1254"/>
      <c r="G13" s="1145"/>
      <c r="H13" s="1145"/>
      <c r="I13" s="1145"/>
      <c r="J13" s="2950"/>
      <c r="K13" s="3092"/>
      <c r="L13" s="2950"/>
      <c r="M13" s="2950"/>
      <c r="N13" s="3127"/>
      <c r="O13" s="2950"/>
      <c r="P13" s="2950"/>
      <c r="Q13" s="3092"/>
      <c r="R13" s="2893"/>
      <c r="S13" s="2890"/>
      <c r="T13" s="3092"/>
      <c r="U13" s="3098"/>
      <c r="V13" s="365" t="s">
        <v>236</v>
      </c>
      <c r="W13" s="1118">
        <v>3750000</v>
      </c>
      <c r="X13" s="1125">
        <v>3000000</v>
      </c>
      <c r="Y13" s="1125">
        <f>X13</f>
        <v>3000000</v>
      </c>
      <c r="Z13" s="3101"/>
      <c r="AA13" s="2950"/>
      <c r="AB13" s="3095"/>
      <c r="AC13" s="3089"/>
      <c r="AD13" s="3095"/>
      <c r="AE13" s="3089"/>
      <c r="AF13" s="3095"/>
      <c r="AG13" s="3089"/>
      <c r="AH13" s="3095"/>
      <c r="AI13" s="3089"/>
      <c r="AJ13" s="3095"/>
      <c r="AK13" s="3089"/>
      <c r="AL13" s="3095"/>
      <c r="AM13" s="3089"/>
      <c r="AN13" s="3101"/>
      <c r="AO13" s="3089"/>
      <c r="AP13" s="3101"/>
      <c r="AQ13" s="3089"/>
      <c r="AR13" s="3101"/>
      <c r="AS13" s="3089"/>
      <c r="AT13" s="3101"/>
      <c r="AU13" s="3089"/>
      <c r="AV13" s="3101"/>
      <c r="AW13" s="3089"/>
      <c r="AX13" s="3095"/>
      <c r="AY13" s="3089"/>
      <c r="AZ13" s="3095"/>
      <c r="BA13" s="3115"/>
      <c r="BB13" s="3115"/>
      <c r="BC13" s="3118"/>
      <c r="BD13" s="3101"/>
      <c r="BE13" s="3101"/>
      <c r="BF13" s="3107"/>
      <c r="BG13" s="3104"/>
      <c r="BH13" s="3107"/>
      <c r="BI13" s="3104"/>
      <c r="BJ13" s="3110"/>
    </row>
    <row r="14" spans="1:62" s="352" customFormat="1" ht="84" customHeight="1">
      <c r="A14" s="1667"/>
      <c r="B14" s="1145"/>
      <c r="C14" s="1145"/>
      <c r="D14" s="364"/>
      <c r="E14" s="1145"/>
      <c r="F14" s="1254"/>
      <c r="G14" s="1145"/>
      <c r="H14" s="1145"/>
      <c r="I14" s="1145"/>
      <c r="J14" s="2950"/>
      <c r="K14" s="3092"/>
      <c r="L14" s="2950"/>
      <c r="M14" s="2950"/>
      <c r="N14" s="3127"/>
      <c r="O14" s="2950"/>
      <c r="P14" s="2950"/>
      <c r="Q14" s="3092"/>
      <c r="R14" s="2893"/>
      <c r="S14" s="2890"/>
      <c r="T14" s="3092"/>
      <c r="U14" s="3098"/>
      <c r="V14" s="365" t="s">
        <v>237</v>
      </c>
      <c r="W14" s="1118">
        <v>5200000</v>
      </c>
      <c r="X14" s="1125">
        <v>4300000</v>
      </c>
      <c r="Y14" s="1125">
        <f>X14</f>
        <v>4300000</v>
      </c>
      <c r="Z14" s="3101"/>
      <c r="AA14" s="2950"/>
      <c r="AB14" s="3095"/>
      <c r="AC14" s="3089"/>
      <c r="AD14" s="3095"/>
      <c r="AE14" s="3089"/>
      <c r="AF14" s="3095"/>
      <c r="AG14" s="3089"/>
      <c r="AH14" s="3095"/>
      <c r="AI14" s="3089"/>
      <c r="AJ14" s="3095"/>
      <c r="AK14" s="3089"/>
      <c r="AL14" s="3095"/>
      <c r="AM14" s="3089"/>
      <c r="AN14" s="3101"/>
      <c r="AO14" s="3089"/>
      <c r="AP14" s="3101"/>
      <c r="AQ14" s="3089"/>
      <c r="AR14" s="3101"/>
      <c r="AS14" s="3089"/>
      <c r="AT14" s="3101"/>
      <c r="AU14" s="3089"/>
      <c r="AV14" s="3101"/>
      <c r="AW14" s="3089"/>
      <c r="AX14" s="3095"/>
      <c r="AY14" s="3089"/>
      <c r="AZ14" s="3095"/>
      <c r="BA14" s="3115"/>
      <c r="BB14" s="3115"/>
      <c r="BC14" s="3118"/>
      <c r="BD14" s="3101"/>
      <c r="BE14" s="3101"/>
      <c r="BF14" s="3107"/>
      <c r="BG14" s="3104"/>
      <c r="BH14" s="3107"/>
      <c r="BI14" s="3104"/>
      <c r="BJ14" s="3110"/>
    </row>
    <row r="15" spans="1:62" s="352" customFormat="1" ht="111.75" customHeight="1">
      <c r="A15" s="1667"/>
      <c r="B15" s="3112"/>
      <c r="C15" s="3112"/>
      <c r="D15" s="364"/>
      <c r="E15" s="3112"/>
      <c r="F15" s="3113"/>
      <c r="G15" s="1145"/>
      <c r="H15" s="3112"/>
      <c r="I15" s="3112"/>
      <c r="J15" s="2950"/>
      <c r="K15" s="3092"/>
      <c r="L15" s="2950"/>
      <c r="M15" s="2950"/>
      <c r="N15" s="3127"/>
      <c r="O15" s="2950"/>
      <c r="P15" s="2950"/>
      <c r="Q15" s="3092"/>
      <c r="R15" s="2893"/>
      <c r="S15" s="2890"/>
      <c r="T15" s="3092"/>
      <c r="U15" s="3099"/>
      <c r="V15" s="365" t="s">
        <v>238</v>
      </c>
      <c r="W15" s="1176">
        <v>1500000</v>
      </c>
      <c r="X15" s="1125">
        <v>1200000</v>
      </c>
      <c r="Y15" s="1125">
        <f>X15</f>
        <v>1200000</v>
      </c>
      <c r="Z15" s="3101"/>
      <c r="AA15" s="2950"/>
      <c r="AB15" s="3095"/>
      <c r="AC15" s="3089"/>
      <c r="AD15" s="3095"/>
      <c r="AE15" s="3089"/>
      <c r="AF15" s="3095"/>
      <c r="AG15" s="3089"/>
      <c r="AH15" s="3095"/>
      <c r="AI15" s="3089"/>
      <c r="AJ15" s="3095"/>
      <c r="AK15" s="3089"/>
      <c r="AL15" s="3095"/>
      <c r="AM15" s="3089"/>
      <c r="AN15" s="3101"/>
      <c r="AO15" s="3089"/>
      <c r="AP15" s="3101"/>
      <c r="AQ15" s="3089"/>
      <c r="AR15" s="3101"/>
      <c r="AS15" s="3089"/>
      <c r="AT15" s="3101"/>
      <c r="AU15" s="3089"/>
      <c r="AV15" s="3101"/>
      <c r="AW15" s="3089"/>
      <c r="AX15" s="3095"/>
      <c r="AY15" s="3089"/>
      <c r="AZ15" s="3095"/>
      <c r="BA15" s="3115"/>
      <c r="BB15" s="3115"/>
      <c r="BC15" s="3118"/>
      <c r="BD15" s="3101"/>
      <c r="BE15" s="3101"/>
      <c r="BF15" s="3107"/>
      <c r="BG15" s="3104"/>
      <c r="BH15" s="3107"/>
      <c r="BI15" s="3104"/>
      <c r="BJ15" s="3110"/>
    </row>
    <row r="16" spans="1:62" s="352" customFormat="1" ht="102.75" customHeight="1">
      <c r="A16" s="1667"/>
      <c r="B16" s="1145"/>
      <c r="C16" s="1145"/>
      <c r="D16" s="364"/>
      <c r="E16" s="1145"/>
      <c r="F16" s="1254"/>
      <c r="G16" s="1145"/>
      <c r="H16" s="1145"/>
      <c r="I16" s="1145"/>
      <c r="J16" s="2950"/>
      <c r="K16" s="3092"/>
      <c r="L16" s="2950"/>
      <c r="M16" s="2950"/>
      <c r="N16" s="3127"/>
      <c r="O16" s="2950"/>
      <c r="P16" s="2950"/>
      <c r="Q16" s="3092"/>
      <c r="R16" s="2893"/>
      <c r="S16" s="2890"/>
      <c r="T16" s="3092"/>
      <c r="U16" s="3091" t="s">
        <v>239</v>
      </c>
      <c r="V16" s="365" t="s">
        <v>240</v>
      </c>
      <c r="W16" s="1118">
        <v>1800000</v>
      </c>
      <c r="X16" s="1125">
        <v>1510000</v>
      </c>
      <c r="Y16" s="1125">
        <v>1510000</v>
      </c>
      <c r="Z16" s="3101"/>
      <c r="AA16" s="2950"/>
      <c r="AB16" s="3095"/>
      <c r="AC16" s="3089"/>
      <c r="AD16" s="3095"/>
      <c r="AE16" s="3089"/>
      <c r="AF16" s="3095"/>
      <c r="AG16" s="3089"/>
      <c r="AH16" s="3095"/>
      <c r="AI16" s="3089"/>
      <c r="AJ16" s="3095"/>
      <c r="AK16" s="3089"/>
      <c r="AL16" s="3095"/>
      <c r="AM16" s="3089"/>
      <c r="AN16" s="3101"/>
      <c r="AO16" s="3089"/>
      <c r="AP16" s="3101"/>
      <c r="AQ16" s="3089"/>
      <c r="AR16" s="3101"/>
      <c r="AS16" s="3089"/>
      <c r="AT16" s="3101"/>
      <c r="AU16" s="3089"/>
      <c r="AV16" s="3101"/>
      <c r="AW16" s="3089"/>
      <c r="AX16" s="3095"/>
      <c r="AY16" s="3089"/>
      <c r="AZ16" s="3095"/>
      <c r="BA16" s="3115"/>
      <c r="BB16" s="3115"/>
      <c r="BC16" s="3118"/>
      <c r="BD16" s="3101"/>
      <c r="BE16" s="3101"/>
      <c r="BF16" s="3107"/>
      <c r="BG16" s="3104"/>
      <c r="BH16" s="3107"/>
      <c r="BI16" s="3104"/>
      <c r="BJ16" s="3110"/>
    </row>
    <row r="17" spans="1:62" s="352" customFormat="1" ht="81" customHeight="1">
      <c r="A17" s="1667"/>
      <c r="B17" s="1145"/>
      <c r="C17" s="1145"/>
      <c r="D17" s="364"/>
      <c r="E17" s="1145"/>
      <c r="F17" s="1254"/>
      <c r="G17" s="1145"/>
      <c r="H17" s="1145"/>
      <c r="I17" s="1145"/>
      <c r="J17" s="2950"/>
      <c r="K17" s="3092"/>
      <c r="L17" s="2950"/>
      <c r="M17" s="2950"/>
      <c r="N17" s="3127"/>
      <c r="O17" s="2950"/>
      <c r="P17" s="2950"/>
      <c r="Q17" s="3092"/>
      <c r="R17" s="2893"/>
      <c r="S17" s="2890"/>
      <c r="T17" s="3092"/>
      <c r="U17" s="3092"/>
      <c r="V17" s="365" t="s">
        <v>241</v>
      </c>
      <c r="W17" s="1118">
        <v>1500000</v>
      </c>
      <c r="X17" s="1125">
        <v>1080000</v>
      </c>
      <c r="Y17" s="1125">
        <f>X17</f>
        <v>1080000</v>
      </c>
      <c r="Z17" s="3101"/>
      <c r="AA17" s="2950"/>
      <c r="AB17" s="3095"/>
      <c r="AC17" s="3089"/>
      <c r="AD17" s="3095"/>
      <c r="AE17" s="3089"/>
      <c r="AF17" s="3095"/>
      <c r="AG17" s="3089"/>
      <c r="AH17" s="3095"/>
      <c r="AI17" s="3089"/>
      <c r="AJ17" s="3095"/>
      <c r="AK17" s="3089"/>
      <c r="AL17" s="3095"/>
      <c r="AM17" s="3089"/>
      <c r="AN17" s="3101"/>
      <c r="AO17" s="3089"/>
      <c r="AP17" s="3101"/>
      <c r="AQ17" s="3089"/>
      <c r="AR17" s="3101"/>
      <c r="AS17" s="3089"/>
      <c r="AT17" s="3101"/>
      <c r="AU17" s="3089"/>
      <c r="AV17" s="3101"/>
      <c r="AW17" s="3089"/>
      <c r="AX17" s="3095"/>
      <c r="AY17" s="3089"/>
      <c r="AZ17" s="3095"/>
      <c r="BA17" s="3115"/>
      <c r="BB17" s="3115"/>
      <c r="BC17" s="3118"/>
      <c r="BD17" s="3101"/>
      <c r="BE17" s="3101"/>
      <c r="BF17" s="3107"/>
      <c r="BG17" s="3104"/>
      <c r="BH17" s="3107"/>
      <c r="BI17" s="3104"/>
      <c r="BJ17" s="3110"/>
    </row>
    <row r="18" spans="1:62" s="352" customFormat="1" ht="79.5" customHeight="1">
      <c r="A18" s="1667"/>
      <c r="B18" s="1145"/>
      <c r="C18" s="1145"/>
      <c r="D18" s="364"/>
      <c r="E18" s="1145"/>
      <c r="F18" s="1254"/>
      <c r="G18" s="1145"/>
      <c r="H18" s="1145"/>
      <c r="I18" s="1145"/>
      <c r="J18" s="2950"/>
      <c r="K18" s="3092"/>
      <c r="L18" s="2950"/>
      <c r="M18" s="2950"/>
      <c r="N18" s="3127"/>
      <c r="O18" s="2950"/>
      <c r="P18" s="2950"/>
      <c r="Q18" s="3092"/>
      <c r="R18" s="2893"/>
      <c r="S18" s="2890"/>
      <c r="T18" s="3092"/>
      <c r="U18" s="3092"/>
      <c r="V18" s="365" t="s">
        <v>242</v>
      </c>
      <c r="W18" s="1118">
        <v>4800000</v>
      </c>
      <c r="X18" s="1125">
        <v>4290000</v>
      </c>
      <c r="Y18" s="1125">
        <f>X18</f>
        <v>4290000</v>
      </c>
      <c r="Z18" s="3101"/>
      <c r="AA18" s="2950"/>
      <c r="AB18" s="3095"/>
      <c r="AC18" s="3089"/>
      <c r="AD18" s="3095"/>
      <c r="AE18" s="3089"/>
      <c r="AF18" s="3095"/>
      <c r="AG18" s="3089"/>
      <c r="AH18" s="3095"/>
      <c r="AI18" s="3089"/>
      <c r="AJ18" s="3095"/>
      <c r="AK18" s="3089"/>
      <c r="AL18" s="3095"/>
      <c r="AM18" s="3089"/>
      <c r="AN18" s="3101"/>
      <c r="AO18" s="3089"/>
      <c r="AP18" s="3101"/>
      <c r="AQ18" s="3089"/>
      <c r="AR18" s="3101"/>
      <c r="AS18" s="3089"/>
      <c r="AT18" s="3101"/>
      <c r="AU18" s="3089"/>
      <c r="AV18" s="3101"/>
      <c r="AW18" s="3089"/>
      <c r="AX18" s="3095"/>
      <c r="AY18" s="3089"/>
      <c r="AZ18" s="3095"/>
      <c r="BA18" s="3115"/>
      <c r="BB18" s="3115"/>
      <c r="BC18" s="3118"/>
      <c r="BD18" s="3101"/>
      <c r="BE18" s="3101"/>
      <c r="BF18" s="3107"/>
      <c r="BG18" s="3104"/>
      <c r="BH18" s="3107"/>
      <c r="BI18" s="3104"/>
      <c r="BJ18" s="3110"/>
    </row>
    <row r="19" spans="1:62" s="352" customFormat="1" ht="99.75" customHeight="1">
      <c r="A19" s="1667"/>
      <c r="B19" s="1145"/>
      <c r="C19" s="1145"/>
      <c r="D19" s="364"/>
      <c r="E19" s="1145"/>
      <c r="F19" s="1254"/>
      <c r="G19" s="1145"/>
      <c r="H19" s="1145"/>
      <c r="I19" s="1145"/>
      <c r="J19" s="2950"/>
      <c r="K19" s="3092"/>
      <c r="L19" s="2950"/>
      <c r="M19" s="2950"/>
      <c r="N19" s="3127"/>
      <c r="O19" s="2950"/>
      <c r="P19" s="2950"/>
      <c r="Q19" s="3092"/>
      <c r="R19" s="2893"/>
      <c r="S19" s="2890"/>
      <c r="T19" s="3092"/>
      <c r="U19" s="3093"/>
      <c r="V19" s="365" t="s">
        <v>238</v>
      </c>
      <c r="W19" s="1118">
        <v>4200000</v>
      </c>
      <c r="X19" s="1125">
        <v>3120000</v>
      </c>
      <c r="Y19" s="1125">
        <f>X19</f>
        <v>3120000</v>
      </c>
      <c r="Z19" s="3101"/>
      <c r="AA19" s="2950"/>
      <c r="AB19" s="3095"/>
      <c r="AC19" s="3089"/>
      <c r="AD19" s="3095"/>
      <c r="AE19" s="3089"/>
      <c r="AF19" s="3095"/>
      <c r="AG19" s="3089"/>
      <c r="AH19" s="3095"/>
      <c r="AI19" s="3089"/>
      <c r="AJ19" s="3095"/>
      <c r="AK19" s="3089"/>
      <c r="AL19" s="3095"/>
      <c r="AM19" s="3089"/>
      <c r="AN19" s="3101"/>
      <c r="AO19" s="3089"/>
      <c r="AP19" s="3101"/>
      <c r="AQ19" s="3089"/>
      <c r="AR19" s="3101"/>
      <c r="AS19" s="3089"/>
      <c r="AT19" s="3101"/>
      <c r="AU19" s="3089"/>
      <c r="AV19" s="3101"/>
      <c r="AW19" s="3089"/>
      <c r="AX19" s="3095"/>
      <c r="AY19" s="3089"/>
      <c r="AZ19" s="3095"/>
      <c r="BA19" s="3115"/>
      <c r="BB19" s="3115"/>
      <c r="BC19" s="3118"/>
      <c r="BD19" s="3101"/>
      <c r="BE19" s="3101"/>
      <c r="BF19" s="3107"/>
      <c r="BG19" s="3104"/>
      <c r="BH19" s="3107"/>
      <c r="BI19" s="3104"/>
      <c r="BJ19" s="3110"/>
    </row>
    <row r="20" spans="1:62" s="352" customFormat="1" ht="74.25" customHeight="1">
      <c r="A20" s="1667"/>
      <c r="B20" s="3112"/>
      <c r="C20" s="3112"/>
      <c r="D20" s="364"/>
      <c r="E20" s="3112"/>
      <c r="F20" s="3113"/>
      <c r="G20" s="1145"/>
      <c r="H20" s="3112"/>
      <c r="I20" s="3112"/>
      <c r="J20" s="2950"/>
      <c r="K20" s="3092"/>
      <c r="L20" s="2950"/>
      <c r="M20" s="2950"/>
      <c r="N20" s="3127"/>
      <c r="O20" s="2950"/>
      <c r="P20" s="2950"/>
      <c r="Q20" s="3092"/>
      <c r="R20" s="2893"/>
      <c r="S20" s="2890"/>
      <c r="T20" s="3092"/>
      <c r="U20" s="3091" t="s">
        <v>243</v>
      </c>
      <c r="V20" s="1128" t="s">
        <v>244</v>
      </c>
      <c r="W20" s="1176">
        <v>4200000</v>
      </c>
      <c r="X20" s="1125"/>
      <c r="Y20" s="1125"/>
      <c r="Z20" s="3101"/>
      <c r="AA20" s="2950"/>
      <c r="AB20" s="3095"/>
      <c r="AC20" s="3089"/>
      <c r="AD20" s="3095"/>
      <c r="AE20" s="3089"/>
      <c r="AF20" s="3095"/>
      <c r="AG20" s="3089"/>
      <c r="AH20" s="3095"/>
      <c r="AI20" s="3089"/>
      <c r="AJ20" s="3095"/>
      <c r="AK20" s="3089"/>
      <c r="AL20" s="3095"/>
      <c r="AM20" s="3089"/>
      <c r="AN20" s="3101"/>
      <c r="AO20" s="3089"/>
      <c r="AP20" s="3101"/>
      <c r="AQ20" s="3089"/>
      <c r="AR20" s="3101"/>
      <c r="AS20" s="3089"/>
      <c r="AT20" s="3101"/>
      <c r="AU20" s="3089"/>
      <c r="AV20" s="3101"/>
      <c r="AW20" s="3089"/>
      <c r="AX20" s="3095"/>
      <c r="AY20" s="3089"/>
      <c r="AZ20" s="3095"/>
      <c r="BA20" s="3115"/>
      <c r="BB20" s="3115"/>
      <c r="BC20" s="3118"/>
      <c r="BD20" s="3101"/>
      <c r="BE20" s="3101"/>
      <c r="BF20" s="3107"/>
      <c r="BG20" s="3104"/>
      <c r="BH20" s="3107"/>
      <c r="BI20" s="3104"/>
      <c r="BJ20" s="3110"/>
    </row>
    <row r="21" spans="1:62" s="352" customFormat="1" ht="113.25" customHeight="1">
      <c r="A21" s="1668"/>
      <c r="B21" s="3120"/>
      <c r="C21" s="3120"/>
      <c r="D21" s="1670"/>
      <c r="E21" s="3120"/>
      <c r="F21" s="3121"/>
      <c r="G21" s="1255"/>
      <c r="H21" s="3120"/>
      <c r="I21" s="3120"/>
      <c r="J21" s="2951"/>
      <c r="K21" s="3093"/>
      <c r="L21" s="2951"/>
      <c r="M21" s="2951"/>
      <c r="N21" s="3128"/>
      <c r="O21" s="2951"/>
      <c r="P21" s="2951"/>
      <c r="Q21" s="3093"/>
      <c r="R21" s="2894"/>
      <c r="S21" s="2891"/>
      <c r="T21" s="3093"/>
      <c r="U21" s="3093"/>
      <c r="V21" s="1128" t="s">
        <v>245</v>
      </c>
      <c r="W21" s="1176">
        <v>1250000</v>
      </c>
      <c r="X21" s="1177"/>
      <c r="Y21" s="1177"/>
      <c r="Z21" s="3102"/>
      <c r="AA21" s="2951"/>
      <c r="AB21" s="3096"/>
      <c r="AC21" s="3090"/>
      <c r="AD21" s="3096"/>
      <c r="AE21" s="3090"/>
      <c r="AF21" s="3096"/>
      <c r="AG21" s="3090"/>
      <c r="AH21" s="3096"/>
      <c r="AI21" s="3090"/>
      <c r="AJ21" s="3096"/>
      <c r="AK21" s="3090"/>
      <c r="AL21" s="3096"/>
      <c r="AM21" s="3090"/>
      <c r="AN21" s="3102"/>
      <c r="AO21" s="3090"/>
      <c r="AP21" s="3102"/>
      <c r="AQ21" s="3090"/>
      <c r="AR21" s="3102"/>
      <c r="AS21" s="3090"/>
      <c r="AT21" s="3102"/>
      <c r="AU21" s="3090"/>
      <c r="AV21" s="3102"/>
      <c r="AW21" s="3090"/>
      <c r="AX21" s="3096"/>
      <c r="AY21" s="3090"/>
      <c r="AZ21" s="3096"/>
      <c r="BA21" s="3116"/>
      <c r="BB21" s="3116"/>
      <c r="BC21" s="3119"/>
      <c r="BD21" s="3102"/>
      <c r="BE21" s="3102"/>
      <c r="BF21" s="3108"/>
      <c r="BG21" s="3105"/>
      <c r="BH21" s="3108"/>
      <c r="BI21" s="3105"/>
      <c r="BJ21" s="3111"/>
    </row>
    <row r="22" spans="1:62" ht="39.75" customHeight="1">
      <c r="A22" s="367"/>
      <c r="B22" s="337"/>
      <c r="C22" s="337"/>
      <c r="D22" s="391"/>
      <c r="E22" s="337"/>
      <c r="F22" s="337"/>
      <c r="G22" s="1684">
        <v>84</v>
      </c>
      <c r="H22" s="402" t="s">
        <v>246</v>
      </c>
      <c r="I22" s="402"/>
      <c r="J22" s="402"/>
      <c r="K22" s="403"/>
      <c r="L22" s="402"/>
      <c r="M22" s="402"/>
      <c r="N22" s="404"/>
      <c r="O22" s="402"/>
      <c r="P22" s="371"/>
      <c r="Q22" s="403"/>
      <c r="R22" s="405"/>
      <c r="S22" s="406"/>
      <c r="T22" s="403"/>
      <c r="U22" s="407"/>
      <c r="V22" s="407"/>
      <c r="W22" s="1685"/>
      <c r="X22" s="369"/>
      <c r="Y22" s="369"/>
      <c r="Z22" s="370"/>
      <c r="AA22" s="371"/>
      <c r="AB22" s="402"/>
      <c r="AC22" s="404"/>
      <c r="AD22" s="402"/>
      <c r="AE22" s="404"/>
      <c r="AF22" s="402"/>
      <c r="AG22" s="404"/>
      <c r="AH22" s="402"/>
      <c r="AI22" s="404"/>
      <c r="AJ22" s="402"/>
      <c r="AK22" s="404"/>
      <c r="AL22" s="402"/>
      <c r="AM22" s="404"/>
      <c r="AN22" s="402"/>
      <c r="AO22" s="404"/>
      <c r="AP22" s="402"/>
      <c r="AQ22" s="404"/>
      <c r="AR22" s="402"/>
      <c r="AS22" s="404"/>
      <c r="AT22" s="402"/>
      <c r="AU22" s="404"/>
      <c r="AV22" s="402"/>
      <c r="AW22" s="404"/>
      <c r="AX22" s="402"/>
      <c r="AY22" s="404"/>
      <c r="AZ22" s="402"/>
      <c r="BA22" s="410"/>
      <c r="BB22" s="410"/>
      <c r="BC22" s="402"/>
      <c r="BD22" s="402"/>
      <c r="BE22" s="371"/>
      <c r="BF22" s="411"/>
      <c r="BG22" s="412"/>
      <c r="BH22" s="411"/>
      <c r="BI22" s="412"/>
      <c r="BJ22" s="413"/>
    </row>
    <row r="23" spans="1:62" s="352" customFormat="1" ht="137.25" customHeight="1">
      <c r="A23" s="372"/>
      <c r="B23" s="373"/>
      <c r="C23" s="373"/>
      <c r="D23" s="374"/>
      <c r="E23" s="373"/>
      <c r="F23" s="373"/>
      <c r="G23" s="375"/>
      <c r="H23" s="373"/>
      <c r="I23" s="373"/>
      <c r="J23" s="2949">
        <v>248</v>
      </c>
      <c r="K23" s="3091" t="s">
        <v>247</v>
      </c>
      <c r="L23" s="3122" t="s">
        <v>248</v>
      </c>
      <c r="M23" s="3124">
        <v>12</v>
      </c>
      <c r="N23" s="3124">
        <v>12</v>
      </c>
      <c r="O23" s="2949" t="s">
        <v>249</v>
      </c>
      <c r="P23" s="2949">
        <v>15</v>
      </c>
      <c r="Q23" s="3091" t="s">
        <v>250</v>
      </c>
      <c r="R23" s="3133">
        <v>1</v>
      </c>
      <c r="S23" s="3135">
        <v>25000000</v>
      </c>
      <c r="T23" s="3137" t="s">
        <v>251</v>
      </c>
      <c r="U23" s="3091" t="s">
        <v>252</v>
      </c>
      <c r="V23" s="267" t="s">
        <v>253</v>
      </c>
      <c r="W23" s="376">
        <v>20000000</v>
      </c>
      <c r="X23" s="377">
        <v>20000000</v>
      </c>
      <c r="Y23" s="377">
        <v>20000000</v>
      </c>
      <c r="Z23" s="3129">
        <v>20</v>
      </c>
      <c r="AA23" s="2949" t="s">
        <v>232</v>
      </c>
      <c r="AB23" s="3100">
        <v>64149</v>
      </c>
      <c r="AC23" s="3131"/>
      <c r="AD23" s="3100">
        <v>72224</v>
      </c>
      <c r="AE23" s="3131"/>
      <c r="AF23" s="3100">
        <v>27477</v>
      </c>
      <c r="AG23" s="3131"/>
      <c r="AH23" s="3100">
        <v>86843</v>
      </c>
      <c r="AI23" s="3131"/>
      <c r="AJ23" s="3100">
        <v>236429</v>
      </c>
      <c r="AK23" s="3131"/>
      <c r="AL23" s="3100">
        <v>81384</v>
      </c>
      <c r="AM23" s="3131"/>
      <c r="AN23" s="3100">
        <v>12718</v>
      </c>
      <c r="AO23" s="3131"/>
      <c r="AP23" s="3100">
        <v>2145</v>
      </c>
      <c r="AQ23" s="3131"/>
      <c r="AR23" s="3100">
        <v>413</v>
      </c>
      <c r="AS23" s="3131"/>
      <c r="AT23" s="3100">
        <v>78</v>
      </c>
      <c r="AU23" s="3131"/>
      <c r="AV23" s="3100">
        <v>16897</v>
      </c>
      <c r="AW23" s="3131"/>
      <c r="AX23" s="3100">
        <v>81384</v>
      </c>
      <c r="AY23" s="3131"/>
      <c r="AZ23" s="3100">
        <v>4</v>
      </c>
      <c r="BA23" s="3114">
        <v>20000000</v>
      </c>
      <c r="BB23" s="3114">
        <v>20000000</v>
      </c>
      <c r="BC23" s="2892">
        <f>BB23/BA23</f>
        <v>1</v>
      </c>
      <c r="BD23" s="2949" t="s">
        <v>254</v>
      </c>
      <c r="BE23" s="378" t="s">
        <v>234</v>
      </c>
      <c r="BF23" s="3151">
        <v>42658</v>
      </c>
      <c r="BG23" s="3153">
        <v>42697</v>
      </c>
      <c r="BH23" s="3151">
        <v>42735</v>
      </c>
      <c r="BI23" s="3153">
        <v>42735</v>
      </c>
      <c r="BJ23" s="3143" t="s">
        <v>235</v>
      </c>
    </row>
    <row r="24" spans="1:62" s="352" customFormat="1" ht="85.5" customHeight="1">
      <c r="A24" s="372"/>
      <c r="B24" s="373"/>
      <c r="C24" s="373"/>
      <c r="D24" s="374"/>
      <c r="E24" s="373"/>
      <c r="F24" s="373"/>
      <c r="G24" s="374"/>
      <c r="H24" s="373"/>
      <c r="I24" s="373"/>
      <c r="J24" s="2950"/>
      <c r="K24" s="3092"/>
      <c r="L24" s="3123"/>
      <c r="M24" s="3125"/>
      <c r="N24" s="3125"/>
      <c r="O24" s="2950"/>
      <c r="P24" s="2950"/>
      <c r="Q24" s="3092"/>
      <c r="R24" s="3134"/>
      <c r="S24" s="3136"/>
      <c r="T24" s="3138"/>
      <c r="U24" s="3093"/>
      <c r="V24" s="267" t="s">
        <v>255</v>
      </c>
      <c r="W24" s="376">
        <v>1500000</v>
      </c>
      <c r="X24" s="377"/>
      <c r="Y24" s="377"/>
      <c r="Z24" s="3130"/>
      <c r="AA24" s="2950"/>
      <c r="AB24" s="3101"/>
      <c r="AC24" s="3132"/>
      <c r="AD24" s="3101"/>
      <c r="AE24" s="3132"/>
      <c r="AF24" s="3101"/>
      <c r="AG24" s="3132"/>
      <c r="AH24" s="3101"/>
      <c r="AI24" s="3132"/>
      <c r="AJ24" s="3101"/>
      <c r="AK24" s="3132"/>
      <c r="AL24" s="3101"/>
      <c r="AM24" s="3132"/>
      <c r="AN24" s="3101"/>
      <c r="AO24" s="3132"/>
      <c r="AP24" s="3101"/>
      <c r="AQ24" s="3132"/>
      <c r="AR24" s="3101"/>
      <c r="AS24" s="3132"/>
      <c r="AT24" s="3101"/>
      <c r="AU24" s="3132"/>
      <c r="AV24" s="3101"/>
      <c r="AW24" s="3132"/>
      <c r="AX24" s="3101"/>
      <c r="AY24" s="3132"/>
      <c r="AZ24" s="3101"/>
      <c r="BA24" s="3115"/>
      <c r="BB24" s="3115"/>
      <c r="BC24" s="2893"/>
      <c r="BD24" s="2950"/>
      <c r="BE24" s="379"/>
      <c r="BF24" s="3152"/>
      <c r="BG24" s="3154"/>
      <c r="BH24" s="3152"/>
      <c r="BI24" s="3154"/>
      <c r="BJ24" s="3144"/>
    </row>
    <row r="25" spans="1:62" s="352" customFormat="1" ht="160.5" customHeight="1">
      <c r="A25" s="372"/>
      <c r="B25" s="373"/>
      <c r="C25" s="373"/>
      <c r="D25" s="374"/>
      <c r="E25" s="373"/>
      <c r="F25" s="373"/>
      <c r="G25" s="374"/>
      <c r="H25" s="373"/>
      <c r="I25" s="373"/>
      <c r="J25" s="2950"/>
      <c r="K25" s="3092"/>
      <c r="L25" s="3123"/>
      <c r="M25" s="3125"/>
      <c r="N25" s="3125"/>
      <c r="O25" s="2950"/>
      <c r="P25" s="2950"/>
      <c r="Q25" s="3092"/>
      <c r="R25" s="3134"/>
      <c r="S25" s="3136"/>
      <c r="T25" s="3138"/>
      <c r="U25" s="1141" t="s">
        <v>256</v>
      </c>
      <c r="V25" s="1141" t="s">
        <v>257</v>
      </c>
      <c r="W25" s="1148">
        <v>3500000</v>
      </c>
      <c r="X25" s="398"/>
      <c r="Y25" s="398"/>
      <c r="Z25" s="3130"/>
      <c r="AA25" s="2950"/>
      <c r="AB25" s="3101"/>
      <c r="AC25" s="3132"/>
      <c r="AD25" s="3101"/>
      <c r="AE25" s="3132"/>
      <c r="AF25" s="3101"/>
      <c r="AG25" s="3132"/>
      <c r="AH25" s="3101"/>
      <c r="AI25" s="3132"/>
      <c r="AJ25" s="3101"/>
      <c r="AK25" s="3132"/>
      <c r="AL25" s="3101"/>
      <c r="AM25" s="3132"/>
      <c r="AN25" s="3101"/>
      <c r="AO25" s="3132"/>
      <c r="AP25" s="3101"/>
      <c r="AQ25" s="3132"/>
      <c r="AR25" s="3101"/>
      <c r="AS25" s="3132"/>
      <c r="AT25" s="3101"/>
      <c r="AU25" s="3132"/>
      <c r="AV25" s="3101"/>
      <c r="AW25" s="3132"/>
      <c r="AX25" s="3101"/>
      <c r="AY25" s="3132"/>
      <c r="AZ25" s="3101"/>
      <c r="BA25" s="3115"/>
      <c r="BB25" s="3115"/>
      <c r="BC25" s="2893"/>
      <c r="BD25" s="2950"/>
      <c r="BE25" s="1144" t="s">
        <v>258</v>
      </c>
      <c r="BF25" s="3152"/>
      <c r="BG25" s="3154"/>
      <c r="BH25" s="3152"/>
      <c r="BI25" s="3154"/>
      <c r="BJ25" s="3144"/>
    </row>
    <row r="26" spans="1:62" ht="38.25" customHeight="1">
      <c r="A26" s="1690"/>
      <c r="B26" s="1691"/>
      <c r="C26" s="1692"/>
      <c r="D26" s="380">
        <v>27</v>
      </c>
      <c r="E26" s="381" t="s">
        <v>259</v>
      </c>
      <c r="F26" s="381"/>
      <c r="G26" s="132"/>
      <c r="H26" s="132"/>
      <c r="I26" s="132"/>
      <c r="J26" s="132"/>
      <c r="K26" s="382"/>
      <c r="L26" s="132"/>
      <c r="M26" s="132"/>
      <c r="N26" s="170"/>
      <c r="O26" s="132"/>
      <c r="P26" s="383"/>
      <c r="Q26" s="382"/>
      <c r="R26" s="384"/>
      <c r="S26" s="385"/>
      <c r="T26" s="382"/>
      <c r="U26" s="386"/>
      <c r="V26" s="386"/>
      <c r="W26" s="385"/>
      <c r="X26" s="387"/>
      <c r="Y26" s="387"/>
      <c r="Z26" s="388"/>
      <c r="AA26" s="132"/>
      <c r="AB26" s="132"/>
      <c r="AC26" s="170"/>
      <c r="AD26" s="132"/>
      <c r="AE26" s="170"/>
      <c r="AF26" s="132"/>
      <c r="AG26" s="170"/>
      <c r="AH26" s="132"/>
      <c r="AI26" s="170"/>
      <c r="AJ26" s="132"/>
      <c r="AK26" s="170"/>
      <c r="AL26" s="132"/>
      <c r="AM26" s="170"/>
      <c r="AN26" s="132"/>
      <c r="AO26" s="170"/>
      <c r="AP26" s="132"/>
      <c r="AQ26" s="170"/>
      <c r="AR26" s="132"/>
      <c r="AS26" s="170"/>
      <c r="AT26" s="132"/>
      <c r="AU26" s="170"/>
      <c r="AV26" s="132"/>
      <c r="AW26" s="170"/>
      <c r="AX26" s="132"/>
      <c r="AY26" s="170"/>
      <c r="AZ26" s="132"/>
      <c r="BA26" s="401"/>
      <c r="BB26" s="401"/>
      <c r="BC26" s="132"/>
      <c r="BD26" s="132"/>
      <c r="BE26" s="383"/>
      <c r="BF26" s="389"/>
      <c r="BG26" s="390"/>
      <c r="BH26" s="389"/>
      <c r="BI26" s="390"/>
      <c r="BJ26" s="1696"/>
    </row>
    <row r="27" spans="1:62" ht="32.25" customHeight="1">
      <c r="A27" s="1693"/>
      <c r="B27" s="337"/>
      <c r="C27" s="392"/>
      <c r="D27" s="391"/>
      <c r="E27" s="337"/>
      <c r="F27" s="392"/>
      <c r="G27" s="393">
        <v>85</v>
      </c>
      <c r="H27" s="354" t="s">
        <v>260</v>
      </c>
      <c r="I27" s="354"/>
      <c r="J27" s="354"/>
      <c r="K27" s="355"/>
      <c r="L27" s="354"/>
      <c r="M27" s="354"/>
      <c r="N27" s="171"/>
      <c r="O27" s="354"/>
      <c r="P27" s="356"/>
      <c r="Q27" s="355"/>
      <c r="R27" s="357"/>
      <c r="S27" s="358"/>
      <c r="T27" s="355"/>
      <c r="U27" s="368"/>
      <c r="V27" s="368"/>
      <c r="W27" s="359"/>
      <c r="X27" s="369"/>
      <c r="Y27" s="369"/>
      <c r="Z27" s="370"/>
      <c r="AA27" s="371"/>
      <c r="AB27" s="354"/>
      <c r="AC27" s="171"/>
      <c r="AD27" s="354"/>
      <c r="AE27" s="171"/>
      <c r="AF27" s="354"/>
      <c r="AG27" s="171"/>
      <c r="AH27" s="354"/>
      <c r="AI27" s="171"/>
      <c r="AJ27" s="354"/>
      <c r="AK27" s="171"/>
      <c r="AL27" s="354"/>
      <c r="AM27" s="171"/>
      <c r="AN27" s="354"/>
      <c r="AO27" s="171"/>
      <c r="AP27" s="354"/>
      <c r="AQ27" s="171"/>
      <c r="AR27" s="354"/>
      <c r="AS27" s="171"/>
      <c r="AT27" s="354"/>
      <c r="AU27" s="171"/>
      <c r="AV27" s="354"/>
      <c r="AW27" s="171"/>
      <c r="AX27" s="354"/>
      <c r="AY27" s="171"/>
      <c r="AZ27" s="354"/>
      <c r="BA27" s="360"/>
      <c r="BB27" s="360"/>
      <c r="BC27" s="354"/>
      <c r="BD27" s="354"/>
      <c r="BE27" s="356"/>
      <c r="BF27" s="361"/>
      <c r="BG27" s="362"/>
      <c r="BH27" s="361"/>
      <c r="BI27" s="362"/>
      <c r="BJ27" s="1697"/>
    </row>
    <row r="28" spans="1:62" s="133" customFormat="1" ht="88.5" customHeight="1">
      <c r="A28" s="1694"/>
      <c r="B28" s="394"/>
      <c r="C28" s="396"/>
      <c r="D28" s="395"/>
      <c r="E28" s="394"/>
      <c r="F28" s="396"/>
      <c r="G28" s="397"/>
      <c r="H28" s="394"/>
      <c r="I28" s="394"/>
      <c r="J28" s="2949">
        <v>249</v>
      </c>
      <c r="K28" s="3091" t="s">
        <v>261</v>
      </c>
      <c r="L28" s="3100" t="s">
        <v>248</v>
      </c>
      <c r="M28" s="3122">
        <v>1</v>
      </c>
      <c r="N28" s="3145">
        <v>1</v>
      </c>
      <c r="O28" s="2949" t="s">
        <v>262</v>
      </c>
      <c r="P28" s="2949">
        <v>7</v>
      </c>
      <c r="Q28" s="3091" t="s">
        <v>263</v>
      </c>
      <c r="R28" s="3148">
        <v>100</v>
      </c>
      <c r="S28" s="3135">
        <v>200000000</v>
      </c>
      <c r="T28" s="3091" t="s">
        <v>264</v>
      </c>
      <c r="U28" s="1141" t="s">
        <v>265</v>
      </c>
      <c r="V28" s="1141" t="s">
        <v>266</v>
      </c>
      <c r="W28" s="1148">
        <v>65014553</v>
      </c>
      <c r="X28" s="398">
        <v>42814590</v>
      </c>
      <c r="Y28" s="398">
        <v>42814590</v>
      </c>
      <c r="Z28" s="399">
        <v>20</v>
      </c>
      <c r="AA28" s="1162" t="s">
        <v>38</v>
      </c>
      <c r="AB28" s="3122"/>
      <c r="AC28" s="3140"/>
      <c r="AD28" s="3122"/>
      <c r="AE28" s="3140"/>
      <c r="AF28" s="3122"/>
      <c r="AG28" s="3140"/>
      <c r="AH28" s="3100">
        <v>20</v>
      </c>
      <c r="AI28" s="3131">
        <v>20</v>
      </c>
      <c r="AJ28" s="3100">
        <v>150</v>
      </c>
      <c r="AK28" s="3131">
        <v>150</v>
      </c>
      <c r="AL28" s="3100">
        <v>10</v>
      </c>
      <c r="AM28" s="3131">
        <v>10</v>
      </c>
      <c r="AN28" s="3122"/>
      <c r="AO28" s="3140"/>
      <c r="AP28" s="3122"/>
      <c r="AQ28" s="3140"/>
      <c r="AR28" s="3122"/>
      <c r="AS28" s="3140"/>
      <c r="AT28" s="3122"/>
      <c r="AU28" s="3140"/>
      <c r="AV28" s="3122"/>
      <c r="AW28" s="3140"/>
      <c r="AX28" s="3122"/>
      <c r="AY28" s="3140"/>
      <c r="AZ28" s="3122">
        <v>6</v>
      </c>
      <c r="BA28" s="3163">
        <f>2014553+40800037+70000000+12924882+19990000+9000000</f>
        <v>154729472</v>
      </c>
      <c r="BB28" s="3163">
        <v>83739472</v>
      </c>
      <c r="BC28" s="3133">
        <f>BB28/BA28</f>
        <v>0.5411992357861856</v>
      </c>
      <c r="BD28" s="3114" t="s">
        <v>254</v>
      </c>
      <c r="BE28" s="2949" t="s">
        <v>267</v>
      </c>
      <c r="BF28" s="3151">
        <v>42485</v>
      </c>
      <c r="BG28" s="3153">
        <v>42485</v>
      </c>
      <c r="BH28" s="3151">
        <v>42735</v>
      </c>
      <c r="BI28" s="3153">
        <v>42735</v>
      </c>
      <c r="BJ28" s="3168" t="s">
        <v>235</v>
      </c>
    </row>
    <row r="29" spans="1:62" ht="86.25" customHeight="1">
      <c r="A29" s="1693"/>
      <c r="B29" s="337"/>
      <c r="C29" s="392"/>
      <c r="D29" s="391"/>
      <c r="E29" s="337"/>
      <c r="F29" s="392"/>
      <c r="G29" s="337"/>
      <c r="H29" s="337"/>
      <c r="I29" s="337"/>
      <c r="J29" s="2950"/>
      <c r="K29" s="3092"/>
      <c r="L29" s="3101"/>
      <c r="M29" s="3123"/>
      <c r="N29" s="3146"/>
      <c r="O29" s="2950"/>
      <c r="P29" s="2950"/>
      <c r="Q29" s="3092"/>
      <c r="R29" s="3149"/>
      <c r="S29" s="3136"/>
      <c r="T29" s="3092"/>
      <c r="U29" s="3091" t="s">
        <v>268</v>
      </c>
      <c r="V29" s="1128" t="s">
        <v>269</v>
      </c>
      <c r="W29" s="376">
        <v>40785447</v>
      </c>
      <c r="X29" s="377">
        <v>28990000</v>
      </c>
      <c r="Y29" s="377"/>
      <c r="Z29" s="399">
        <v>20</v>
      </c>
      <c r="AA29" s="1162" t="s">
        <v>38</v>
      </c>
      <c r="AB29" s="3123"/>
      <c r="AC29" s="3141"/>
      <c r="AD29" s="3123"/>
      <c r="AE29" s="3141"/>
      <c r="AF29" s="3123"/>
      <c r="AG29" s="3141"/>
      <c r="AH29" s="3101"/>
      <c r="AI29" s="3132"/>
      <c r="AJ29" s="3101"/>
      <c r="AK29" s="3132"/>
      <c r="AL29" s="3101"/>
      <c r="AM29" s="3132"/>
      <c r="AN29" s="3123"/>
      <c r="AO29" s="3141"/>
      <c r="AP29" s="3123"/>
      <c r="AQ29" s="3141"/>
      <c r="AR29" s="3123"/>
      <c r="AS29" s="3141"/>
      <c r="AT29" s="3123"/>
      <c r="AU29" s="3141"/>
      <c r="AV29" s="3123"/>
      <c r="AW29" s="3141"/>
      <c r="AX29" s="3123"/>
      <c r="AY29" s="3141"/>
      <c r="AZ29" s="3123"/>
      <c r="BA29" s="3164"/>
      <c r="BB29" s="3164"/>
      <c r="BC29" s="3134"/>
      <c r="BD29" s="3115"/>
      <c r="BE29" s="2950"/>
      <c r="BF29" s="3152"/>
      <c r="BG29" s="3154"/>
      <c r="BH29" s="3152"/>
      <c r="BI29" s="3154"/>
      <c r="BJ29" s="3169"/>
    </row>
    <row r="30" spans="1:62" ht="37.5" customHeight="1">
      <c r="A30" s="1693"/>
      <c r="B30" s="337"/>
      <c r="C30" s="392"/>
      <c r="D30" s="391"/>
      <c r="E30" s="337"/>
      <c r="F30" s="392"/>
      <c r="G30" s="337"/>
      <c r="H30" s="337"/>
      <c r="I30" s="337"/>
      <c r="J30" s="2950"/>
      <c r="K30" s="3092"/>
      <c r="L30" s="3101"/>
      <c r="M30" s="3123"/>
      <c r="N30" s="3146"/>
      <c r="O30" s="2950"/>
      <c r="P30" s="2950"/>
      <c r="Q30" s="3092"/>
      <c r="R30" s="3149"/>
      <c r="S30" s="3136"/>
      <c r="T30" s="3092"/>
      <c r="U30" s="3093"/>
      <c r="V30" s="1128" t="s">
        <v>270</v>
      </c>
      <c r="W30" s="376">
        <v>24200000</v>
      </c>
      <c r="X30" s="377">
        <v>12924882</v>
      </c>
      <c r="Y30" s="377">
        <v>12924882</v>
      </c>
      <c r="Z30" s="399">
        <v>20</v>
      </c>
      <c r="AA30" s="1162" t="s">
        <v>38</v>
      </c>
      <c r="AB30" s="3123"/>
      <c r="AC30" s="3141"/>
      <c r="AD30" s="3123"/>
      <c r="AE30" s="3141"/>
      <c r="AF30" s="3123"/>
      <c r="AG30" s="3141"/>
      <c r="AH30" s="3101"/>
      <c r="AI30" s="3132"/>
      <c r="AJ30" s="3101"/>
      <c r="AK30" s="3132"/>
      <c r="AL30" s="3101"/>
      <c r="AM30" s="3132"/>
      <c r="AN30" s="3123"/>
      <c r="AO30" s="3141"/>
      <c r="AP30" s="3123"/>
      <c r="AQ30" s="3141"/>
      <c r="AR30" s="3123"/>
      <c r="AS30" s="3141"/>
      <c r="AT30" s="3123"/>
      <c r="AU30" s="3141"/>
      <c r="AV30" s="3123"/>
      <c r="AW30" s="3141"/>
      <c r="AX30" s="3123"/>
      <c r="AY30" s="3141"/>
      <c r="AZ30" s="3123"/>
      <c r="BA30" s="3164"/>
      <c r="BB30" s="3164"/>
      <c r="BC30" s="3134"/>
      <c r="BD30" s="3115"/>
      <c r="BE30" s="2950"/>
      <c r="BF30" s="3152"/>
      <c r="BG30" s="3154"/>
      <c r="BH30" s="3152"/>
      <c r="BI30" s="3154"/>
      <c r="BJ30" s="3169"/>
    </row>
    <row r="31" spans="1:62" ht="108.75" customHeight="1">
      <c r="A31" s="1693"/>
      <c r="B31" s="337"/>
      <c r="C31" s="392"/>
      <c r="D31" s="1698"/>
      <c r="E31" s="317"/>
      <c r="F31" s="400"/>
      <c r="G31" s="317"/>
      <c r="H31" s="317"/>
      <c r="I31" s="317"/>
      <c r="J31" s="2951"/>
      <c r="K31" s="3093"/>
      <c r="L31" s="3102"/>
      <c r="M31" s="3139"/>
      <c r="N31" s="3147"/>
      <c r="O31" s="2951"/>
      <c r="P31" s="2951"/>
      <c r="Q31" s="3093"/>
      <c r="R31" s="3150"/>
      <c r="S31" s="3155"/>
      <c r="T31" s="3093"/>
      <c r="U31" s="1128" t="s">
        <v>271</v>
      </c>
      <c r="V31" s="1128" t="s">
        <v>272</v>
      </c>
      <c r="W31" s="376">
        <v>70000000</v>
      </c>
      <c r="X31" s="377">
        <v>70000000</v>
      </c>
      <c r="Y31" s="377">
        <v>28000000</v>
      </c>
      <c r="Z31" s="399">
        <v>20</v>
      </c>
      <c r="AA31" s="1162" t="s">
        <v>38</v>
      </c>
      <c r="AB31" s="3139"/>
      <c r="AC31" s="3142"/>
      <c r="AD31" s="3139"/>
      <c r="AE31" s="3142"/>
      <c r="AF31" s="3139"/>
      <c r="AG31" s="3142"/>
      <c r="AH31" s="3102"/>
      <c r="AI31" s="3167"/>
      <c r="AJ31" s="3102"/>
      <c r="AK31" s="3167"/>
      <c r="AL31" s="3102"/>
      <c r="AM31" s="3167"/>
      <c r="AN31" s="3139"/>
      <c r="AO31" s="3142"/>
      <c r="AP31" s="3139"/>
      <c r="AQ31" s="3142"/>
      <c r="AR31" s="3139"/>
      <c r="AS31" s="3142"/>
      <c r="AT31" s="3139"/>
      <c r="AU31" s="3142"/>
      <c r="AV31" s="3139"/>
      <c r="AW31" s="3142"/>
      <c r="AX31" s="3139"/>
      <c r="AY31" s="3142"/>
      <c r="AZ31" s="3139"/>
      <c r="BA31" s="3165"/>
      <c r="BB31" s="3165"/>
      <c r="BC31" s="3166"/>
      <c r="BD31" s="3116"/>
      <c r="BE31" s="2951"/>
      <c r="BF31" s="3171"/>
      <c r="BG31" s="3172"/>
      <c r="BH31" s="3171"/>
      <c r="BI31" s="3172"/>
      <c r="BJ31" s="3170"/>
    </row>
    <row r="32" spans="1:62" ht="36.75" customHeight="1">
      <c r="A32" s="1690"/>
      <c r="B32" s="1691"/>
      <c r="C32" s="1692"/>
      <c r="D32" s="1702">
        <v>28</v>
      </c>
      <c r="E32" s="1702"/>
      <c r="F32" s="381" t="s">
        <v>39</v>
      </c>
      <c r="G32" s="132"/>
      <c r="H32" s="132"/>
      <c r="I32" s="132"/>
      <c r="J32" s="132"/>
      <c r="K32" s="382"/>
      <c r="L32" s="132"/>
      <c r="M32" s="132"/>
      <c r="N32" s="170"/>
      <c r="O32" s="132"/>
      <c r="P32" s="383"/>
      <c r="Q32" s="382"/>
      <c r="R32" s="384"/>
      <c r="S32" s="385"/>
      <c r="T32" s="382"/>
      <c r="U32" s="386"/>
      <c r="V32" s="386"/>
      <c r="W32" s="385"/>
      <c r="X32" s="387"/>
      <c r="Y32" s="387"/>
      <c r="Z32" s="388"/>
      <c r="AA32" s="132"/>
      <c r="AB32" s="132"/>
      <c r="AC32" s="170"/>
      <c r="AD32" s="132"/>
      <c r="AE32" s="170"/>
      <c r="AF32" s="132"/>
      <c r="AG32" s="170"/>
      <c r="AH32" s="132"/>
      <c r="AI32" s="170"/>
      <c r="AJ32" s="132"/>
      <c r="AK32" s="170"/>
      <c r="AL32" s="132"/>
      <c r="AM32" s="170"/>
      <c r="AN32" s="132"/>
      <c r="AO32" s="170"/>
      <c r="AP32" s="132"/>
      <c r="AQ32" s="170"/>
      <c r="AR32" s="132"/>
      <c r="AS32" s="170"/>
      <c r="AT32" s="132"/>
      <c r="AU32" s="170"/>
      <c r="AV32" s="132"/>
      <c r="AW32" s="170"/>
      <c r="AX32" s="132"/>
      <c r="AY32" s="170"/>
      <c r="AZ32" s="132"/>
      <c r="BA32" s="401"/>
      <c r="BB32" s="401"/>
      <c r="BC32" s="132"/>
      <c r="BD32" s="132"/>
      <c r="BE32" s="383"/>
      <c r="BF32" s="389"/>
      <c r="BG32" s="390"/>
      <c r="BH32" s="389"/>
      <c r="BI32" s="390"/>
      <c r="BJ32" s="1696"/>
    </row>
    <row r="33" spans="1:62" ht="39" customHeight="1">
      <c r="A33" s="1693"/>
      <c r="B33" s="337"/>
      <c r="C33" s="337"/>
      <c r="D33" s="1703"/>
      <c r="E33" s="1691"/>
      <c r="F33" s="1692"/>
      <c r="G33" s="1708">
        <v>87</v>
      </c>
      <c r="H33" s="1709" t="s">
        <v>273</v>
      </c>
      <c r="I33" s="1709"/>
      <c r="J33" s="402"/>
      <c r="K33" s="403"/>
      <c r="L33" s="402"/>
      <c r="M33" s="402"/>
      <c r="N33" s="404"/>
      <c r="O33" s="402"/>
      <c r="P33" s="371"/>
      <c r="Q33" s="403"/>
      <c r="R33" s="405"/>
      <c r="S33" s="406"/>
      <c r="T33" s="403"/>
      <c r="U33" s="407"/>
      <c r="V33" s="407"/>
      <c r="W33" s="406"/>
      <c r="X33" s="408"/>
      <c r="Y33" s="408"/>
      <c r="Z33" s="409"/>
      <c r="AA33" s="402"/>
      <c r="AB33" s="402"/>
      <c r="AC33" s="404"/>
      <c r="AD33" s="402"/>
      <c r="AE33" s="404"/>
      <c r="AF33" s="402"/>
      <c r="AG33" s="404"/>
      <c r="AH33" s="402"/>
      <c r="AI33" s="404"/>
      <c r="AJ33" s="402"/>
      <c r="AK33" s="404"/>
      <c r="AL33" s="402"/>
      <c r="AM33" s="404"/>
      <c r="AN33" s="402"/>
      <c r="AO33" s="404"/>
      <c r="AP33" s="402"/>
      <c r="AQ33" s="404"/>
      <c r="AR33" s="402"/>
      <c r="AS33" s="404"/>
      <c r="AT33" s="402"/>
      <c r="AU33" s="404"/>
      <c r="AV33" s="402"/>
      <c r="AW33" s="404"/>
      <c r="AX33" s="402"/>
      <c r="AY33" s="404"/>
      <c r="AZ33" s="402"/>
      <c r="BA33" s="410"/>
      <c r="BB33" s="410"/>
      <c r="BC33" s="402"/>
      <c r="BD33" s="402"/>
      <c r="BE33" s="371"/>
      <c r="BF33" s="411"/>
      <c r="BG33" s="412"/>
      <c r="BH33" s="411"/>
      <c r="BI33" s="412"/>
      <c r="BJ33" s="1699"/>
    </row>
    <row r="34" spans="1:62" ht="91.5" customHeight="1">
      <c r="A34" s="1693"/>
      <c r="B34" s="337"/>
      <c r="C34" s="337"/>
      <c r="D34" s="391"/>
      <c r="E34" s="337"/>
      <c r="F34" s="337"/>
      <c r="G34" s="1703"/>
      <c r="H34" s="1691"/>
      <c r="I34" s="1692"/>
      <c r="J34" s="3156">
        <v>256</v>
      </c>
      <c r="K34" s="3091" t="s">
        <v>274</v>
      </c>
      <c r="L34" s="3157" t="s">
        <v>248</v>
      </c>
      <c r="M34" s="3122">
        <v>1</v>
      </c>
      <c r="N34" s="3160">
        <v>1</v>
      </c>
      <c r="O34" s="2949" t="s">
        <v>275</v>
      </c>
      <c r="P34" s="2949">
        <v>8</v>
      </c>
      <c r="Q34" s="3091" t="s">
        <v>276</v>
      </c>
      <c r="R34" s="3148">
        <v>100</v>
      </c>
      <c r="S34" s="3135">
        <v>196550000</v>
      </c>
      <c r="T34" s="3091" t="s">
        <v>277</v>
      </c>
      <c r="U34" s="3091" t="s">
        <v>278</v>
      </c>
      <c r="V34" s="1141" t="s">
        <v>279</v>
      </c>
      <c r="W34" s="1148">
        <v>40400000</v>
      </c>
      <c r="X34" s="398">
        <v>40400000</v>
      </c>
      <c r="Y34" s="377">
        <v>40400000</v>
      </c>
      <c r="Z34" s="3129">
        <v>20</v>
      </c>
      <c r="AA34" s="2949" t="s">
        <v>232</v>
      </c>
      <c r="AB34" s="3100">
        <v>64149</v>
      </c>
      <c r="AC34" s="3131">
        <f>AB34</f>
        <v>64149</v>
      </c>
      <c r="AD34" s="3100">
        <v>72224</v>
      </c>
      <c r="AE34" s="3131">
        <f>AC34</f>
        <v>64149</v>
      </c>
      <c r="AF34" s="3100">
        <v>27477</v>
      </c>
      <c r="AG34" s="3131">
        <f>AF34</f>
        <v>27477</v>
      </c>
      <c r="AH34" s="3100">
        <v>86843</v>
      </c>
      <c r="AI34" s="3131">
        <f>AH34</f>
        <v>86843</v>
      </c>
      <c r="AJ34" s="3100">
        <v>236429</v>
      </c>
      <c r="AK34" s="3131">
        <f>AJ34</f>
        <v>236429</v>
      </c>
      <c r="AL34" s="3100">
        <v>81384</v>
      </c>
      <c r="AM34" s="3131">
        <f>AL34</f>
        <v>81384</v>
      </c>
      <c r="AN34" s="3100">
        <v>12718</v>
      </c>
      <c r="AO34" s="3131">
        <f>AN34</f>
        <v>12718</v>
      </c>
      <c r="AP34" s="3100">
        <v>2145</v>
      </c>
      <c r="AQ34" s="3131">
        <f>AP34</f>
        <v>2145</v>
      </c>
      <c r="AR34" s="3100">
        <v>413</v>
      </c>
      <c r="AS34" s="3131">
        <f>AR34</f>
        <v>413</v>
      </c>
      <c r="AT34" s="3100">
        <v>78</v>
      </c>
      <c r="AU34" s="3131">
        <f>AT34</f>
        <v>78</v>
      </c>
      <c r="AV34" s="3100">
        <v>16897</v>
      </c>
      <c r="AW34" s="3131">
        <f>AV34</f>
        <v>16897</v>
      </c>
      <c r="AX34" s="3100">
        <v>81384</v>
      </c>
      <c r="AY34" s="3131">
        <f>AX34</f>
        <v>81384</v>
      </c>
      <c r="AZ34" s="3100">
        <v>13</v>
      </c>
      <c r="BA34" s="3114">
        <v>184355800</v>
      </c>
      <c r="BB34" s="3114">
        <v>184355800</v>
      </c>
      <c r="BC34" s="2892">
        <f>BB34/BA34</f>
        <v>1</v>
      </c>
      <c r="BD34" s="3100" t="s">
        <v>233</v>
      </c>
      <c r="BE34" s="3100" t="s">
        <v>280</v>
      </c>
      <c r="BF34" s="3151">
        <v>42426</v>
      </c>
      <c r="BG34" s="3153">
        <v>42426</v>
      </c>
      <c r="BH34" s="3151">
        <v>42714</v>
      </c>
      <c r="BI34" s="3153">
        <v>42734</v>
      </c>
      <c r="BJ34" s="3174" t="s">
        <v>235</v>
      </c>
    </row>
    <row r="35" spans="1:62" ht="98.25" customHeight="1">
      <c r="A35" s="1693"/>
      <c r="B35" s="337"/>
      <c r="C35" s="337"/>
      <c r="D35" s="391"/>
      <c r="E35" s="337"/>
      <c r="F35" s="337"/>
      <c r="G35" s="391"/>
      <c r="H35" s="337"/>
      <c r="I35" s="392"/>
      <c r="J35" s="3156"/>
      <c r="K35" s="3092"/>
      <c r="L35" s="3158"/>
      <c r="M35" s="3123"/>
      <c r="N35" s="3161"/>
      <c r="O35" s="2950"/>
      <c r="P35" s="2950"/>
      <c r="Q35" s="3092"/>
      <c r="R35" s="3149"/>
      <c r="S35" s="3136"/>
      <c r="T35" s="3092"/>
      <c r="U35" s="3092"/>
      <c r="V35" s="1141" t="s">
        <v>281</v>
      </c>
      <c r="W35" s="376">
        <v>2500000</v>
      </c>
      <c r="X35" s="377">
        <v>2500000</v>
      </c>
      <c r="Y35" s="377">
        <v>2500000</v>
      </c>
      <c r="Z35" s="3130"/>
      <c r="AA35" s="2950"/>
      <c r="AB35" s="3101"/>
      <c r="AC35" s="3132"/>
      <c r="AD35" s="3101"/>
      <c r="AE35" s="3132"/>
      <c r="AF35" s="3101"/>
      <c r="AG35" s="3132"/>
      <c r="AH35" s="3101"/>
      <c r="AI35" s="3132"/>
      <c r="AJ35" s="3101"/>
      <c r="AK35" s="3132"/>
      <c r="AL35" s="3101"/>
      <c r="AM35" s="3132"/>
      <c r="AN35" s="3101"/>
      <c r="AO35" s="3132"/>
      <c r="AP35" s="3101"/>
      <c r="AQ35" s="3132"/>
      <c r="AR35" s="3101"/>
      <c r="AS35" s="3132"/>
      <c r="AT35" s="3101"/>
      <c r="AU35" s="3132"/>
      <c r="AV35" s="3101"/>
      <c r="AW35" s="3132"/>
      <c r="AX35" s="3101"/>
      <c r="AY35" s="3132"/>
      <c r="AZ35" s="3101"/>
      <c r="BA35" s="3115"/>
      <c r="BB35" s="3115"/>
      <c r="BC35" s="2893"/>
      <c r="BD35" s="3101"/>
      <c r="BE35" s="3101"/>
      <c r="BF35" s="3152"/>
      <c r="BG35" s="3154"/>
      <c r="BH35" s="3152"/>
      <c r="BI35" s="3154"/>
      <c r="BJ35" s="3169"/>
    </row>
    <row r="36" spans="1:62" ht="120" customHeight="1">
      <c r="A36" s="1693"/>
      <c r="B36" s="337"/>
      <c r="C36" s="337"/>
      <c r="D36" s="391"/>
      <c r="E36" s="337"/>
      <c r="F36" s="337"/>
      <c r="G36" s="391"/>
      <c r="H36" s="337"/>
      <c r="I36" s="392"/>
      <c r="J36" s="3156"/>
      <c r="K36" s="3092"/>
      <c r="L36" s="3158"/>
      <c r="M36" s="3123"/>
      <c r="N36" s="3161"/>
      <c r="O36" s="2950"/>
      <c r="P36" s="2950"/>
      <c r="Q36" s="3092"/>
      <c r="R36" s="3149"/>
      <c r="S36" s="3136"/>
      <c r="T36" s="3092"/>
      <c r="U36" s="3092"/>
      <c r="V36" s="1141" t="s">
        <v>282</v>
      </c>
      <c r="W36" s="376">
        <v>1000000</v>
      </c>
      <c r="X36" s="377">
        <v>1000000</v>
      </c>
      <c r="Y36" s="377">
        <v>1000000</v>
      </c>
      <c r="Z36" s="3130"/>
      <c r="AA36" s="2950"/>
      <c r="AB36" s="3101"/>
      <c r="AC36" s="3132"/>
      <c r="AD36" s="3101"/>
      <c r="AE36" s="3132"/>
      <c r="AF36" s="3101"/>
      <c r="AG36" s="3132"/>
      <c r="AH36" s="3101"/>
      <c r="AI36" s="3132"/>
      <c r="AJ36" s="3101"/>
      <c r="AK36" s="3132"/>
      <c r="AL36" s="3101"/>
      <c r="AM36" s="3132"/>
      <c r="AN36" s="3101"/>
      <c r="AO36" s="3132"/>
      <c r="AP36" s="3101"/>
      <c r="AQ36" s="3132"/>
      <c r="AR36" s="3101"/>
      <c r="AS36" s="3132"/>
      <c r="AT36" s="3101"/>
      <c r="AU36" s="3132"/>
      <c r="AV36" s="3101"/>
      <c r="AW36" s="3132"/>
      <c r="AX36" s="3101"/>
      <c r="AY36" s="3132"/>
      <c r="AZ36" s="3101"/>
      <c r="BA36" s="3115"/>
      <c r="BB36" s="3115"/>
      <c r="BC36" s="2893"/>
      <c r="BD36" s="3101"/>
      <c r="BE36" s="3101"/>
      <c r="BF36" s="3152"/>
      <c r="BG36" s="3154"/>
      <c r="BH36" s="3152"/>
      <c r="BI36" s="3154"/>
      <c r="BJ36" s="3169"/>
    </row>
    <row r="37" spans="1:62" ht="99.75" customHeight="1">
      <c r="A37" s="1693"/>
      <c r="B37" s="337"/>
      <c r="C37" s="337"/>
      <c r="D37" s="391"/>
      <c r="E37" s="337"/>
      <c r="F37" s="337"/>
      <c r="G37" s="391"/>
      <c r="H37" s="337"/>
      <c r="I37" s="392"/>
      <c r="J37" s="3156"/>
      <c r="K37" s="3092"/>
      <c r="L37" s="3158"/>
      <c r="M37" s="3123"/>
      <c r="N37" s="3161"/>
      <c r="O37" s="2950"/>
      <c r="P37" s="2950"/>
      <c r="Q37" s="3092"/>
      <c r="R37" s="3149"/>
      <c r="S37" s="3136"/>
      <c r="T37" s="3092"/>
      <c r="U37" s="3092"/>
      <c r="V37" s="1141" t="s">
        <v>283</v>
      </c>
      <c r="W37" s="376">
        <v>23500000</v>
      </c>
      <c r="X37" s="377">
        <v>23500000</v>
      </c>
      <c r="Y37" s="377">
        <f>X37</f>
        <v>23500000</v>
      </c>
      <c r="Z37" s="3130"/>
      <c r="AA37" s="2950"/>
      <c r="AB37" s="3101"/>
      <c r="AC37" s="3132"/>
      <c r="AD37" s="3101"/>
      <c r="AE37" s="3132"/>
      <c r="AF37" s="3101"/>
      <c r="AG37" s="3132"/>
      <c r="AH37" s="3101"/>
      <c r="AI37" s="3132"/>
      <c r="AJ37" s="3101"/>
      <c r="AK37" s="3132"/>
      <c r="AL37" s="3101"/>
      <c r="AM37" s="3132"/>
      <c r="AN37" s="3101"/>
      <c r="AO37" s="3132"/>
      <c r="AP37" s="3101"/>
      <c r="AQ37" s="3132"/>
      <c r="AR37" s="3101"/>
      <c r="AS37" s="3132"/>
      <c r="AT37" s="3101"/>
      <c r="AU37" s="3132"/>
      <c r="AV37" s="3101"/>
      <c r="AW37" s="3132"/>
      <c r="AX37" s="3101"/>
      <c r="AY37" s="3132"/>
      <c r="AZ37" s="3101"/>
      <c r="BA37" s="3115"/>
      <c r="BB37" s="3115"/>
      <c r="BC37" s="2893"/>
      <c r="BD37" s="3101"/>
      <c r="BE37" s="3101"/>
      <c r="BF37" s="3152"/>
      <c r="BG37" s="3154"/>
      <c r="BH37" s="3152"/>
      <c r="BI37" s="3154"/>
      <c r="BJ37" s="3169"/>
    </row>
    <row r="38" spans="1:62" ht="99.75" customHeight="1">
      <c r="A38" s="1693"/>
      <c r="B38" s="337"/>
      <c r="C38" s="337"/>
      <c r="D38" s="391"/>
      <c r="E38" s="337"/>
      <c r="F38" s="337"/>
      <c r="G38" s="391"/>
      <c r="H38" s="337"/>
      <c r="I38" s="392"/>
      <c r="J38" s="3156"/>
      <c r="K38" s="3092"/>
      <c r="L38" s="3158"/>
      <c r="M38" s="3123"/>
      <c r="N38" s="3161"/>
      <c r="O38" s="2950"/>
      <c r="P38" s="2950"/>
      <c r="Q38" s="3092"/>
      <c r="R38" s="3149"/>
      <c r="S38" s="3136"/>
      <c r="T38" s="3092"/>
      <c r="U38" s="3092"/>
      <c r="V38" s="1141" t="s">
        <v>284</v>
      </c>
      <c r="W38" s="376">
        <v>14000000</v>
      </c>
      <c r="X38" s="377">
        <v>14000000</v>
      </c>
      <c r="Y38" s="377">
        <f>X38</f>
        <v>14000000</v>
      </c>
      <c r="Z38" s="3130"/>
      <c r="AA38" s="2950"/>
      <c r="AB38" s="3101"/>
      <c r="AC38" s="3132"/>
      <c r="AD38" s="3101"/>
      <c r="AE38" s="3132"/>
      <c r="AF38" s="3101"/>
      <c r="AG38" s="3132"/>
      <c r="AH38" s="3101"/>
      <c r="AI38" s="3132"/>
      <c r="AJ38" s="3101"/>
      <c r="AK38" s="3132"/>
      <c r="AL38" s="3101"/>
      <c r="AM38" s="3132"/>
      <c r="AN38" s="3101"/>
      <c r="AO38" s="3132"/>
      <c r="AP38" s="3101"/>
      <c r="AQ38" s="3132"/>
      <c r="AR38" s="3101"/>
      <c r="AS38" s="3132"/>
      <c r="AT38" s="3101"/>
      <c r="AU38" s="3132"/>
      <c r="AV38" s="3101"/>
      <c r="AW38" s="3132"/>
      <c r="AX38" s="3101"/>
      <c r="AY38" s="3132"/>
      <c r="AZ38" s="3101"/>
      <c r="BA38" s="3115"/>
      <c r="BB38" s="3115"/>
      <c r="BC38" s="2893"/>
      <c r="BD38" s="3101"/>
      <c r="BE38" s="3101"/>
      <c r="BF38" s="3152"/>
      <c r="BG38" s="3154"/>
      <c r="BH38" s="3152"/>
      <c r="BI38" s="3154"/>
      <c r="BJ38" s="3169"/>
    </row>
    <row r="39" spans="1:62" ht="59.25" customHeight="1">
      <c r="A39" s="1693"/>
      <c r="B39" s="337"/>
      <c r="C39" s="337"/>
      <c r="D39" s="391"/>
      <c r="E39" s="337"/>
      <c r="F39" s="337"/>
      <c r="G39" s="391"/>
      <c r="H39" s="337"/>
      <c r="I39" s="392"/>
      <c r="J39" s="3156"/>
      <c r="K39" s="3092"/>
      <c r="L39" s="3158"/>
      <c r="M39" s="3123"/>
      <c r="N39" s="3161"/>
      <c r="O39" s="2950"/>
      <c r="P39" s="2950"/>
      <c r="Q39" s="3092"/>
      <c r="R39" s="3149"/>
      <c r="S39" s="3136"/>
      <c r="T39" s="3092"/>
      <c r="U39" s="3091" t="s">
        <v>285</v>
      </c>
      <c r="V39" s="1141" t="s">
        <v>286</v>
      </c>
      <c r="W39" s="376">
        <v>77600000</v>
      </c>
      <c r="X39" s="377">
        <v>77600000</v>
      </c>
      <c r="Y39" s="377">
        <f>X39</f>
        <v>77600000</v>
      </c>
      <c r="Z39" s="3130"/>
      <c r="AA39" s="2950"/>
      <c r="AB39" s="3101"/>
      <c r="AC39" s="3132"/>
      <c r="AD39" s="3101"/>
      <c r="AE39" s="3132"/>
      <c r="AF39" s="3101"/>
      <c r="AG39" s="3132"/>
      <c r="AH39" s="3101"/>
      <c r="AI39" s="3132"/>
      <c r="AJ39" s="3101"/>
      <c r="AK39" s="3132"/>
      <c r="AL39" s="3101"/>
      <c r="AM39" s="3132"/>
      <c r="AN39" s="3101"/>
      <c r="AO39" s="3132"/>
      <c r="AP39" s="3101"/>
      <c r="AQ39" s="3132"/>
      <c r="AR39" s="3101"/>
      <c r="AS39" s="3132"/>
      <c r="AT39" s="3101"/>
      <c r="AU39" s="3132"/>
      <c r="AV39" s="3101"/>
      <c r="AW39" s="3132"/>
      <c r="AX39" s="3101"/>
      <c r="AY39" s="3132"/>
      <c r="AZ39" s="3101"/>
      <c r="BA39" s="3115"/>
      <c r="BB39" s="3115"/>
      <c r="BC39" s="2893"/>
      <c r="BD39" s="3101"/>
      <c r="BE39" s="3101"/>
      <c r="BF39" s="3152"/>
      <c r="BG39" s="3154"/>
      <c r="BH39" s="3152"/>
      <c r="BI39" s="3154"/>
      <c r="BJ39" s="3169"/>
    </row>
    <row r="40" spans="1:62" ht="62.25" customHeight="1">
      <c r="A40" s="1693"/>
      <c r="B40" s="337"/>
      <c r="C40" s="337"/>
      <c r="D40" s="391"/>
      <c r="E40" s="337"/>
      <c r="F40" s="337"/>
      <c r="G40" s="391"/>
      <c r="H40" s="337"/>
      <c r="I40" s="392"/>
      <c r="J40" s="3156"/>
      <c r="K40" s="3092"/>
      <c r="L40" s="3158"/>
      <c r="M40" s="3123"/>
      <c r="N40" s="3161"/>
      <c r="O40" s="2950"/>
      <c r="P40" s="2950"/>
      <c r="Q40" s="3092"/>
      <c r="R40" s="3149"/>
      <c r="S40" s="3136"/>
      <c r="T40" s="3092"/>
      <c r="U40" s="3092"/>
      <c r="V40" s="1141" t="s">
        <v>287</v>
      </c>
      <c r="W40" s="1179">
        <v>7373200</v>
      </c>
      <c r="X40" s="377">
        <v>3625000</v>
      </c>
      <c r="Y40" s="377">
        <v>3625000</v>
      </c>
      <c r="Z40" s="3130"/>
      <c r="AA40" s="2950"/>
      <c r="AB40" s="3101"/>
      <c r="AC40" s="3132"/>
      <c r="AD40" s="3101"/>
      <c r="AE40" s="3132"/>
      <c r="AF40" s="3101"/>
      <c r="AG40" s="3132"/>
      <c r="AH40" s="3101"/>
      <c r="AI40" s="3132"/>
      <c r="AJ40" s="3101"/>
      <c r="AK40" s="3132"/>
      <c r="AL40" s="3101"/>
      <c r="AM40" s="3132"/>
      <c r="AN40" s="3101"/>
      <c r="AO40" s="3132"/>
      <c r="AP40" s="3101"/>
      <c r="AQ40" s="3132"/>
      <c r="AR40" s="3101"/>
      <c r="AS40" s="3132"/>
      <c r="AT40" s="3101"/>
      <c r="AU40" s="3132"/>
      <c r="AV40" s="3101"/>
      <c r="AW40" s="3132"/>
      <c r="AX40" s="3101"/>
      <c r="AY40" s="3132"/>
      <c r="AZ40" s="3101"/>
      <c r="BA40" s="3115"/>
      <c r="BB40" s="3115"/>
      <c r="BC40" s="2893"/>
      <c r="BD40" s="3101"/>
      <c r="BE40" s="3101"/>
      <c r="BF40" s="3152"/>
      <c r="BG40" s="3154"/>
      <c r="BH40" s="3152"/>
      <c r="BI40" s="3154"/>
      <c r="BJ40" s="3169"/>
    </row>
    <row r="41" spans="1:62" ht="44.25" customHeight="1">
      <c r="A41" s="1693"/>
      <c r="B41" s="337"/>
      <c r="C41" s="337"/>
      <c r="D41" s="391"/>
      <c r="E41" s="337"/>
      <c r="F41" s="337"/>
      <c r="G41" s="391"/>
      <c r="H41" s="337"/>
      <c r="I41" s="392"/>
      <c r="J41" s="3156"/>
      <c r="K41" s="3092"/>
      <c r="L41" s="3158"/>
      <c r="M41" s="3123"/>
      <c r="N41" s="3161"/>
      <c r="O41" s="2950"/>
      <c r="P41" s="2950"/>
      <c r="Q41" s="3092"/>
      <c r="R41" s="3149"/>
      <c r="S41" s="3136"/>
      <c r="T41" s="3092"/>
      <c r="U41" s="3092"/>
      <c r="V41" s="1141" t="s">
        <v>288</v>
      </c>
      <c r="W41" s="1179">
        <v>19445000</v>
      </c>
      <c r="X41" s="377">
        <f>1999000+13500000</f>
        <v>15499000</v>
      </c>
      <c r="Y41" s="377">
        <f>X41</f>
        <v>15499000</v>
      </c>
      <c r="Z41" s="3130"/>
      <c r="AA41" s="2950"/>
      <c r="AB41" s="3101"/>
      <c r="AC41" s="3132"/>
      <c r="AD41" s="3101"/>
      <c r="AE41" s="3132"/>
      <c r="AF41" s="3101"/>
      <c r="AG41" s="3132"/>
      <c r="AH41" s="3101"/>
      <c r="AI41" s="3132"/>
      <c r="AJ41" s="3101"/>
      <c r="AK41" s="3132"/>
      <c r="AL41" s="3101"/>
      <c r="AM41" s="3132"/>
      <c r="AN41" s="3101"/>
      <c r="AO41" s="3132"/>
      <c r="AP41" s="3101"/>
      <c r="AQ41" s="3132"/>
      <c r="AR41" s="3101"/>
      <c r="AS41" s="3132"/>
      <c r="AT41" s="3101"/>
      <c r="AU41" s="3132"/>
      <c r="AV41" s="3101"/>
      <c r="AW41" s="3132"/>
      <c r="AX41" s="3101"/>
      <c r="AY41" s="3132"/>
      <c r="AZ41" s="3101"/>
      <c r="BA41" s="3115"/>
      <c r="BB41" s="3115"/>
      <c r="BC41" s="2893"/>
      <c r="BD41" s="3101"/>
      <c r="BE41" s="3101"/>
      <c r="BF41" s="3152"/>
      <c r="BG41" s="3154"/>
      <c r="BH41" s="3152"/>
      <c r="BI41" s="3154"/>
      <c r="BJ41" s="3169"/>
    </row>
    <row r="42" spans="1:62" ht="45.75" customHeight="1">
      <c r="A42" s="1693"/>
      <c r="B42" s="337"/>
      <c r="C42" s="337"/>
      <c r="D42" s="391"/>
      <c r="E42" s="337"/>
      <c r="F42" s="337"/>
      <c r="G42" s="391"/>
      <c r="H42" s="337"/>
      <c r="I42" s="392"/>
      <c r="J42" s="3156"/>
      <c r="K42" s="3092"/>
      <c r="L42" s="3158"/>
      <c r="M42" s="3123"/>
      <c r="N42" s="3161"/>
      <c r="O42" s="2950"/>
      <c r="P42" s="2950"/>
      <c r="Q42" s="3092"/>
      <c r="R42" s="3149"/>
      <c r="S42" s="3136"/>
      <c r="T42" s="3092"/>
      <c r="U42" s="3092"/>
      <c r="V42" s="1141" t="s">
        <v>289</v>
      </c>
      <c r="W42" s="1179">
        <v>4500000</v>
      </c>
      <c r="X42" s="377">
        <v>0</v>
      </c>
      <c r="Y42" s="377">
        <v>0</v>
      </c>
      <c r="Z42" s="3130"/>
      <c r="AA42" s="2950"/>
      <c r="AB42" s="3101"/>
      <c r="AC42" s="3132"/>
      <c r="AD42" s="3101"/>
      <c r="AE42" s="3132"/>
      <c r="AF42" s="3101"/>
      <c r="AG42" s="3132"/>
      <c r="AH42" s="3101"/>
      <c r="AI42" s="3132"/>
      <c r="AJ42" s="3101"/>
      <c r="AK42" s="3132"/>
      <c r="AL42" s="3101"/>
      <c r="AM42" s="3132"/>
      <c r="AN42" s="3101"/>
      <c r="AO42" s="3132"/>
      <c r="AP42" s="3101"/>
      <c r="AQ42" s="3132"/>
      <c r="AR42" s="3101"/>
      <c r="AS42" s="3132"/>
      <c r="AT42" s="3101"/>
      <c r="AU42" s="3132"/>
      <c r="AV42" s="3101"/>
      <c r="AW42" s="3132"/>
      <c r="AX42" s="3101"/>
      <c r="AY42" s="3132"/>
      <c r="AZ42" s="3101"/>
      <c r="BA42" s="3115"/>
      <c r="BB42" s="3115"/>
      <c r="BC42" s="2893"/>
      <c r="BD42" s="3101"/>
      <c r="BE42" s="3101"/>
      <c r="BF42" s="3152"/>
      <c r="BG42" s="3154"/>
      <c r="BH42" s="3152"/>
      <c r="BI42" s="3154"/>
      <c r="BJ42" s="3169"/>
    </row>
    <row r="43" spans="1:62" ht="56.25" customHeight="1">
      <c r="A43" s="1693"/>
      <c r="B43" s="337"/>
      <c r="C43" s="337"/>
      <c r="D43" s="391"/>
      <c r="E43" s="337"/>
      <c r="F43" s="337"/>
      <c r="G43" s="391"/>
      <c r="H43" s="337"/>
      <c r="I43" s="392"/>
      <c r="J43" s="3156"/>
      <c r="K43" s="3093"/>
      <c r="L43" s="3159"/>
      <c r="M43" s="3139"/>
      <c r="N43" s="3162"/>
      <c r="O43" s="2951"/>
      <c r="P43" s="2951"/>
      <c r="Q43" s="3093"/>
      <c r="R43" s="3150"/>
      <c r="S43" s="3155"/>
      <c r="T43" s="3093"/>
      <c r="U43" s="3093"/>
      <c r="V43" s="1128" t="s">
        <v>290</v>
      </c>
      <c r="W43" s="376">
        <v>6231800</v>
      </c>
      <c r="X43" s="377">
        <v>6231800</v>
      </c>
      <c r="Y43" s="377">
        <v>6231800</v>
      </c>
      <c r="Z43" s="3173"/>
      <c r="AA43" s="2951"/>
      <c r="AB43" s="3102"/>
      <c r="AC43" s="3167"/>
      <c r="AD43" s="3102"/>
      <c r="AE43" s="3167"/>
      <c r="AF43" s="3102"/>
      <c r="AG43" s="3167"/>
      <c r="AH43" s="3102"/>
      <c r="AI43" s="3167"/>
      <c r="AJ43" s="3102"/>
      <c r="AK43" s="3167"/>
      <c r="AL43" s="3102"/>
      <c r="AM43" s="3167"/>
      <c r="AN43" s="3102"/>
      <c r="AO43" s="3167"/>
      <c r="AP43" s="3102"/>
      <c r="AQ43" s="3167"/>
      <c r="AR43" s="3102"/>
      <c r="AS43" s="3167"/>
      <c r="AT43" s="3102"/>
      <c r="AU43" s="3167"/>
      <c r="AV43" s="3102"/>
      <c r="AW43" s="3167"/>
      <c r="AX43" s="3102"/>
      <c r="AY43" s="3167"/>
      <c r="AZ43" s="3102"/>
      <c r="BA43" s="3116"/>
      <c r="BB43" s="3116"/>
      <c r="BC43" s="2894"/>
      <c r="BD43" s="3102"/>
      <c r="BE43" s="3102"/>
      <c r="BF43" s="3171"/>
      <c r="BG43" s="3172"/>
      <c r="BH43" s="3171"/>
      <c r="BI43" s="3172"/>
      <c r="BJ43" s="3170"/>
    </row>
    <row r="44" spans="1:62" s="134" customFormat="1" ht="57.75" customHeight="1">
      <c r="A44" s="1700"/>
      <c r="B44" s="414"/>
      <c r="C44" s="414"/>
      <c r="D44" s="1704"/>
      <c r="E44" s="414"/>
      <c r="F44" s="414"/>
      <c r="G44" s="1704"/>
      <c r="H44" s="414"/>
      <c r="I44" s="1701"/>
      <c r="J44" s="3183">
        <v>257</v>
      </c>
      <c r="K44" s="2971" t="s">
        <v>291</v>
      </c>
      <c r="L44" s="3124" t="s">
        <v>248</v>
      </c>
      <c r="M44" s="3183">
        <v>1</v>
      </c>
      <c r="N44" s="3187">
        <v>1</v>
      </c>
      <c r="O44" s="2886" t="s">
        <v>292</v>
      </c>
      <c r="P44" s="3175">
        <v>9</v>
      </c>
      <c r="Q44" s="3176" t="s">
        <v>293</v>
      </c>
      <c r="R44" s="3177">
        <f>+S44/131800000*100</f>
        <v>27.086494688922606</v>
      </c>
      <c r="S44" s="3180">
        <v>35700000</v>
      </c>
      <c r="T44" s="3176" t="s">
        <v>294</v>
      </c>
      <c r="U44" s="2971" t="s">
        <v>295</v>
      </c>
      <c r="V44" s="1127" t="s">
        <v>296</v>
      </c>
      <c r="W44" s="1161">
        <v>17800000</v>
      </c>
      <c r="X44" s="1710">
        <f>12800000+5000000</f>
        <v>17800000</v>
      </c>
      <c r="Y44" s="415">
        <f>X44</f>
        <v>17800000</v>
      </c>
      <c r="Z44" s="3197">
        <v>20</v>
      </c>
      <c r="AA44" s="3183" t="s">
        <v>232</v>
      </c>
      <c r="AB44" s="3183">
        <v>64149</v>
      </c>
      <c r="AC44" s="3187">
        <f>AB44</f>
        <v>64149</v>
      </c>
      <c r="AD44" s="3183">
        <v>72224</v>
      </c>
      <c r="AE44" s="3187">
        <f>AD44</f>
        <v>72224</v>
      </c>
      <c r="AF44" s="3183">
        <v>27477</v>
      </c>
      <c r="AG44" s="3187">
        <f>AF44</f>
        <v>27477</v>
      </c>
      <c r="AH44" s="3183">
        <v>86843</v>
      </c>
      <c r="AI44" s="3187">
        <f>AH44</f>
        <v>86843</v>
      </c>
      <c r="AJ44" s="3183">
        <v>236429</v>
      </c>
      <c r="AK44" s="3187">
        <f>AJ44</f>
        <v>236429</v>
      </c>
      <c r="AL44" s="3183">
        <v>81384</v>
      </c>
      <c r="AM44" s="3187">
        <f>AL44</f>
        <v>81384</v>
      </c>
      <c r="AN44" s="3183">
        <v>12718</v>
      </c>
      <c r="AO44" s="3187">
        <f>AN44</f>
        <v>12718</v>
      </c>
      <c r="AP44" s="3183">
        <v>2145</v>
      </c>
      <c r="AQ44" s="3187">
        <f>AP44</f>
        <v>2145</v>
      </c>
      <c r="AR44" s="3183">
        <v>413</v>
      </c>
      <c r="AS44" s="3187">
        <f>AR44</f>
        <v>413</v>
      </c>
      <c r="AT44" s="3183">
        <v>78</v>
      </c>
      <c r="AU44" s="3187">
        <f>AT44</f>
        <v>78</v>
      </c>
      <c r="AV44" s="3183">
        <v>16897</v>
      </c>
      <c r="AW44" s="3187">
        <f>AV44</f>
        <v>16897</v>
      </c>
      <c r="AX44" s="3183">
        <v>81384</v>
      </c>
      <c r="AY44" s="3187">
        <f>AX44</f>
        <v>81384</v>
      </c>
      <c r="AZ44" s="3183">
        <v>7</v>
      </c>
      <c r="BA44" s="3022">
        <v>63200000</v>
      </c>
      <c r="BB44" s="3211">
        <v>63200000</v>
      </c>
      <c r="BC44" s="2974">
        <f>BB44/BA44</f>
        <v>1</v>
      </c>
      <c r="BD44" s="3183" t="s">
        <v>233</v>
      </c>
      <c r="BE44" s="3183" t="s">
        <v>267</v>
      </c>
      <c r="BF44" s="3205">
        <v>42597</v>
      </c>
      <c r="BG44" s="3208">
        <v>42608</v>
      </c>
      <c r="BH44" s="3205">
        <v>42735</v>
      </c>
      <c r="BI44" s="3208">
        <v>42732</v>
      </c>
      <c r="BJ44" s="3200" t="s">
        <v>235</v>
      </c>
    </row>
    <row r="45" spans="1:62" s="134" customFormat="1" ht="57" customHeight="1">
      <c r="A45" s="1700"/>
      <c r="B45" s="414"/>
      <c r="C45" s="414"/>
      <c r="D45" s="1704"/>
      <c r="E45" s="414"/>
      <c r="F45" s="414"/>
      <c r="G45" s="1704"/>
      <c r="H45" s="414"/>
      <c r="I45" s="1701"/>
      <c r="J45" s="3184"/>
      <c r="K45" s="2972"/>
      <c r="L45" s="3125"/>
      <c r="M45" s="3184"/>
      <c r="N45" s="3188"/>
      <c r="O45" s="2887"/>
      <c r="P45" s="3175"/>
      <c r="Q45" s="3176"/>
      <c r="R45" s="3178"/>
      <c r="S45" s="3181"/>
      <c r="T45" s="3176"/>
      <c r="U45" s="2972"/>
      <c r="V45" s="1126" t="s">
        <v>297</v>
      </c>
      <c r="W45" s="1179">
        <v>10000000</v>
      </c>
      <c r="X45" s="415">
        <v>10000000</v>
      </c>
      <c r="Y45" s="415">
        <f>X45</f>
        <v>10000000</v>
      </c>
      <c r="Z45" s="3198"/>
      <c r="AA45" s="3184"/>
      <c r="AB45" s="3184"/>
      <c r="AC45" s="3188"/>
      <c r="AD45" s="3184"/>
      <c r="AE45" s="3188"/>
      <c r="AF45" s="3184"/>
      <c r="AG45" s="3188"/>
      <c r="AH45" s="3184"/>
      <c r="AI45" s="3188"/>
      <c r="AJ45" s="3184"/>
      <c r="AK45" s="3188"/>
      <c r="AL45" s="3184"/>
      <c r="AM45" s="3188"/>
      <c r="AN45" s="3184"/>
      <c r="AO45" s="3188"/>
      <c r="AP45" s="3184"/>
      <c r="AQ45" s="3188"/>
      <c r="AR45" s="3184"/>
      <c r="AS45" s="3188"/>
      <c r="AT45" s="3184"/>
      <c r="AU45" s="3188"/>
      <c r="AV45" s="3184"/>
      <c r="AW45" s="3188"/>
      <c r="AX45" s="3184"/>
      <c r="AY45" s="3188"/>
      <c r="AZ45" s="3184"/>
      <c r="BA45" s="3023"/>
      <c r="BB45" s="3212"/>
      <c r="BC45" s="2975"/>
      <c r="BD45" s="3184"/>
      <c r="BE45" s="3184"/>
      <c r="BF45" s="3206"/>
      <c r="BG45" s="3209"/>
      <c r="BH45" s="3206"/>
      <c r="BI45" s="3209"/>
      <c r="BJ45" s="3201"/>
    </row>
    <row r="46" spans="1:62" s="134" customFormat="1" ht="78" customHeight="1">
      <c r="A46" s="1700"/>
      <c r="B46" s="414"/>
      <c r="C46" s="414"/>
      <c r="D46" s="1704"/>
      <c r="E46" s="414"/>
      <c r="F46" s="414"/>
      <c r="G46" s="1704"/>
      <c r="H46" s="414"/>
      <c r="I46" s="1705" t="s">
        <v>40</v>
      </c>
      <c r="J46" s="3185"/>
      <c r="K46" s="2973"/>
      <c r="L46" s="3186"/>
      <c r="M46" s="3185"/>
      <c r="N46" s="3189"/>
      <c r="O46" s="2887"/>
      <c r="P46" s="3175"/>
      <c r="Q46" s="3176"/>
      <c r="R46" s="3179"/>
      <c r="S46" s="3182"/>
      <c r="T46" s="3176"/>
      <c r="U46" s="2973"/>
      <c r="V46" s="1126" t="s">
        <v>298</v>
      </c>
      <c r="W46" s="1179">
        <v>7900000</v>
      </c>
      <c r="X46" s="415"/>
      <c r="Y46" s="415"/>
      <c r="Z46" s="3198"/>
      <c r="AA46" s="3184"/>
      <c r="AB46" s="3184"/>
      <c r="AC46" s="3188"/>
      <c r="AD46" s="3184"/>
      <c r="AE46" s="3188"/>
      <c r="AF46" s="3184"/>
      <c r="AG46" s="3188"/>
      <c r="AH46" s="3184"/>
      <c r="AI46" s="3188"/>
      <c r="AJ46" s="3184"/>
      <c r="AK46" s="3188"/>
      <c r="AL46" s="3184"/>
      <c r="AM46" s="3188"/>
      <c r="AN46" s="3184"/>
      <c r="AO46" s="3188"/>
      <c r="AP46" s="3184"/>
      <c r="AQ46" s="3188"/>
      <c r="AR46" s="3184"/>
      <c r="AS46" s="3188"/>
      <c r="AT46" s="3184"/>
      <c r="AU46" s="3188"/>
      <c r="AV46" s="3184"/>
      <c r="AW46" s="3188"/>
      <c r="AX46" s="3184"/>
      <c r="AY46" s="3188"/>
      <c r="AZ46" s="3184"/>
      <c r="BA46" s="3023"/>
      <c r="BB46" s="3212"/>
      <c r="BC46" s="2975"/>
      <c r="BD46" s="3184"/>
      <c r="BE46" s="3184"/>
      <c r="BF46" s="3206"/>
      <c r="BG46" s="3209"/>
      <c r="BH46" s="3206"/>
      <c r="BI46" s="3209"/>
      <c r="BJ46" s="3201"/>
    </row>
    <row r="47" spans="1:62" s="134" customFormat="1" ht="38.25" customHeight="1">
      <c r="A47" s="1700"/>
      <c r="B47" s="414"/>
      <c r="C47" s="414"/>
      <c r="D47" s="1704"/>
      <c r="E47" s="414"/>
      <c r="F47" s="414"/>
      <c r="G47" s="1704"/>
      <c r="H47" s="414"/>
      <c r="I47" s="1701"/>
      <c r="J47" s="3194">
        <v>259</v>
      </c>
      <c r="K47" s="2982" t="s">
        <v>299</v>
      </c>
      <c r="L47" s="3175" t="s">
        <v>248</v>
      </c>
      <c r="M47" s="3190">
        <v>1</v>
      </c>
      <c r="N47" s="3203">
        <v>1</v>
      </c>
      <c r="O47" s="2887"/>
      <c r="P47" s="3175"/>
      <c r="Q47" s="3176"/>
      <c r="R47" s="3204">
        <f>+S47/131800000*100</f>
        <v>6.828528072837632</v>
      </c>
      <c r="S47" s="3180">
        <v>9000000</v>
      </c>
      <c r="T47" s="3176"/>
      <c r="U47" s="2971" t="s">
        <v>300</v>
      </c>
      <c r="V47" s="1126" t="s">
        <v>301</v>
      </c>
      <c r="W47" s="1179">
        <v>4500000</v>
      </c>
      <c r="X47" s="415">
        <v>4500000</v>
      </c>
      <c r="Y47" s="415">
        <f>X47</f>
        <v>4500000</v>
      </c>
      <c r="Z47" s="3198"/>
      <c r="AA47" s="3184"/>
      <c r="AB47" s="3184"/>
      <c r="AC47" s="3188"/>
      <c r="AD47" s="3184"/>
      <c r="AE47" s="3188"/>
      <c r="AF47" s="3184"/>
      <c r="AG47" s="3188"/>
      <c r="AH47" s="3184"/>
      <c r="AI47" s="3188"/>
      <c r="AJ47" s="3184"/>
      <c r="AK47" s="3188"/>
      <c r="AL47" s="3184"/>
      <c r="AM47" s="3188"/>
      <c r="AN47" s="3184"/>
      <c r="AO47" s="3188"/>
      <c r="AP47" s="3184"/>
      <c r="AQ47" s="3188"/>
      <c r="AR47" s="3184"/>
      <c r="AS47" s="3188"/>
      <c r="AT47" s="3184"/>
      <c r="AU47" s="3188"/>
      <c r="AV47" s="3184"/>
      <c r="AW47" s="3188"/>
      <c r="AX47" s="3184"/>
      <c r="AY47" s="3188"/>
      <c r="AZ47" s="3184"/>
      <c r="BA47" s="3023"/>
      <c r="BB47" s="3212"/>
      <c r="BC47" s="2975"/>
      <c r="BD47" s="3184"/>
      <c r="BE47" s="3184"/>
      <c r="BF47" s="3206"/>
      <c r="BG47" s="3209"/>
      <c r="BH47" s="3206"/>
      <c r="BI47" s="3209"/>
      <c r="BJ47" s="3201"/>
    </row>
    <row r="48" spans="1:62" s="134" customFormat="1" ht="57" customHeight="1">
      <c r="A48" s="1700"/>
      <c r="B48" s="414"/>
      <c r="C48" s="414"/>
      <c r="D48" s="1704"/>
      <c r="E48" s="414"/>
      <c r="F48" s="414"/>
      <c r="G48" s="1704"/>
      <c r="H48" s="414"/>
      <c r="I48" s="1701"/>
      <c r="J48" s="3194"/>
      <c r="K48" s="2982"/>
      <c r="L48" s="3175"/>
      <c r="M48" s="3190"/>
      <c r="N48" s="3196"/>
      <c r="O48" s="2887"/>
      <c r="P48" s="3175"/>
      <c r="Q48" s="3176"/>
      <c r="R48" s="3204"/>
      <c r="S48" s="3182"/>
      <c r="T48" s="3176"/>
      <c r="U48" s="2973"/>
      <c r="V48" s="1126" t="s">
        <v>302</v>
      </c>
      <c r="W48" s="1179">
        <v>4500000</v>
      </c>
      <c r="X48" s="415">
        <v>4500000</v>
      </c>
      <c r="Y48" s="415">
        <f>X48</f>
        <v>4500000</v>
      </c>
      <c r="Z48" s="3198"/>
      <c r="AA48" s="3184"/>
      <c r="AB48" s="3184"/>
      <c r="AC48" s="3188"/>
      <c r="AD48" s="3184"/>
      <c r="AE48" s="3188"/>
      <c r="AF48" s="3184"/>
      <c r="AG48" s="3188"/>
      <c r="AH48" s="3184"/>
      <c r="AI48" s="3188"/>
      <c r="AJ48" s="3184"/>
      <c r="AK48" s="3188"/>
      <c r="AL48" s="3184"/>
      <c r="AM48" s="3188"/>
      <c r="AN48" s="3184"/>
      <c r="AO48" s="3188"/>
      <c r="AP48" s="3184"/>
      <c r="AQ48" s="3188"/>
      <c r="AR48" s="3184"/>
      <c r="AS48" s="3188"/>
      <c r="AT48" s="3184"/>
      <c r="AU48" s="3188"/>
      <c r="AV48" s="3184"/>
      <c r="AW48" s="3188"/>
      <c r="AX48" s="3184"/>
      <c r="AY48" s="3188"/>
      <c r="AZ48" s="3184"/>
      <c r="BA48" s="3023"/>
      <c r="BB48" s="3212"/>
      <c r="BC48" s="2975"/>
      <c r="BD48" s="3184"/>
      <c r="BE48" s="3184"/>
      <c r="BF48" s="3206"/>
      <c r="BG48" s="3209"/>
      <c r="BH48" s="3206"/>
      <c r="BI48" s="3209"/>
      <c r="BJ48" s="3201"/>
    </row>
    <row r="49" spans="1:62" s="134" customFormat="1" ht="42.75" customHeight="1">
      <c r="A49" s="1700"/>
      <c r="B49" s="414"/>
      <c r="C49" s="414"/>
      <c r="D49" s="1704"/>
      <c r="E49" s="414"/>
      <c r="F49" s="414"/>
      <c r="G49" s="1704"/>
      <c r="H49" s="414"/>
      <c r="I49" s="1701"/>
      <c r="J49" s="3194">
        <v>263</v>
      </c>
      <c r="K49" s="2982" t="s">
        <v>303</v>
      </c>
      <c r="L49" s="3175" t="s">
        <v>248</v>
      </c>
      <c r="M49" s="3190">
        <v>1</v>
      </c>
      <c r="N49" s="3191">
        <v>0.6</v>
      </c>
      <c r="O49" s="2887"/>
      <c r="P49" s="3175"/>
      <c r="Q49" s="3176"/>
      <c r="R49" s="3204">
        <f>+S49/131800000*100</f>
        <v>45.447647951441574</v>
      </c>
      <c r="S49" s="3180">
        <v>59900000</v>
      </c>
      <c r="T49" s="3176"/>
      <c r="U49" s="2971" t="s">
        <v>304</v>
      </c>
      <c r="V49" s="1126" t="s">
        <v>305</v>
      </c>
      <c r="W49" s="1179">
        <v>35000000</v>
      </c>
      <c r="X49" s="415"/>
      <c r="Y49" s="415"/>
      <c r="Z49" s="3198"/>
      <c r="AA49" s="3184"/>
      <c r="AB49" s="3184"/>
      <c r="AC49" s="3188"/>
      <c r="AD49" s="3184"/>
      <c r="AE49" s="3188"/>
      <c r="AF49" s="3184"/>
      <c r="AG49" s="3188"/>
      <c r="AH49" s="3184"/>
      <c r="AI49" s="3188"/>
      <c r="AJ49" s="3184"/>
      <c r="AK49" s="3188"/>
      <c r="AL49" s="3184"/>
      <c r="AM49" s="3188"/>
      <c r="AN49" s="3184"/>
      <c r="AO49" s="3188"/>
      <c r="AP49" s="3184"/>
      <c r="AQ49" s="3188"/>
      <c r="AR49" s="3184"/>
      <c r="AS49" s="3188"/>
      <c r="AT49" s="3184"/>
      <c r="AU49" s="3188"/>
      <c r="AV49" s="3184"/>
      <c r="AW49" s="3188"/>
      <c r="AX49" s="3184"/>
      <c r="AY49" s="3188"/>
      <c r="AZ49" s="3184"/>
      <c r="BA49" s="3023"/>
      <c r="BB49" s="3212"/>
      <c r="BC49" s="2975"/>
      <c r="BD49" s="3184"/>
      <c r="BE49" s="3184"/>
      <c r="BF49" s="3206"/>
      <c r="BG49" s="3209"/>
      <c r="BH49" s="3206"/>
      <c r="BI49" s="3209"/>
      <c r="BJ49" s="3201"/>
    </row>
    <row r="50" spans="1:62" s="134" customFormat="1" ht="33" customHeight="1">
      <c r="A50" s="1700"/>
      <c r="B50" s="414"/>
      <c r="C50" s="414"/>
      <c r="D50" s="1704"/>
      <c r="E50" s="414"/>
      <c r="F50" s="414"/>
      <c r="G50" s="1704"/>
      <c r="H50" s="414"/>
      <c r="I50" s="1701"/>
      <c r="J50" s="3194"/>
      <c r="K50" s="2982"/>
      <c r="L50" s="3175"/>
      <c r="M50" s="3190"/>
      <c r="N50" s="3192"/>
      <c r="O50" s="2887"/>
      <c r="P50" s="3175"/>
      <c r="Q50" s="3176"/>
      <c r="R50" s="3204"/>
      <c r="S50" s="3181"/>
      <c r="T50" s="3176"/>
      <c r="U50" s="2972"/>
      <c r="V50" s="1126" t="s">
        <v>306</v>
      </c>
      <c r="W50" s="1179">
        <v>11200000</v>
      </c>
      <c r="X50" s="415">
        <v>6400000</v>
      </c>
      <c r="Y50" s="415">
        <f>X50</f>
        <v>6400000</v>
      </c>
      <c r="Z50" s="3198"/>
      <c r="AA50" s="3184"/>
      <c r="AB50" s="3184"/>
      <c r="AC50" s="3188"/>
      <c r="AD50" s="3184"/>
      <c r="AE50" s="3188"/>
      <c r="AF50" s="3184"/>
      <c r="AG50" s="3188"/>
      <c r="AH50" s="3184"/>
      <c r="AI50" s="3188"/>
      <c r="AJ50" s="3184"/>
      <c r="AK50" s="3188"/>
      <c r="AL50" s="3184"/>
      <c r="AM50" s="3188"/>
      <c r="AN50" s="3184"/>
      <c r="AO50" s="3188"/>
      <c r="AP50" s="3184"/>
      <c r="AQ50" s="3188"/>
      <c r="AR50" s="3184"/>
      <c r="AS50" s="3188"/>
      <c r="AT50" s="3184"/>
      <c r="AU50" s="3188"/>
      <c r="AV50" s="3184"/>
      <c r="AW50" s="3188"/>
      <c r="AX50" s="3184"/>
      <c r="AY50" s="3188"/>
      <c r="AZ50" s="3184"/>
      <c r="BA50" s="3023"/>
      <c r="BB50" s="3212"/>
      <c r="BC50" s="2975"/>
      <c r="BD50" s="3184"/>
      <c r="BE50" s="3184"/>
      <c r="BF50" s="3206"/>
      <c r="BG50" s="3209"/>
      <c r="BH50" s="3206"/>
      <c r="BI50" s="3209"/>
      <c r="BJ50" s="3201"/>
    </row>
    <row r="51" spans="1:62" s="134" customFormat="1" ht="45" customHeight="1">
      <c r="A51" s="1700"/>
      <c r="B51" s="414"/>
      <c r="C51" s="414"/>
      <c r="D51" s="1704"/>
      <c r="E51" s="414"/>
      <c r="F51" s="414"/>
      <c r="G51" s="1704"/>
      <c r="H51" s="414"/>
      <c r="I51" s="1701"/>
      <c r="J51" s="3194"/>
      <c r="K51" s="2982"/>
      <c r="L51" s="3175"/>
      <c r="M51" s="3190"/>
      <c r="N51" s="3193"/>
      <c r="O51" s="2887"/>
      <c r="P51" s="3175"/>
      <c r="Q51" s="3176"/>
      <c r="R51" s="3204"/>
      <c r="S51" s="3182"/>
      <c r="T51" s="3176"/>
      <c r="U51" s="2973"/>
      <c r="V51" s="1126" t="s">
        <v>307</v>
      </c>
      <c r="W51" s="1179">
        <v>13700000</v>
      </c>
      <c r="X51" s="415"/>
      <c r="Y51" s="415"/>
      <c r="Z51" s="3198"/>
      <c r="AA51" s="3184"/>
      <c r="AB51" s="3184"/>
      <c r="AC51" s="3188"/>
      <c r="AD51" s="3184"/>
      <c r="AE51" s="3188"/>
      <c r="AF51" s="3184"/>
      <c r="AG51" s="3188"/>
      <c r="AH51" s="3184"/>
      <c r="AI51" s="3188"/>
      <c r="AJ51" s="3184"/>
      <c r="AK51" s="3188"/>
      <c r="AL51" s="3184"/>
      <c r="AM51" s="3188"/>
      <c r="AN51" s="3184"/>
      <c r="AO51" s="3188"/>
      <c r="AP51" s="3184"/>
      <c r="AQ51" s="3188"/>
      <c r="AR51" s="3184"/>
      <c r="AS51" s="3188"/>
      <c r="AT51" s="3184"/>
      <c r="AU51" s="3188"/>
      <c r="AV51" s="3184"/>
      <c r="AW51" s="3188"/>
      <c r="AX51" s="3184"/>
      <c r="AY51" s="3188"/>
      <c r="AZ51" s="3184"/>
      <c r="BA51" s="3023"/>
      <c r="BB51" s="3212"/>
      <c r="BC51" s="2975"/>
      <c r="BD51" s="3184"/>
      <c r="BE51" s="3184"/>
      <c r="BF51" s="3206"/>
      <c r="BG51" s="3209"/>
      <c r="BH51" s="3206"/>
      <c r="BI51" s="3209"/>
      <c r="BJ51" s="3201"/>
    </row>
    <row r="52" spans="1:62" s="134" customFormat="1" ht="70.5" customHeight="1">
      <c r="A52" s="1700"/>
      <c r="B52" s="414"/>
      <c r="C52" s="414"/>
      <c r="D52" s="1704"/>
      <c r="E52" s="414"/>
      <c r="F52" s="414"/>
      <c r="G52" s="1704"/>
      <c r="H52" s="414"/>
      <c r="I52" s="1701"/>
      <c r="J52" s="3194">
        <v>261</v>
      </c>
      <c r="K52" s="2982" t="s">
        <v>308</v>
      </c>
      <c r="L52" s="3175" t="s">
        <v>248</v>
      </c>
      <c r="M52" s="3190">
        <v>2</v>
      </c>
      <c r="N52" s="3195">
        <v>2</v>
      </c>
      <c r="O52" s="2887"/>
      <c r="P52" s="3175"/>
      <c r="Q52" s="3176"/>
      <c r="R52" s="3204">
        <f>+S52/131800000*100</f>
        <v>20.637329286798177</v>
      </c>
      <c r="S52" s="3180">
        <v>27200000</v>
      </c>
      <c r="T52" s="3176"/>
      <c r="U52" s="2982" t="s">
        <v>309</v>
      </c>
      <c r="V52" s="1126" t="s">
        <v>310</v>
      </c>
      <c r="W52" s="1179">
        <v>9070000</v>
      </c>
      <c r="X52" s="415">
        <v>9070000</v>
      </c>
      <c r="Y52" s="415">
        <f>X52</f>
        <v>9070000</v>
      </c>
      <c r="Z52" s="3198"/>
      <c r="AA52" s="3184"/>
      <c r="AB52" s="3184"/>
      <c r="AC52" s="3188"/>
      <c r="AD52" s="3184"/>
      <c r="AE52" s="3188"/>
      <c r="AF52" s="3184"/>
      <c r="AG52" s="3188"/>
      <c r="AH52" s="3184"/>
      <c r="AI52" s="3188"/>
      <c r="AJ52" s="3184"/>
      <c r="AK52" s="3188"/>
      <c r="AL52" s="3184"/>
      <c r="AM52" s="3188"/>
      <c r="AN52" s="3184"/>
      <c r="AO52" s="3188"/>
      <c r="AP52" s="3184"/>
      <c r="AQ52" s="3188"/>
      <c r="AR52" s="3184"/>
      <c r="AS52" s="3188"/>
      <c r="AT52" s="3184"/>
      <c r="AU52" s="3188"/>
      <c r="AV52" s="3184"/>
      <c r="AW52" s="3188"/>
      <c r="AX52" s="3184"/>
      <c r="AY52" s="3188"/>
      <c r="AZ52" s="3184"/>
      <c r="BA52" s="3023"/>
      <c r="BB52" s="3212"/>
      <c r="BC52" s="2975"/>
      <c r="BD52" s="3184"/>
      <c r="BE52" s="3184"/>
      <c r="BF52" s="3206"/>
      <c r="BG52" s="3209"/>
      <c r="BH52" s="3206"/>
      <c r="BI52" s="3209"/>
      <c r="BJ52" s="3201"/>
    </row>
    <row r="53" spans="1:62" s="134" customFormat="1" ht="45" customHeight="1">
      <c r="A53" s="1700"/>
      <c r="B53" s="414"/>
      <c r="C53" s="414"/>
      <c r="D53" s="1704"/>
      <c r="E53" s="414"/>
      <c r="F53" s="414"/>
      <c r="G53" s="1704"/>
      <c r="H53" s="414"/>
      <c r="I53" s="1701"/>
      <c r="J53" s="3194"/>
      <c r="K53" s="2982"/>
      <c r="L53" s="3175"/>
      <c r="M53" s="3190"/>
      <c r="N53" s="3195"/>
      <c r="O53" s="2887"/>
      <c r="P53" s="3175"/>
      <c r="Q53" s="3176"/>
      <c r="R53" s="3204"/>
      <c r="S53" s="3181"/>
      <c r="T53" s="3176"/>
      <c r="U53" s="2982"/>
      <c r="V53" s="1126" t="s">
        <v>311</v>
      </c>
      <c r="W53" s="1179">
        <v>9070000</v>
      </c>
      <c r="X53" s="415">
        <v>4130000</v>
      </c>
      <c r="Y53" s="415">
        <f>X53</f>
        <v>4130000</v>
      </c>
      <c r="Z53" s="3198"/>
      <c r="AA53" s="3184"/>
      <c r="AB53" s="3184"/>
      <c r="AC53" s="3188"/>
      <c r="AD53" s="3184"/>
      <c r="AE53" s="3188"/>
      <c r="AF53" s="3184"/>
      <c r="AG53" s="3188"/>
      <c r="AH53" s="3184"/>
      <c r="AI53" s="3188"/>
      <c r="AJ53" s="3184"/>
      <c r="AK53" s="3188"/>
      <c r="AL53" s="3184"/>
      <c r="AM53" s="3188"/>
      <c r="AN53" s="3184"/>
      <c r="AO53" s="3188"/>
      <c r="AP53" s="3184"/>
      <c r="AQ53" s="3188"/>
      <c r="AR53" s="3184"/>
      <c r="AS53" s="3188"/>
      <c r="AT53" s="3184"/>
      <c r="AU53" s="3188"/>
      <c r="AV53" s="3184"/>
      <c r="AW53" s="3188"/>
      <c r="AX53" s="3184"/>
      <c r="AY53" s="3188"/>
      <c r="AZ53" s="3184"/>
      <c r="BA53" s="3023"/>
      <c r="BB53" s="3212"/>
      <c r="BC53" s="2975"/>
      <c r="BD53" s="3184"/>
      <c r="BE53" s="3184"/>
      <c r="BF53" s="3206"/>
      <c r="BG53" s="3209"/>
      <c r="BH53" s="3206"/>
      <c r="BI53" s="3209"/>
      <c r="BJ53" s="3201"/>
    </row>
    <row r="54" spans="1:62" s="134" customFormat="1" ht="55.5" customHeight="1">
      <c r="A54" s="1700"/>
      <c r="B54" s="414"/>
      <c r="C54" s="414"/>
      <c r="D54" s="1704"/>
      <c r="E54" s="414"/>
      <c r="F54" s="414"/>
      <c r="G54" s="1704"/>
      <c r="H54" s="414"/>
      <c r="I54" s="1701"/>
      <c r="J54" s="3194"/>
      <c r="K54" s="2982"/>
      <c r="L54" s="3175"/>
      <c r="M54" s="3190"/>
      <c r="N54" s="3196"/>
      <c r="O54" s="2888"/>
      <c r="P54" s="3175"/>
      <c r="Q54" s="3176"/>
      <c r="R54" s="3204"/>
      <c r="S54" s="3182"/>
      <c r="T54" s="3176"/>
      <c r="U54" s="2982"/>
      <c r="V54" s="1127" t="s">
        <v>312</v>
      </c>
      <c r="W54" s="1179">
        <v>9060000</v>
      </c>
      <c r="X54" s="415">
        <v>6800000</v>
      </c>
      <c r="Y54" s="415">
        <f>X54</f>
        <v>6800000</v>
      </c>
      <c r="Z54" s="3199"/>
      <c r="AA54" s="3185"/>
      <c r="AB54" s="3185"/>
      <c r="AC54" s="3189"/>
      <c r="AD54" s="3185"/>
      <c r="AE54" s="3189"/>
      <c r="AF54" s="3185"/>
      <c r="AG54" s="3189"/>
      <c r="AH54" s="3185"/>
      <c r="AI54" s="3189"/>
      <c r="AJ54" s="3185"/>
      <c r="AK54" s="3189"/>
      <c r="AL54" s="3185"/>
      <c r="AM54" s="3189"/>
      <c r="AN54" s="3185"/>
      <c r="AO54" s="3189"/>
      <c r="AP54" s="3185"/>
      <c r="AQ54" s="3189"/>
      <c r="AR54" s="3185"/>
      <c r="AS54" s="3189"/>
      <c r="AT54" s="3185"/>
      <c r="AU54" s="3189"/>
      <c r="AV54" s="3185"/>
      <c r="AW54" s="3189"/>
      <c r="AX54" s="3185"/>
      <c r="AY54" s="3189"/>
      <c r="AZ54" s="3185"/>
      <c r="BA54" s="3024"/>
      <c r="BB54" s="3213"/>
      <c r="BC54" s="2976"/>
      <c r="BD54" s="3185"/>
      <c r="BE54" s="3185"/>
      <c r="BF54" s="3207"/>
      <c r="BG54" s="3210"/>
      <c r="BH54" s="3207"/>
      <c r="BI54" s="3210"/>
      <c r="BJ54" s="3202"/>
    </row>
    <row r="55" spans="1:62" ht="175.5" customHeight="1">
      <c r="A55" s="1693"/>
      <c r="B55" s="337"/>
      <c r="C55" s="337"/>
      <c r="D55" s="391"/>
      <c r="E55" s="337"/>
      <c r="F55" s="337"/>
      <c r="G55" s="391"/>
      <c r="H55" s="337"/>
      <c r="I55" s="392"/>
      <c r="J55" s="3100">
        <v>262</v>
      </c>
      <c r="K55" s="3091" t="s">
        <v>313</v>
      </c>
      <c r="L55" s="3122" t="s">
        <v>248</v>
      </c>
      <c r="M55" s="3129">
        <v>1</v>
      </c>
      <c r="N55" s="3145">
        <v>0</v>
      </c>
      <c r="O55" s="2949" t="s">
        <v>314</v>
      </c>
      <c r="P55" s="2949">
        <v>10</v>
      </c>
      <c r="Q55" s="3091" t="s">
        <v>315</v>
      </c>
      <c r="R55" s="3148">
        <v>100</v>
      </c>
      <c r="S55" s="3180">
        <v>100000000</v>
      </c>
      <c r="T55" s="3091" t="s">
        <v>316</v>
      </c>
      <c r="U55" s="1128" t="s">
        <v>317</v>
      </c>
      <c r="V55" s="1128" t="s">
        <v>318</v>
      </c>
      <c r="W55" s="376">
        <v>30000000</v>
      </c>
      <c r="X55" s="377"/>
      <c r="Y55" s="377"/>
      <c r="Z55" s="3129">
        <v>20</v>
      </c>
      <c r="AA55" s="3122" t="s">
        <v>319</v>
      </c>
      <c r="AB55" s="3100"/>
      <c r="AC55" s="3131"/>
      <c r="AD55" s="3100">
        <v>72224</v>
      </c>
      <c r="AE55" s="3131"/>
      <c r="AF55" s="3100">
        <v>27477</v>
      </c>
      <c r="AG55" s="3131"/>
      <c r="AH55" s="3100">
        <v>86843</v>
      </c>
      <c r="AI55" s="3131"/>
      <c r="AJ55" s="3100">
        <v>236429</v>
      </c>
      <c r="AK55" s="3131"/>
      <c r="AL55" s="3100">
        <v>81384</v>
      </c>
      <c r="AM55" s="3131"/>
      <c r="AN55" s="3100">
        <v>12718</v>
      </c>
      <c r="AO55" s="3131"/>
      <c r="AP55" s="3100">
        <v>2145</v>
      </c>
      <c r="AQ55" s="3131"/>
      <c r="AR55" s="3100">
        <v>413</v>
      </c>
      <c r="AS55" s="3131"/>
      <c r="AT55" s="3100">
        <v>78</v>
      </c>
      <c r="AU55" s="3131"/>
      <c r="AV55" s="3100">
        <v>16897</v>
      </c>
      <c r="AW55" s="3131"/>
      <c r="AX55" s="3100">
        <v>81384</v>
      </c>
      <c r="AY55" s="3131"/>
      <c r="AZ55" s="3100"/>
      <c r="BA55" s="3114"/>
      <c r="BB55" s="3114"/>
      <c r="BC55" s="3100"/>
      <c r="BD55" s="3100"/>
      <c r="BE55" s="3100"/>
      <c r="BF55" s="3151">
        <v>42614</v>
      </c>
      <c r="BG55" s="1154"/>
      <c r="BH55" s="3151">
        <v>42735</v>
      </c>
      <c r="BI55" s="1711"/>
      <c r="BJ55" s="3174" t="s">
        <v>235</v>
      </c>
    </row>
    <row r="56" spans="1:62" ht="175.5" customHeight="1">
      <c r="A56" s="1693"/>
      <c r="B56" s="337"/>
      <c r="C56" s="337"/>
      <c r="D56" s="391"/>
      <c r="E56" s="337"/>
      <c r="F56" s="337"/>
      <c r="G56" s="391"/>
      <c r="H56" s="337"/>
      <c r="I56" s="392"/>
      <c r="J56" s="3101"/>
      <c r="K56" s="3092"/>
      <c r="L56" s="3123"/>
      <c r="M56" s="3130"/>
      <c r="N56" s="3146"/>
      <c r="O56" s="2950"/>
      <c r="P56" s="2950"/>
      <c r="Q56" s="3092"/>
      <c r="R56" s="3149"/>
      <c r="S56" s="3181"/>
      <c r="T56" s="3092"/>
      <c r="U56" s="416" t="s">
        <v>320</v>
      </c>
      <c r="V56" s="1141" t="s">
        <v>321</v>
      </c>
      <c r="W56" s="1149">
        <v>60000000</v>
      </c>
      <c r="X56" s="377"/>
      <c r="Y56" s="377"/>
      <c r="Z56" s="3130"/>
      <c r="AA56" s="3123"/>
      <c r="AB56" s="3101"/>
      <c r="AC56" s="3132"/>
      <c r="AD56" s="3101"/>
      <c r="AE56" s="3132"/>
      <c r="AF56" s="3101"/>
      <c r="AG56" s="3132"/>
      <c r="AH56" s="3101"/>
      <c r="AI56" s="3132"/>
      <c r="AJ56" s="3101"/>
      <c r="AK56" s="3132"/>
      <c r="AL56" s="3101"/>
      <c r="AM56" s="3132"/>
      <c r="AN56" s="3101"/>
      <c r="AO56" s="3132"/>
      <c r="AP56" s="3101"/>
      <c r="AQ56" s="3132"/>
      <c r="AR56" s="3101"/>
      <c r="AS56" s="3132"/>
      <c r="AT56" s="3101"/>
      <c r="AU56" s="3132"/>
      <c r="AV56" s="3101"/>
      <c r="AW56" s="3132"/>
      <c r="AX56" s="3101"/>
      <c r="AY56" s="3132"/>
      <c r="AZ56" s="3101"/>
      <c r="BA56" s="3115"/>
      <c r="BB56" s="3115"/>
      <c r="BC56" s="3101"/>
      <c r="BD56" s="3101"/>
      <c r="BE56" s="3101"/>
      <c r="BF56" s="3152"/>
      <c r="BG56" s="1155"/>
      <c r="BH56" s="3152"/>
      <c r="BI56" s="417"/>
      <c r="BJ56" s="3169"/>
    </row>
    <row r="57" spans="1:62" ht="192.75" customHeight="1">
      <c r="A57" s="1693"/>
      <c r="B57" s="337"/>
      <c r="C57" s="337"/>
      <c r="D57" s="391"/>
      <c r="E57" s="337"/>
      <c r="F57" s="337"/>
      <c r="G57" s="391"/>
      <c r="H57" s="337"/>
      <c r="I57" s="392"/>
      <c r="J57" s="3102"/>
      <c r="K57" s="3093"/>
      <c r="L57" s="3139"/>
      <c r="M57" s="3173"/>
      <c r="N57" s="3147"/>
      <c r="O57" s="2951"/>
      <c r="P57" s="2951"/>
      <c r="Q57" s="3093"/>
      <c r="R57" s="3150"/>
      <c r="S57" s="3182"/>
      <c r="T57" s="3093"/>
      <c r="U57" s="1686" t="s">
        <v>322</v>
      </c>
      <c r="V57" s="1128" t="s">
        <v>323</v>
      </c>
      <c r="W57" s="376">
        <v>10000000</v>
      </c>
      <c r="X57" s="377"/>
      <c r="Y57" s="377"/>
      <c r="Z57" s="3173"/>
      <c r="AA57" s="3139"/>
      <c r="AB57" s="3102"/>
      <c r="AC57" s="3167"/>
      <c r="AD57" s="3102"/>
      <c r="AE57" s="3167"/>
      <c r="AF57" s="3102"/>
      <c r="AG57" s="3167"/>
      <c r="AH57" s="3102"/>
      <c r="AI57" s="3167"/>
      <c r="AJ57" s="3102"/>
      <c r="AK57" s="3167"/>
      <c r="AL57" s="3102"/>
      <c r="AM57" s="3167"/>
      <c r="AN57" s="3102"/>
      <c r="AO57" s="3167"/>
      <c r="AP57" s="3102"/>
      <c r="AQ57" s="3167"/>
      <c r="AR57" s="3102"/>
      <c r="AS57" s="3167"/>
      <c r="AT57" s="3102"/>
      <c r="AU57" s="3167"/>
      <c r="AV57" s="3102"/>
      <c r="AW57" s="3167"/>
      <c r="AX57" s="3102"/>
      <c r="AY57" s="3167"/>
      <c r="AZ57" s="3102"/>
      <c r="BA57" s="3116"/>
      <c r="BB57" s="3116"/>
      <c r="BC57" s="3102"/>
      <c r="BD57" s="3102"/>
      <c r="BE57" s="3102"/>
      <c r="BF57" s="3171"/>
      <c r="BG57" s="1157"/>
      <c r="BH57" s="3171"/>
      <c r="BI57" s="1712"/>
      <c r="BJ57" s="3170"/>
    </row>
    <row r="58" spans="1:74" ht="175.5" customHeight="1">
      <c r="A58" s="1693"/>
      <c r="B58" s="337"/>
      <c r="C58" s="337"/>
      <c r="D58" s="391"/>
      <c r="E58" s="337"/>
      <c r="F58" s="337"/>
      <c r="G58" s="391"/>
      <c r="H58" s="337"/>
      <c r="I58" s="392"/>
      <c r="J58" s="3100">
        <v>264</v>
      </c>
      <c r="K58" s="3091" t="s">
        <v>324</v>
      </c>
      <c r="L58" s="3122" t="s">
        <v>248</v>
      </c>
      <c r="M58" s="3129">
        <v>1</v>
      </c>
      <c r="N58" s="3145">
        <v>1</v>
      </c>
      <c r="O58" s="2949" t="s">
        <v>325</v>
      </c>
      <c r="P58" s="2949">
        <v>11</v>
      </c>
      <c r="Q58" s="3091" t="s">
        <v>326</v>
      </c>
      <c r="R58" s="3148">
        <v>100</v>
      </c>
      <c r="S58" s="3180">
        <v>100000000</v>
      </c>
      <c r="T58" s="3091" t="s">
        <v>327</v>
      </c>
      <c r="U58" s="1128" t="s">
        <v>328</v>
      </c>
      <c r="V58" s="1128" t="s">
        <v>329</v>
      </c>
      <c r="W58" s="376">
        <v>12800000</v>
      </c>
      <c r="X58" s="377">
        <v>12800000</v>
      </c>
      <c r="Y58" s="377">
        <f>X58</f>
        <v>12800000</v>
      </c>
      <c r="Z58" s="3129">
        <v>20</v>
      </c>
      <c r="AA58" s="3129" t="s">
        <v>38</v>
      </c>
      <c r="AB58" s="3100">
        <v>64149</v>
      </c>
      <c r="AC58" s="3131">
        <v>64149</v>
      </c>
      <c r="AD58" s="3100">
        <v>72224</v>
      </c>
      <c r="AE58" s="3131">
        <f>AD58</f>
        <v>72224</v>
      </c>
      <c r="AF58" s="3100">
        <v>27477</v>
      </c>
      <c r="AG58" s="3131">
        <f>AF58</f>
        <v>27477</v>
      </c>
      <c r="AH58" s="3100">
        <v>86843</v>
      </c>
      <c r="AI58" s="3131">
        <f>AH58</f>
        <v>86843</v>
      </c>
      <c r="AJ58" s="3100">
        <v>236429</v>
      </c>
      <c r="AK58" s="3131">
        <f>AJ58</f>
        <v>236429</v>
      </c>
      <c r="AL58" s="3100">
        <v>81384</v>
      </c>
      <c r="AM58" s="3131">
        <f>AL58</f>
        <v>81384</v>
      </c>
      <c r="AN58" s="3100">
        <v>12718</v>
      </c>
      <c r="AO58" s="3131">
        <f>AN58</f>
        <v>12718</v>
      </c>
      <c r="AP58" s="3100">
        <v>2145</v>
      </c>
      <c r="AQ58" s="3131">
        <f>AP58</f>
        <v>2145</v>
      </c>
      <c r="AR58" s="3100">
        <v>413</v>
      </c>
      <c r="AS58" s="3131">
        <f>AR58</f>
        <v>413</v>
      </c>
      <c r="AT58" s="3100">
        <v>78</v>
      </c>
      <c r="AU58" s="3131">
        <f>AT58</f>
        <v>78</v>
      </c>
      <c r="AV58" s="3100">
        <v>16897</v>
      </c>
      <c r="AW58" s="3131">
        <f>AV58</f>
        <v>16897</v>
      </c>
      <c r="AX58" s="3100">
        <v>81384</v>
      </c>
      <c r="AY58" s="3131">
        <f>AX58</f>
        <v>81384</v>
      </c>
      <c r="AZ58" s="3100">
        <v>7</v>
      </c>
      <c r="BA58" s="3114">
        <v>67800000</v>
      </c>
      <c r="BB58" s="3114">
        <v>63800000</v>
      </c>
      <c r="BC58" s="2892">
        <f>BB58/BA58</f>
        <v>0.9410029498525073</v>
      </c>
      <c r="BD58" s="3100" t="s">
        <v>330</v>
      </c>
      <c r="BE58" s="378" t="s">
        <v>331</v>
      </c>
      <c r="BF58" s="3151">
        <v>42597</v>
      </c>
      <c r="BG58" s="3153">
        <v>42622</v>
      </c>
      <c r="BH58" s="3151">
        <v>42735</v>
      </c>
      <c r="BI58" s="3153">
        <v>42732</v>
      </c>
      <c r="BJ58" s="3174" t="s">
        <v>235</v>
      </c>
      <c r="BK58" s="418"/>
      <c r="BL58" s="419"/>
      <c r="BM58" s="418">
        <v>72224</v>
      </c>
      <c r="BN58" s="419">
        <f>BL58</f>
        <v>0</v>
      </c>
      <c r="BO58" s="418">
        <v>27477</v>
      </c>
      <c r="BP58" s="419">
        <f>BO58</f>
        <v>27477</v>
      </c>
      <c r="BQ58" s="418">
        <v>86843</v>
      </c>
      <c r="BR58" s="419">
        <f>BQ58</f>
        <v>86843</v>
      </c>
      <c r="BS58" s="418">
        <v>236429</v>
      </c>
      <c r="BT58" s="419">
        <f>BS58</f>
        <v>236429</v>
      </c>
      <c r="BU58" s="418">
        <v>81384</v>
      </c>
      <c r="BV58" s="419">
        <f>BU58</f>
        <v>81384</v>
      </c>
    </row>
    <row r="59" spans="1:74" ht="136.5" customHeight="1">
      <c r="A59" s="1693"/>
      <c r="B59" s="337"/>
      <c r="C59" s="337"/>
      <c r="D59" s="391"/>
      <c r="E59" s="337"/>
      <c r="F59" s="337"/>
      <c r="G59" s="391"/>
      <c r="H59" s="337"/>
      <c r="I59" s="392"/>
      <c r="J59" s="3101"/>
      <c r="K59" s="3092"/>
      <c r="L59" s="3123"/>
      <c r="M59" s="3130"/>
      <c r="N59" s="3146"/>
      <c r="O59" s="2950"/>
      <c r="P59" s="2950"/>
      <c r="Q59" s="3092"/>
      <c r="R59" s="3149"/>
      <c r="S59" s="3181"/>
      <c r="T59" s="3092"/>
      <c r="U59" s="1142" t="s">
        <v>332</v>
      </c>
      <c r="V59" s="1141" t="s">
        <v>333</v>
      </c>
      <c r="W59" s="1149">
        <v>42867000</v>
      </c>
      <c r="X59" s="377">
        <f>3000000+7500000+30500000</f>
        <v>41000000</v>
      </c>
      <c r="Y59" s="377">
        <f>X59</f>
        <v>41000000</v>
      </c>
      <c r="Z59" s="3130"/>
      <c r="AA59" s="3130"/>
      <c r="AB59" s="3101"/>
      <c r="AC59" s="3132"/>
      <c r="AD59" s="3101"/>
      <c r="AE59" s="3132"/>
      <c r="AF59" s="3101"/>
      <c r="AG59" s="3132"/>
      <c r="AH59" s="3101"/>
      <c r="AI59" s="3132"/>
      <c r="AJ59" s="3101"/>
      <c r="AK59" s="3132"/>
      <c r="AL59" s="3101"/>
      <c r="AM59" s="3132"/>
      <c r="AN59" s="3101"/>
      <c r="AO59" s="3132"/>
      <c r="AP59" s="3101"/>
      <c r="AQ59" s="3132"/>
      <c r="AR59" s="3101"/>
      <c r="AS59" s="3132"/>
      <c r="AT59" s="3101"/>
      <c r="AU59" s="3132"/>
      <c r="AV59" s="3101"/>
      <c r="AW59" s="3132"/>
      <c r="AX59" s="3101"/>
      <c r="AY59" s="3132"/>
      <c r="AZ59" s="3101"/>
      <c r="BA59" s="3115"/>
      <c r="BB59" s="3115"/>
      <c r="BC59" s="2893"/>
      <c r="BD59" s="3101"/>
      <c r="BE59" s="1144"/>
      <c r="BF59" s="3152"/>
      <c r="BG59" s="3154"/>
      <c r="BH59" s="3152"/>
      <c r="BI59" s="3154"/>
      <c r="BJ59" s="3169"/>
      <c r="BK59" s="418"/>
      <c r="BL59" s="419"/>
      <c r="BM59" s="418"/>
      <c r="BN59" s="419"/>
      <c r="BO59" s="418"/>
      <c r="BP59" s="419"/>
      <c r="BQ59" s="418"/>
      <c r="BR59" s="419"/>
      <c r="BS59" s="418"/>
      <c r="BT59" s="419"/>
      <c r="BU59" s="418"/>
      <c r="BV59" s="419"/>
    </row>
    <row r="60" spans="1:74" ht="171.75" customHeight="1">
      <c r="A60" s="1693"/>
      <c r="B60" s="337"/>
      <c r="C60" s="337"/>
      <c r="D60" s="391"/>
      <c r="E60" s="337"/>
      <c r="F60" s="337"/>
      <c r="G60" s="391"/>
      <c r="H60" s="337"/>
      <c r="I60" s="392"/>
      <c r="J60" s="3102"/>
      <c r="K60" s="3093"/>
      <c r="L60" s="3139"/>
      <c r="M60" s="3173"/>
      <c r="N60" s="3147"/>
      <c r="O60" s="2951"/>
      <c r="P60" s="2951"/>
      <c r="Q60" s="3093"/>
      <c r="R60" s="3150"/>
      <c r="S60" s="3182"/>
      <c r="T60" s="3093"/>
      <c r="U60" s="1128" t="s">
        <v>334</v>
      </c>
      <c r="V60" s="1128" t="s">
        <v>335</v>
      </c>
      <c r="W60" s="376">
        <v>44333000</v>
      </c>
      <c r="X60" s="377">
        <f>10000000+4000000</f>
        <v>14000000</v>
      </c>
      <c r="Y60" s="377">
        <v>10000000</v>
      </c>
      <c r="Z60" s="3173"/>
      <c r="AA60" s="3173"/>
      <c r="AB60" s="3102"/>
      <c r="AC60" s="3167"/>
      <c r="AD60" s="3102"/>
      <c r="AE60" s="3167"/>
      <c r="AF60" s="3102"/>
      <c r="AG60" s="3167"/>
      <c r="AH60" s="3102"/>
      <c r="AI60" s="3167"/>
      <c r="AJ60" s="3102"/>
      <c r="AK60" s="3167"/>
      <c r="AL60" s="3102"/>
      <c r="AM60" s="3167"/>
      <c r="AN60" s="3102"/>
      <c r="AO60" s="3167"/>
      <c r="AP60" s="3102"/>
      <c r="AQ60" s="3167"/>
      <c r="AR60" s="3102"/>
      <c r="AS60" s="3167"/>
      <c r="AT60" s="3102"/>
      <c r="AU60" s="3167"/>
      <c r="AV60" s="3102"/>
      <c r="AW60" s="3167"/>
      <c r="AX60" s="3102"/>
      <c r="AY60" s="3167"/>
      <c r="AZ60" s="3102"/>
      <c r="BA60" s="3116"/>
      <c r="BB60" s="3116"/>
      <c r="BC60" s="2894"/>
      <c r="BD60" s="3102"/>
      <c r="BE60" s="1713" t="s">
        <v>258</v>
      </c>
      <c r="BF60" s="3171"/>
      <c r="BG60" s="3172"/>
      <c r="BH60" s="3171"/>
      <c r="BI60" s="3172"/>
      <c r="BJ60" s="3170"/>
      <c r="BK60" s="418"/>
      <c r="BL60" s="419"/>
      <c r="BM60" s="418"/>
      <c r="BN60" s="419"/>
      <c r="BO60" s="418"/>
      <c r="BP60" s="419"/>
      <c r="BQ60" s="418"/>
      <c r="BR60" s="419"/>
      <c r="BS60" s="418"/>
      <c r="BT60" s="419"/>
      <c r="BU60" s="418"/>
      <c r="BV60" s="419"/>
    </row>
    <row r="61" spans="1:74" ht="54" customHeight="1">
      <c r="A61" s="1693"/>
      <c r="B61" s="337"/>
      <c r="C61" s="337"/>
      <c r="D61" s="391"/>
      <c r="E61" s="337"/>
      <c r="F61" s="337"/>
      <c r="G61" s="391"/>
      <c r="H61" s="337"/>
      <c r="I61" s="392"/>
      <c r="J61" s="3100">
        <v>265</v>
      </c>
      <c r="K61" s="3091" t="s">
        <v>336</v>
      </c>
      <c r="L61" s="3214" t="s">
        <v>248</v>
      </c>
      <c r="M61" s="3129">
        <v>1</v>
      </c>
      <c r="N61" s="3145">
        <v>1</v>
      </c>
      <c r="O61" s="1714"/>
      <c r="P61" s="3214">
        <v>12</v>
      </c>
      <c r="Q61" s="3215" t="s">
        <v>337</v>
      </c>
      <c r="R61" s="3148">
        <v>100</v>
      </c>
      <c r="S61" s="3180">
        <v>291450000</v>
      </c>
      <c r="T61" s="3215" t="s">
        <v>338</v>
      </c>
      <c r="U61" s="3091" t="s">
        <v>339</v>
      </c>
      <c r="V61" s="1128" t="s">
        <v>340</v>
      </c>
      <c r="W61" s="1715">
        <v>15600000</v>
      </c>
      <c r="X61" s="1716">
        <v>15600000</v>
      </c>
      <c r="Y61" s="1716">
        <f aca="true" t="shared" si="0" ref="Y61:Y75">X61</f>
        <v>15600000</v>
      </c>
      <c r="Z61" s="3216">
        <v>20</v>
      </c>
      <c r="AA61" s="3218" t="s">
        <v>232</v>
      </c>
      <c r="AB61" s="3100">
        <v>64149</v>
      </c>
      <c r="AC61" s="3131">
        <f>AB61</f>
        <v>64149</v>
      </c>
      <c r="AD61" s="3100">
        <v>72224</v>
      </c>
      <c r="AE61" s="3131">
        <f>AD61</f>
        <v>72224</v>
      </c>
      <c r="AF61" s="3100">
        <v>27477</v>
      </c>
      <c r="AG61" s="3131">
        <f>AF61</f>
        <v>27477</v>
      </c>
      <c r="AH61" s="3100">
        <v>86843</v>
      </c>
      <c r="AI61" s="3131">
        <f>AH61</f>
        <v>86843</v>
      </c>
      <c r="AJ61" s="3100">
        <v>236429</v>
      </c>
      <c r="AK61" s="3131">
        <f>AJ61</f>
        <v>236429</v>
      </c>
      <c r="AL61" s="3100">
        <v>81384</v>
      </c>
      <c r="AM61" s="3131">
        <f>AL61</f>
        <v>81384</v>
      </c>
      <c r="AN61" s="3100">
        <v>12718</v>
      </c>
      <c r="AO61" s="3131">
        <f>AN61</f>
        <v>12718</v>
      </c>
      <c r="AP61" s="3100">
        <v>2145</v>
      </c>
      <c r="AQ61" s="3131">
        <f>AP61</f>
        <v>2145</v>
      </c>
      <c r="AR61" s="3100">
        <v>413</v>
      </c>
      <c r="AS61" s="3131">
        <f>AR61</f>
        <v>413</v>
      </c>
      <c r="AT61" s="3100">
        <v>78</v>
      </c>
      <c r="AU61" s="3131">
        <f>AT61</f>
        <v>78</v>
      </c>
      <c r="AV61" s="3100">
        <v>16897</v>
      </c>
      <c r="AW61" s="3131">
        <f>AV61</f>
        <v>16897</v>
      </c>
      <c r="AX61" s="3100">
        <v>81384</v>
      </c>
      <c r="AY61" s="3131">
        <f>AX61</f>
        <v>81384</v>
      </c>
      <c r="AZ61" s="3224">
        <v>13</v>
      </c>
      <c r="BA61" s="3227">
        <v>171449999</v>
      </c>
      <c r="BB61" s="3227">
        <v>171449999</v>
      </c>
      <c r="BC61" s="2892">
        <f>BB61/BA61</f>
        <v>1</v>
      </c>
      <c r="BD61" s="1717"/>
      <c r="BE61" s="1143"/>
      <c r="BF61" s="3151">
        <v>42487</v>
      </c>
      <c r="BG61" s="3153">
        <v>42487</v>
      </c>
      <c r="BH61" s="3151">
        <v>42735</v>
      </c>
      <c r="BI61" s="3153">
        <v>42732</v>
      </c>
      <c r="BJ61" s="3174" t="s">
        <v>235</v>
      </c>
      <c r="BK61" s="418"/>
      <c r="BL61" s="419"/>
      <c r="BM61" s="418"/>
      <c r="BN61" s="419"/>
      <c r="BO61" s="418"/>
      <c r="BP61" s="419"/>
      <c r="BQ61" s="418"/>
      <c r="BR61" s="419"/>
      <c r="BS61" s="418"/>
      <c r="BT61" s="419"/>
      <c r="BU61" s="418"/>
      <c r="BV61" s="419"/>
    </row>
    <row r="62" spans="1:74" ht="75" customHeight="1">
      <c r="A62" s="1693"/>
      <c r="B62" s="337"/>
      <c r="C62" s="337"/>
      <c r="D62" s="391"/>
      <c r="E62" s="337"/>
      <c r="F62" s="337"/>
      <c r="G62" s="391"/>
      <c r="H62" s="337"/>
      <c r="I62" s="392"/>
      <c r="J62" s="3101"/>
      <c r="K62" s="3092"/>
      <c r="L62" s="3214"/>
      <c r="M62" s="3130"/>
      <c r="N62" s="3146"/>
      <c r="O62" s="420" t="s">
        <v>341</v>
      </c>
      <c r="P62" s="3214"/>
      <c r="Q62" s="3215"/>
      <c r="R62" s="3149"/>
      <c r="S62" s="3181"/>
      <c r="T62" s="3215"/>
      <c r="U62" s="3092"/>
      <c r="V62" s="1141" t="s">
        <v>342</v>
      </c>
      <c r="W62" s="376">
        <v>67800000</v>
      </c>
      <c r="X62" s="377">
        <f>15000000+3000000+14800000+20000000-1+15000000</f>
        <v>67799999</v>
      </c>
      <c r="Y62" s="377">
        <f t="shared" si="0"/>
        <v>67799999</v>
      </c>
      <c r="Z62" s="3217"/>
      <c r="AA62" s="3219"/>
      <c r="AB62" s="3101"/>
      <c r="AC62" s="3132"/>
      <c r="AD62" s="3101"/>
      <c r="AE62" s="3132"/>
      <c r="AF62" s="3101"/>
      <c r="AG62" s="3132"/>
      <c r="AH62" s="3101"/>
      <c r="AI62" s="3132"/>
      <c r="AJ62" s="3101"/>
      <c r="AK62" s="3132"/>
      <c r="AL62" s="3101"/>
      <c r="AM62" s="3132"/>
      <c r="AN62" s="3101"/>
      <c r="AO62" s="3132"/>
      <c r="AP62" s="3101"/>
      <c r="AQ62" s="3132"/>
      <c r="AR62" s="3101"/>
      <c r="AS62" s="3132"/>
      <c r="AT62" s="3101"/>
      <c r="AU62" s="3132"/>
      <c r="AV62" s="3101"/>
      <c r="AW62" s="3132"/>
      <c r="AX62" s="3101"/>
      <c r="AY62" s="3132"/>
      <c r="AZ62" s="3225"/>
      <c r="BA62" s="3228"/>
      <c r="BB62" s="3228"/>
      <c r="BC62" s="2893"/>
      <c r="BD62" s="420"/>
      <c r="BE62" s="1144"/>
      <c r="BF62" s="3152"/>
      <c r="BG62" s="3154"/>
      <c r="BH62" s="3152"/>
      <c r="BI62" s="3154"/>
      <c r="BJ62" s="3169"/>
      <c r="BK62" s="418"/>
      <c r="BL62" s="419"/>
      <c r="BM62" s="418"/>
      <c r="BN62" s="419"/>
      <c r="BO62" s="418"/>
      <c r="BP62" s="419"/>
      <c r="BQ62" s="418"/>
      <c r="BR62" s="419"/>
      <c r="BS62" s="418"/>
      <c r="BT62" s="419"/>
      <c r="BU62" s="418"/>
      <c r="BV62" s="419"/>
    </row>
    <row r="63" spans="1:74" ht="72.75" customHeight="1">
      <c r="A63" s="1693"/>
      <c r="B63" s="337"/>
      <c r="C63" s="337"/>
      <c r="D63" s="391"/>
      <c r="E63" s="337"/>
      <c r="F63" s="337"/>
      <c r="G63" s="391"/>
      <c r="H63" s="337"/>
      <c r="I63" s="392"/>
      <c r="J63" s="3101"/>
      <c r="K63" s="3092"/>
      <c r="L63" s="3214"/>
      <c r="M63" s="3130"/>
      <c r="N63" s="3146"/>
      <c r="O63" s="420" t="s">
        <v>343</v>
      </c>
      <c r="P63" s="3214"/>
      <c r="Q63" s="3215"/>
      <c r="R63" s="3149"/>
      <c r="S63" s="3181"/>
      <c r="T63" s="3215"/>
      <c r="U63" s="3092"/>
      <c r="V63" s="1141" t="s">
        <v>344</v>
      </c>
      <c r="W63" s="376">
        <v>46800000</v>
      </c>
      <c r="X63" s="377">
        <f>20400000+26400000</f>
        <v>46800000</v>
      </c>
      <c r="Y63" s="377">
        <f t="shared" si="0"/>
        <v>46800000</v>
      </c>
      <c r="Z63" s="3217"/>
      <c r="AA63" s="3219"/>
      <c r="AB63" s="3101"/>
      <c r="AC63" s="3132"/>
      <c r="AD63" s="3101"/>
      <c r="AE63" s="3132"/>
      <c r="AF63" s="3101"/>
      <c r="AG63" s="3132"/>
      <c r="AH63" s="3101"/>
      <c r="AI63" s="3132"/>
      <c r="AJ63" s="3101"/>
      <c r="AK63" s="3132"/>
      <c r="AL63" s="3101"/>
      <c r="AM63" s="3132"/>
      <c r="AN63" s="3101"/>
      <c r="AO63" s="3132"/>
      <c r="AP63" s="3101"/>
      <c r="AQ63" s="3132"/>
      <c r="AR63" s="3101"/>
      <c r="AS63" s="3132"/>
      <c r="AT63" s="3101"/>
      <c r="AU63" s="3132"/>
      <c r="AV63" s="3101"/>
      <c r="AW63" s="3132"/>
      <c r="AX63" s="3101"/>
      <c r="AY63" s="3132"/>
      <c r="AZ63" s="3225"/>
      <c r="BA63" s="3228"/>
      <c r="BB63" s="3228"/>
      <c r="BC63" s="2893"/>
      <c r="BD63" s="3101" t="s">
        <v>233</v>
      </c>
      <c r="BE63" s="1144" t="s">
        <v>345</v>
      </c>
      <c r="BF63" s="3152"/>
      <c r="BG63" s="3154"/>
      <c r="BH63" s="3152"/>
      <c r="BI63" s="3154"/>
      <c r="BJ63" s="3169"/>
      <c r="BK63" s="418"/>
      <c r="BL63" s="419"/>
      <c r="BM63" s="418"/>
      <c r="BN63" s="419"/>
      <c r="BO63" s="418"/>
      <c r="BP63" s="419"/>
      <c r="BQ63" s="418"/>
      <c r="BR63" s="419"/>
      <c r="BS63" s="418"/>
      <c r="BT63" s="419"/>
      <c r="BU63" s="418"/>
      <c r="BV63" s="419"/>
    </row>
    <row r="64" spans="1:74" ht="105" customHeight="1">
      <c r="A64" s="1693"/>
      <c r="B64" s="337"/>
      <c r="C64" s="337"/>
      <c r="D64" s="391"/>
      <c r="E64" s="337"/>
      <c r="F64" s="337"/>
      <c r="G64" s="391"/>
      <c r="H64" s="337"/>
      <c r="I64" s="392"/>
      <c r="J64" s="3101"/>
      <c r="K64" s="3092"/>
      <c r="L64" s="3214"/>
      <c r="M64" s="3130"/>
      <c r="N64" s="3146"/>
      <c r="O64" s="420" t="s">
        <v>346</v>
      </c>
      <c r="P64" s="3214"/>
      <c r="Q64" s="3215"/>
      <c r="R64" s="3149"/>
      <c r="S64" s="3181"/>
      <c r="T64" s="3215"/>
      <c r="U64" s="3093"/>
      <c r="V64" s="1141" t="s">
        <v>347</v>
      </c>
      <c r="W64" s="376">
        <v>26450000</v>
      </c>
      <c r="X64" s="377">
        <f>W64</f>
        <v>26450000</v>
      </c>
      <c r="Y64" s="377">
        <f t="shared" si="0"/>
        <v>26450000</v>
      </c>
      <c r="Z64" s="3130">
        <v>88</v>
      </c>
      <c r="AA64" s="421"/>
      <c r="AB64" s="3101"/>
      <c r="AC64" s="3132"/>
      <c r="AD64" s="3101"/>
      <c r="AE64" s="3132"/>
      <c r="AF64" s="3101"/>
      <c r="AG64" s="3132"/>
      <c r="AH64" s="3101"/>
      <c r="AI64" s="3132"/>
      <c r="AJ64" s="3101"/>
      <c r="AK64" s="3132"/>
      <c r="AL64" s="3101"/>
      <c r="AM64" s="3132"/>
      <c r="AN64" s="3101"/>
      <c r="AO64" s="3132"/>
      <c r="AP64" s="3101"/>
      <c r="AQ64" s="3132"/>
      <c r="AR64" s="3101"/>
      <c r="AS64" s="3132"/>
      <c r="AT64" s="3101"/>
      <c r="AU64" s="3132"/>
      <c r="AV64" s="3101"/>
      <c r="AW64" s="3132"/>
      <c r="AX64" s="3101"/>
      <c r="AY64" s="3132"/>
      <c r="AZ64" s="3225"/>
      <c r="BA64" s="3228"/>
      <c r="BB64" s="3228"/>
      <c r="BC64" s="2893"/>
      <c r="BD64" s="3101"/>
      <c r="BE64" s="1144" t="s">
        <v>348</v>
      </c>
      <c r="BF64" s="3152"/>
      <c r="BG64" s="3154"/>
      <c r="BH64" s="3152"/>
      <c r="BI64" s="3154"/>
      <c r="BJ64" s="3169"/>
      <c r="BK64" s="418"/>
      <c r="BL64" s="419"/>
      <c r="BM64" s="418"/>
      <c r="BN64" s="419"/>
      <c r="BO64" s="418"/>
      <c r="BP64" s="419"/>
      <c r="BQ64" s="418"/>
      <c r="BR64" s="419"/>
      <c r="BS64" s="418"/>
      <c r="BT64" s="419"/>
      <c r="BU64" s="418"/>
      <c r="BV64" s="419"/>
    </row>
    <row r="65" spans="1:74" ht="105" customHeight="1">
      <c r="A65" s="1693"/>
      <c r="B65" s="337"/>
      <c r="C65" s="337"/>
      <c r="D65" s="391"/>
      <c r="E65" s="337"/>
      <c r="F65" s="337"/>
      <c r="G65" s="391"/>
      <c r="H65" s="337"/>
      <c r="I65" s="392"/>
      <c r="J65" s="3101"/>
      <c r="K65" s="3092"/>
      <c r="L65" s="3122"/>
      <c r="M65" s="3130"/>
      <c r="N65" s="3146"/>
      <c r="O65" s="420" t="s">
        <v>346</v>
      </c>
      <c r="P65" s="3122"/>
      <c r="Q65" s="3174"/>
      <c r="R65" s="3149"/>
      <c r="S65" s="3181"/>
      <c r="T65" s="3174"/>
      <c r="U65" s="1142" t="s">
        <v>349</v>
      </c>
      <c r="V65" s="1141" t="s">
        <v>350</v>
      </c>
      <c r="W65" s="1148">
        <v>120000000</v>
      </c>
      <c r="X65" s="377">
        <v>0</v>
      </c>
      <c r="Y65" s="377">
        <f t="shared" si="0"/>
        <v>0</v>
      </c>
      <c r="Z65" s="3130"/>
      <c r="AA65" s="3222" t="s">
        <v>351</v>
      </c>
      <c r="AB65" s="3101"/>
      <c r="AC65" s="3132"/>
      <c r="AD65" s="3101"/>
      <c r="AE65" s="3132"/>
      <c r="AF65" s="3101"/>
      <c r="AG65" s="3132"/>
      <c r="AH65" s="3101"/>
      <c r="AI65" s="3132"/>
      <c r="AJ65" s="3101"/>
      <c r="AK65" s="3132"/>
      <c r="AL65" s="3101"/>
      <c r="AM65" s="3132"/>
      <c r="AN65" s="3101"/>
      <c r="AO65" s="3132"/>
      <c r="AP65" s="3101"/>
      <c r="AQ65" s="3132"/>
      <c r="AR65" s="3101"/>
      <c r="AS65" s="3132"/>
      <c r="AT65" s="3101"/>
      <c r="AU65" s="3132"/>
      <c r="AV65" s="3101"/>
      <c r="AW65" s="3132"/>
      <c r="AX65" s="3101"/>
      <c r="AY65" s="3132"/>
      <c r="AZ65" s="3225"/>
      <c r="BA65" s="3228"/>
      <c r="BB65" s="3228"/>
      <c r="BC65" s="2893"/>
      <c r="BD65" s="3101"/>
      <c r="BE65" s="1144"/>
      <c r="BF65" s="3152"/>
      <c r="BG65" s="3154"/>
      <c r="BH65" s="3152"/>
      <c r="BI65" s="3154"/>
      <c r="BJ65" s="3169"/>
      <c r="BK65" s="418"/>
      <c r="BL65" s="419"/>
      <c r="BM65" s="418"/>
      <c r="BN65" s="419"/>
      <c r="BO65" s="418"/>
      <c r="BP65" s="419"/>
      <c r="BQ65" s="418"/>
      <c r="BR65" s="419"/>
      <c r="BS65" s="418"/>
      <c r="BT65" s="419"/>
      <c r="BU65" s="418"/>
      <c r="BV65" s="419"/>
    </row>
    <row r="66" spans="1:74" ht="60" customHeight="1">
      <c r="A66" s="1693"/>
      <c r="B66" s="337"/>
      <c r="C66" s="337"/>
      <c r="D66" s="391"/>
      <c r="E66" s="337"/>
      <c r="F66" s="337"/>
      <c r="G66" s="391"/>
      <c r="H66" s="337"/>
      <c r="I66" s="392"/>
      <c r="J66" s="3102"/>
      <c r="K66" s="3093"/>
      <c r="L66" s="3214"/>
      <c r="M66" s="3173"/>
      <c r="N66" s="3147"/>
      <c r="O66" s="1718"/>
      <c r="P66" s="3214"/>
      <c r="Q66" s="3215"/>
      <c r="R66" s="3150"/>
      <c r="S66" s="3182"/>
      <c r="T66" s="3215"/>
      <c r="U66" s="1128" t="s">
        <v>352</v>
      </c>
      <c r="V66" s="1128" t="s">
        <v>353</v>
      </c>
      <c r="W66" s="376">
        <v>14800000</v>
      </c>
      <c r="X66" s="377">
        <v>14800000</v>
      </c>
      <c r="Y66" s="377">
        <f t="shared" si="0"/>
        <v>14800000</v>
      </c>
      <c r="Z66" s="3173"/>
      <c r="AA66" s="3223"/>
      <c r="AB66" s="3102"/>
      <c r="AC66" s="3167"/>
      <c r="AD66" s="3102"/>
      <c r="AE66" s="3167"/>
      <c r="AF66" s="3102"/>
      <c r="AG66" s="3167"/>
      <c r="AH66" s="3102"/>
      <c r="AI66" s="3167"/>
      <c r="AJ66" s="3102"/>
      <c r="AK66" s="3167"/>
      <c r="AL66" s="3102"/>
      <c r="AM66" s="3167"/>
      <c r="AN66" s="3102"/>
      <c r="AO66" s="3167"/>
      <c r="AP66" s="3102"/>
      <c r="AQ66" s="3167"/>
      <c r="AR66" s="3102"/>
      <c r="AS66" s="3167"/>
      <c r="AT66" s="3102"/>
      <c r="AU66" s="3167"/>
      <c r="AV66" s="3102"/>
      <c r="AW66" s="3167"/>
      <c r="AX66" s="3102"/>
      <c r="AY66" s="3167"/>
      <c r="AZ66" s="3226"/>
      <c r="BA66" s="3229"/>
      <c r="BB66" s="3229"/>
      <c r="BC66" s="2894"/>
      <c r="BD66" s="3102"/>
      <c r="BE66" s="1150"/>
      <c r="BF66" s="3171"/>
      <c r="BG66" s="3172"/>
      <c r="BH66" s="3171"/>
      <c r="BI66" s="3172"/>
      <c r="BJ66" s="3170"/>
      <c r="BK66" s="418"/>
      <c r="BL66" s="419"/>
      <c r="BM66" s="418"/>
      <c r="BN66" s="419"/>
      <c r="BO66" s="418"/>
      <c r="BP66" s="419"/>
      <c r="BQ66" s="418"/>
      <c r="BR66" s="419"/>
      <c r="BS66" s="418"/>
      <c r="BT66" s="419"/>
      <c r="BU66" s="418"/>
      <c r="BV66" s="419"/>
    </row>
    <row r="67" spans="1:74" ht="161.25" customHeight="1">
      <c r="A67" s="1693"/>
      <c r="B67" s="337"/>
      <c r="C67" s="337"/>
      <c r="D67" s="391"/>
      <c r="E67" s="337"/>
      <c r="F67" s="337"/>
      <c r="G67" s="391"/>
      <c r="H67" s="337"/>
      <c r="I67" s="392"/>
      <c r="J67" s="3220">
        <v>266</v>
      </c>
      <c r="K67" s="2987" t="s">
        <v>354</v>
      </c>
      <c r="L67" s="3221" t="s">
        <v>248</v>
      </c>
      <c r="M67" s="3221">
        <v>1</v>
      </c>
      <c r="N67" s="3145">
        <v>1</v>
      </c>
      <c r="O67" s="1714" t="s">
        <v>355</v>
      </c>
      <c r="P67" s="3214">
        <v>13</v>
      </c>
      <c r="Q67" s="3215" t="s">
        <v>356</v>
      </c>
      <c r="R67" s="3238">
        <v>100</v>
      </c>
      <c r="S67" s="3135">
        <v>16000000</v>
      </c>
      <c r="T67" s="3215" t="s">
        <v>357</v>
      </c>
      <c r="U67" s="1128" t="s">
        <v>358</v>
      </c>
      <c r="V67" s="1128" t="s">
        <v>359</v>
      </c>
      <c r="W67" s="376">
        <v>11200000</v>
      </c>
      <c r="X67" s="377">
        <v>11200000</v>
      </c>
      <c r="Y67" s="377">
        <f t="shared" si="0"/>
        <v>11200000</v>
      </c>
      <c r="Z67" s="1146">
        <v>20</v>
      </c>
      <c r="AA67" s="1122" t="s">
        <v>232</v>
      </c>
      <c r="AB67" s="3230"/>
      <c r="AC67" s="3232"/>
      <c r="AD67" s="3230"/>
      <c r="AE67" s="3232"/>
      <c r="AF67" s="3230"/>
      <c r="AG67" s="3232"/>
      <c r="AH67" s="3234">
        <v>50</v>
      </c>
      <c r="AI67" s="3236">
        <f>AH67</f>
        <v>50</v>
      </c>
      <c r="AJ67" s="3234">
        <v>220</v>
      </c>
      <c r="AK67" s="3236">
        <f>AJ67</f>
        <v>220</v>
      </c>
      <c r="AL67" s="3234">
        <v>49</v>
      </c>
      <c r="AM67" s="3236">
        <f>AL67</f>
        <v>49</v>
      </c>
      <c r="AN67" s="3230"/>
      <c r="AO67" s="3232"/>
      <c r="AP67" s="3234"/>
      <c r="AQ67" s="3236"/>
      <c r="AR67" s="3230"/>
      <c r="AS67" s="3232"/>
      <c r="AT67" s="3230"/>
      <c r="AU67" s="3232"/>
      <c r="AV67" s="3230"/>
      <c r="AW67" s="3232"/>
      <c r="AX67" s="3230"/>
      <c r="AY67" s="3232"/>
      <c r="AZ67" s="3122">
        <v>2</v>
      </c>
      <c r="BA67" s="3163">
        <v>16000000</v>
      </c>
      <c r="BB67" s="3163">
        <v>16000000</v>
      </c>
      <c r="BC67" s="3133">
        <f>BB67/BA67</f>
        <v>1</v>
      </c>
      <c r="BD67" s="2949" t="s">
        <v>233</v>
      </c>
      <c r="BE67" s="2949" t="s">
        <v>234</v>
      </c>
      <c r="BF67" s="3239">
        <v>42597</v>
      </c>
      <c r="BG67" s="3241">
        <v>42598</v>
      </c>
      <c r="BH67" s="3239">
        <v>42735</v>
      </c>
      <c r="BI67" s="3241">
        <v>42729</v>
      </c>
      <c r="BJ67" s="3174" t="s">
        <v>235</v>
      </c>
      <c r="BK67" s="418"/>
      <c r="BL67" s="419"/>
      <c r="BM67" s="418"/>
      <c r="BN67" s="419"/>
      <c r="BO67" s="418"/>
      <c r="BP67" s="419"/>
      <c r="BQ67" s="418"/>
      <c r="BR67" s="419"/>
      <c r="BS67" s="418"/>
      <c r="BT67" s="419"/>
      <c r="BU67" s="418"/>
      <c r="BV67" s="419"/>
    </row>
    <row r="68" spans="1:62" ht="143.25" customHeight="1">
      <c r="A68" s="1693"/>
      <c r="B68" s="337"/>
      <c r="C68" s="337"/>
      <c r="D68" s="391"/>
      <c r="E68" s="337"/>
      <c r="F68" s="337"/>
      <c r="G68" s="391"/>
      <c r="H68" s="337"/>
      <c r="I68" s="392"/>
      <c r="J68" s="3220"/>
      <c r="K68" s="2987"/>
      <c r="L68" s="3221"/>
      <c r="M68" s="3221"/>
      <c r="N68" s="3147"/>
      <c r="O68" s="1718" t="s">
        <v>360</v>
      </c>
      <c r="P68" s="3214"/>
      <c r="Q68" s="3215"/>
      <c r="R68" s="3238"/>
      <c r="S68" s="3155"/>
      <c r="T68" s="3215"/>
      <c r="U68" s="1128" t="s">
        <v>361</v>
      </c>
      <c r="V68" s="1128" t="s">
        <v>362</v>
      </c>
      <c r="W68" s="376">
        <v>4800000</v>
      </c>
      <c r="X68" s="377">
        <f>W68</f>
        <v>4800000</v>
      </c>
      <c r="Y68" s="377">
        <f t="shared" si="0"/>
        <v>4800000</v>
      </c>
      <c r="Z68" s="423">
        <v>88</v>
      </c>
      <c r="AA68" s="1124" t="s">
        <v>351</v>
      </c>
      <c r="AB68" s="3231"/>
      <c r="AC68" s="3233"/>
      <c r="AD68" s="3231"/>
      <c r="AE68" s="3233"/>
      <c r="AF68" s="3231"/>
      <c r="AG68" s="3233"/>
      <c r="AH68" s="3235"/>
      <c r="AI68" s="3237"/>
      <c r="AJ68" s="3235"/>
      <c r="AK68" s="3237"/>
      <c r="AL68" s="3235"/>
      <c r="AM68" s="3237"/>
      <c r="AN68" s="3231"/>
      <c r="AO68" s="3233"/>
      <c r="AP68" s="3235"/>
      <c r="AQ68" s="3237"/>
      <c r="AR68" s="3231"/>
      <c r="AS68" s="3233"/>
      <c r="AT68" s="3231"/>
      <c r="AU68" s="3233"/>
      <c r="AV68" s="3231"/>
      <c r="AW68" s="3233"/>
      <c r="AX68" s="3231"/>
      <c r="AY68" s="3233"/>
      <c r="AZ68" s="3139"/>
      <c r="BA68" s="3165"/>
      <c r="BB68" s="3165"/>
      <c r="BC68" s="3166"/>
      <c r="BD68" s="2951"/>
      <c r="BE68" s="2951"/>
      <c r="BF68" s="3240"/>
      <c r="BG68" s="3242"/>
      <c r="BH68" s="3240"/>
      <c r="BI68" s="3242"/>
      <c r="BJ68" s="3170"/>
    </row>
    <row r="69" spans="1:62" ht="117" customHeight="1">
      <c r="A69" s="1693"/>
      <c r="B69" s="337"/>
      <c r="C69" s="337"/>
      <c r="D69" s="391"/>
      <c r="E69" s="337"/>
      <c r="F69" s="337"/>
      <c r="G69" s="391"/>
      <c r="H69" s="337"/>
      <c r="I69" s="392"/>
      <c r="J69" s="1706">
        <v>267</v>
      </c>
      <c r="K69" s="1128" t="s">
        <v>363</v>
      </c>
      <c r="L69" s="1162" t="s">
        <v>248</v>
      </c>
      <c r="M69" s="399">
        <v>1</v>
      </c>
      <c r="N69" s="1151">
        <v>1</v>
      </c>
      <c r="O69" s="2949" t="s">
        <v>364</v>
      </c>
      <c r="P69" s="3174">
        <v>14</v>
      </c>
      <c r="Q69" s="3174" t="s">
        <v>365</v>
      </c>
      <c r="R69" s="1719">
        <f>+W69/$S$69*100</f>
        <v>12.135922330097088</v>
      </c>
      <c r="S69" s="3135">
        <v>144200000</v>
      </c>
      <c r="T69" s="3091" t="s">
        <v>366</v>
      </c>
      <c r="U69" s="1128" t="s">
        <v>367</v>
      </c>
      <c r="V69" s="1128" t="s">
        <v>368</v>
      </c>
      <c r="W69" s="376">
        <v>17500000</v>
      </c>
      <c r="X69" s="377">
        <v>7230000</v>
      </c>
      <c r="Y69" s="377">
        <f t="shared" si="0"/>
        <v>7230000</v>
      </c>
      <c r="Z69" s="3129">
        <v>88</v>
      </c>
      <c r="AA69" s="3100" t="s">
        <v>351</v>
      </c>
      <c r="AB69" s="3234"/>
      <c r="AC69" s="3236"/>
      <c r="AD69" s="3234"/>
      <c r="AE69" s="3236"/>
      <c r="AF69" s="3234"/>
      <c r="AG69" s="3236"/>
      <c r="AH69" s="3234">
        <v>100</v>
      </c>
      <c r="AI69" s="3236">
        <f>AH69</f>
        <v>100</v>
      </c>
      <c r="AJ69" s="3234">
        <v>250</v>
      </c>
      <c r="AK69" s="3236">
        <f>AJ69</f>
        <v>250</v>
      </c>
      <c r="AL69" s="3234">
        <v>41</v>
      </c>
      <c r="AM69" s="3236">
        <f>AL69</f>
        <v>41</v>
      </c>
      <c r="AN69" s="3129"/>
      <c r="AO69" s="3145"/>
      <c r="AP69" s="3129"/>
      <c r="AQ69" s="3145"/>
      <c r="AR69" s="3129"/>
      <c r="AS69" s="3145"/>
      <c r="AT69" s="3129"/>
      <c r="AU69" s="3145"/>
      <c r="AV69" s="3129"/>
      <c r="AW69" s="3145"/>
      <c r="AX69" s="3129"/>
      <c r="AY69" s="3145"/>
      <c r="AZ69" s="3129">
        <v>9</v>
      </c>
      <c r="BA69" s="3163">
        <f>84796666</f>
        <v>84796666</v>
      </c>
      <c r="BB69" s="3163">
        <v>84796666</v>
      </c>
      <c r="BC69" s="3133">
        <f>BB69/BA69</f>
        <v>1</v>
      </c>
      <c r="BD69" s="3100" t="s">
        <v>369</v>
      </c>
      <c r="BE69" s="3100" t="s">
        <v>370</v>
      </c>
      <c r="BF69" s="3151">
        <v>42597</v>
      </c>
      <c r="BG69" s="3153">
        <v>42599</v>
      </c>
      <c r="BH69" s="3151">
        <v>42735</v>
      </c>
      <c r="BI69" s="3208">
        <v>42734</v>
      </c>
      <c r="BJ69" s="3174" t="s">
        <v>235</v>
      </c>
    </row>
    <row r="70" spans="1:62" ht="173.25" customHeight="1">
      <c r="A70" s="1693"/>
      <c r="B70" s="337"/>
      <c r="C70" s="337"/>
      <c r="D70" s="391"/>
      <c r="E70" s="337"/>
      <c r="F70" s="337"/>
      <c r="G70" s="391"/>
      <c r="H70" s="337"/>
      <c r="I70" s="392"/>
      <c r="J70" s="1707">
        <v>268</v>
      </c>
      <c r="K70" s="1128" t="s">
        <v>371</v>
      </c>
      <c r="L70" s="1162" t="s">
        <v>248</v>
      </c>
      <c r="M70" s="399">
        <v>12</v>
      </c>
      <c r="N70" s="425">
        <v>12</v>
      </c>
      <c r="O70" s="2950"/>
      <c r="P70" s="3169"/>
      <c r="Q70" s="3169"/>
      <c r="R70" s="2848">
        <f aca="true" t="shared" si="1" ref="R70:R78">+W70/$S$69*100</f>
        <v>12.949029126213594</v>
      </c>
      <c r="S70" s="3136"/>
      <c r="T70" s="3092"/>
      <c r="U70" s="3091" t="s">
        <v>372</v>
      </c>
      <c r="V70" s="1141" t="s">
        <v>373</v>
      </c>
      <c r="W70" s="376">
        <v>18672500</v>
      </c>
      <c r="X70" s="377">
        <v>11200000</v>
      </c>
      <c r="Y70" s="377">
        <f t="shared" si="0"/>
        <v>11200000</v>
      </c>
      <c r="Z70" s="3130"/>
      <c r="AA70" s="3101"/>
      <c r="AB70" s="3243"/>
      <c r="AC70" s="3244"/>
      <c r="AD70" s="3243"/>
      <c r="AE70" s="3244"/>
      <c r="AF70" s="3243"/>
      <c r="AG70" s="3244"/>
      <c r="AH70" s="3243"/>
      <c r="AI70" s="3244"/>
      <c r="AJ70" s="3243"/>
      <c r="AK70" s="3244"/>
      <c r="AL70" s="3243"/>
      <c r="AM70" s="3244"/>
      <c r="AN70" s="3130"/>
      <c r="AO70" s="3146"/>
      <c r="AP70" s="3130"/>
      <c r="AQ70" s="3146"/>
      <c r="AR70" s="3130"/>
      <c r="AS70" s="3146"/>
      <c r="AT70" s="3130"/>
      <c r="AU70" s="3146"/>
      <c r="AV70" s="3130"/>
      <c r="AW70" s="3146"/>
      <c r="AX70" s="3130"/>
      <c r="AY70" s="3146"/>
      <c r="AZ70" s="3130"/>
      <c r="BA70" s="3164"/>
      <c r="BB70" s="3164"/>
      <c r="BC70" s="3134"/>
      <c r="BD70" s="3101"/>
      <c r="BE70" s="3101"/>
      <c r="BF70" s="3152"/>
      <c r="BG70" s="3154"/>
      <c r="BH70" s="3152"/>
      <c r="BI70" s="3209"/>
      <c r="BJ70" s="3169"/>
    </row>
    <row r="71" spans="1:62" ht="170.25" customHeight="1">
      <c r="A71" s="1693"/>
      <c r="B71" s="337"/>
      <c r="C71" s="337"/>
      <c r="D71" s="391"/>
      <c r="E71" s="337"/>
      <c r="F71" s="337"/>
      <c r="G71" s="391"/>
      <c r="H71" s="337"/>
      <c r="I71" s="392"/>
      <c r="J71" s="1707">
        <v>269</v>
      </c>
      <c r="K71" s="1128" t="s">
        <v>374</v>
      </c>
      <c r="L71" s="1162" t="s">
        <v>248</v>
      </c>
      <c r="M71" s="399">
        <v>12</v>
      </c>
      <c r="N71" s="425">
        <v>12</v>
      </c>
      <c r="O71" s="2950"/>
      <c r="P71" s="3169"/>
      <c r="Q71" s="3169"/>
      <c r="R71" s="2848">
        <f t="shared" si="1"/>
        <v>10.521844660194175</v>
      </c>
      <c r="S71" s="3136"/>
      <c r="T71" s="3092"/>
      <c r="U71" s="3092"/>
      <c r="V71" s="1141" t="s">
        <v>375</v>
      </c>
      <c r="W71" s="376">
        <v>15172500</v>
      </c>
      <c r="X71" s="377">
        <v>12800000</v>
      </c>
      <c r="Y71" s="377">
        <f t="shared" si="0"/>
        <v>12800000</v>
      </c>
      <c r="Z71" s="3130"/>
      <c r="AA71" s="3101"/>
      <c r="AB71" s="3243"/>
      <c r="AC71" s="3244"/>
      <c r="AD71" s="3243"/>
      <c r="AE71" s="3244"/>
      <c r="AF71" s="3243"/>
      <c r="AG71" s="3244"/>
      <c r="AH71" s="3243"/>
      <c r="AI71" s="3244"/>
      <c r="AJ71" s="3243"/>
      <c r="AK71" s="3244"/>
      <c r="AL71" s="3243"/>
      <c r="AM71" s="3244"/>
      <c r="AN71" s="3130"/>
      <c r="AO71" s="3146"/>
      <c r="AP71" s="3130"/>
      <c r="AQ71" s="3146"/>
      <c r="AR71" s="3130"/>
      <c r="AS71" s="3146"/>
      <c r="AT71" s="3130"/>
      <c r="AU71" s="3146"/>
      <c r="AV71" s="3130"/>
      <c r="AW71" s="3146"/>
      <c r="AX71" s="3130"/>
      <c r="AY71" s="3146"/>
      <c r="AZ71" s="3130"/>
      <c r="BA71" s="3164"/>
      <c r="BB71" s="3164"/>
      <c r="BC71" s="3134"/>
      <c r="BD71" s="3101"/>
      <c r="BE71" s="3101"/>
      <c r="BF71" s="3152"/>
      <c r="BG71" s="3154"/>
      <c r="BH71" s="3152"/>
      <c r="BI71" s="3209"/>
      <c r="BJ71" s="3169"/>
    </row>
    <row r="72" spans="1:62" ht="186.75" customHeight="1">
      <c r="A72" s="1693"/>
      <c r="B72" s="337"/>
      <c r="C72" s="337"/>
      <c r="D72" s="391"/>
      <c r="E72" s="337"/>
      <c r="F72" s="337"/>
      <c r="G72" s="391"/>
      <c r="H72" s="337"/>
      <c r="I72" s="392"/>
      <c r="J72" s="1707">
        <v>270</v>
      </c>
      <c r="K72" s="1128" t="s">
        <v>376</v>
      </c>
      <c r="L72" s="1162" t="s">
        <v>248</v>
      </c>
      <c r="M72" s="399">
        <v>12</v>
      </c>
      <c r="N72" s="1153">
        <v>12</v>
      </c>
      <c r="O72" s="2950"/>
      <c r="P72" s="3169"/>
      <c r="Q72" s="3169"/>
      <c r="R72" s="2848">
        <f t="shared" si="1"/>
        <v>10.521844660194175</v>
      </c>
      <c r="S72" s="3136"/>
      <c r="T72" s="3092"/>
      <c r="U72" s="3092"/>
      <c r="V72" s="1141" t="s">
        <v>377</v>
      </c>
      <c r="W72" s="376">
        <v>15172500</v>
      </c>
      <c r="X72" s="377">
        <v>10000000</v>
      </c>
      <c r="Y72" s="377">
        <f t="shared" si="0"/>
        <v>10000000</v>
      </c>
      <c r="Z72" s="3130"/>
      <c r="AA72" s="3101"/>
      <c r="AB72" s="3243"/>
      <c r="AC72" s="3244"/>
      <c r="AD72" s="3243"/>
      <c r="AE72" s="3244"/>
      <c r="AF72" s="3243"/>
      <c r="AG72" s="3244"/>
      <c r="AH72" s="3243"/>
      <c r="AI72" s="3244"/>
      <c r="AJ72" s="3243"/>
      <c r="AK72" s="3244"/>
      <c r="AL72" s="3243"/>
      <c r="AM72" s="3244"/>
      <c r="AN72" s="3130"/>
      <c r="AO72" s="3146"/>
      <c r="AP72" s="3130"/>
      <c r="AQ72" s="3146"/>
      <c r="AR72" s="3130"/>
      <c r="AS72" s="3146"/>
      <c r="AT72" s="3130"/>
      <c r="AU72" s="3146"/>
      <c r="AV72" s="3130"/>
      <c r="AW72" s="3146"/>
      <c r="AX72" s="3130"/>
      <c r="AY72" s="3146"/>
      <c r="AZ72" s="3130"/>
      <c r="BA72" s="3164"/>
      <c r="BB72" s="3164"/>
      <c r="BC72" s="3134"/>
      <c r="BD72" s="3101"/>
      <c r="BE72" s="3101" t="s">
        <v>378</v>
      </c>
      <c r="BF72" s="3152"/>
      <c r="BG72" s="3154"/>
      <c r="BH72" s="3152"/>
      <c r="BI72" s="3209"/>
      <c r="BJ72" s="3169"/>
    </row>
    <row r="73" spans="1:62" s="134" customFormat="1" ht="129" customHeight="1">
      <c r="A73" s="1700"/>
      <c r="B73" s="414"/>
      <c r="C73" s="414"/>
      <c r="D73" s="1704"/>
      <c r="E73" s="414"/>
      <c r="F73" s="414"/>
      <c r="G73" s="1704"/>
      <c r="H73" s="414"/>
      <c r="I73" s="1701"/>
      <c r="J73" s="3250">
        <v>271</v>
      </c>
      <c r="K73" s="2971" t="s">
        <v>379</v>
      </c>
      <c r="L73" s="3124" t="s">
        <v>248</v>
      </c>
      <c r="M73" s="3197">
        <v>12</v>
      </c>
      <c r="N73" s="3203">
        <v>12</v>
      </c>
      <c r="O73" s="2950"/>
      <c r="P73" s="3169"/>
      <c r="Q73" s="3169"/>
      <c r="R73" s="2848">
        <f t="shared" si="1"/>
        <v>11.090499306518725</v>
      </c>
      <c r="S73" s="3136"/>
      <c r="T73" s="3092"/>
      <c r="U73" s="3092"/>
      <c r="V73" s="1126" t="s">
        <v>380</v>
      </c>
      <c r="W73" s="376">
        <v>15992500</v>
      </c>
      <c r="X73" s="415">
        <v>12800000</v>
      </c>
      <c r="Y73" s="415">
        <f t="shared" si="0"/>
        <v>12800000</v>
      </c>
      <c r="Z73" s="3130"/>
      <c r="AA73" s="3101"/>
      <c r="AB73" s="3243"/>
      <c r="AC73" s="3244"/>
      <c r="AD73" s="3243"/>
      <c r="AE73" s="3244"/>
      <c r="AF73" s="3243"/>
      <c r="AG73" s="3244"/>
      <c r="AH73" s="3243"/>
      <c r="AI73" s="3244"/>
      <c r="AJ73" s="3243"/>
      <c r="AK73" s="3244"/>
      <c r="AL73" s="3243"/>
      <c r="AM73" s="3244"/>
      <c r="AN73" s="3130"/>
      <c r="AO73" s="3146"/>
      <c r="AP73" s="3130"/>
      <c r="AQ73" s="3146"/>
      <c r="AR73" s="3130"/>
      <c r="AS73" s="3146"/>
      <c r="AT73" s="3130"/>
      <c r="AU73" s="3146"/>
      <c r="AV73" s="3130"/>
      <c r="AW73" s="3146"/>
      <c r="AX73" s="3130"/>
      <c r="AY73" s="3146"/>
      <c r="AZ73" s="3130"/>
      <c r="BA73" s="3164"/>
      <c r="BB73" s="3164"/>
      <c r="BC73" s="3134"/>
      <c r="BD73" s="3101"/>
      <c r="BE73" s="3101"/>
      <c r="BF73" s="3152"/>
      <c r="BG73" s="3154"/>
      <c r="BH73" s="3152"/>
      <c r="BI73" s="3209"/>
      <c r="BJ73" s="3169"/>
    </row>
    <row r="74" spans="1:62" s="134" customFormat="1" ht="159" customHeight="1">
      <c r="A74" s="1700"/>
      <c r="B74" s="414"/>
      <c r="C74" s="414"/>
      <c r="D74" s="1704"/>
      <c r="E74" s="414"/>
      <c r="F74" s="414"/>
      <c r="G74" s="1704"/>
      <c r="H74" s="414"/>
      <c r="I74" s="1701"/>
      <c r="J74" s="3251"/>
      <c r="K74" s="2973"/>
      <c r="L74" s="3186"/>
      <c r="M74" s="3199"/>
      <c r="N74" s="3196"/>
      <c r="O74" s="2950"/>
      <c r="P74" s="3169"/>
      <c r="Q74" s="3169"/>
      <c r="R74" s="2848">
        <f t="shared" si="1"/>
        <v>8.668515950069349</v>
      </c>
      <c r="S74" s="3136"/>
      <c r="T74" s="3092"/>
      <c r="U74" s="3092"/>
      <c r="V74" s="1126" t="s">
        <v>381</v>
      </c>
      <c r="W74" s="376">
        <v>12500000</v>
      </c>
      <c r="X74" s="415">
        <v>7600000</v>
      </c>
      <c r="Y74" s="415">
        <f t="shared" si="0"/>
        <v>7600000</v>
      </c>
      <c r="Z74" s="3130"/>
      <c r="AA74" s="3101"/>
      <c r="AB74" s="3243"/>
      <c r="AC74" s="3244"/>
      <c r="AD74" s="3243"/>
      <c r="AE74" s="3244"/>
      <c r="AF74" s="3243"/>
      <c r="AG74" s="3244"/>
      <c r="AH74" s="3243"/>
      <c r="AI74" s="3244"/>
      <c r="AJ74" s="3243"/>
      <c r="AK74" s="3244"/>
      <c r="AL74" s="3243"/>
      <c r="AM74" s="3244"/>
      <c r="AN74" s="3130"/>
      <c r="AO74" s="3146"/>
      <c r="AP74" s="3130"/>
      <c r="AQ74" s="3146"/>
      <c r="AR74" s="3130"/>
      <c r="AS74" s="3146"/>
      <c r="AT74" s="3130"/>
      <c r="AU74" s="3146"/>
      <c r="AV74" s="3130"/>
      <c r="AW74" s="3146"/>
      <c r="AX74" s="3130"/>
      <c r="AY74" s="3146"/>
      <c r="AZ74" s="3130"/>
      <c r="BA74" s="3164"/>
      <c r="BB74" s="3164"/>
      <c r="BC74" s="3134"/>
      <c r="BD74" s="3101"/>
      <c r="BE74" s="3101"/>
      <c r="BF74" s="3152"/>
      <c r="BG74" s="3154"/>
      <c r="BH74" s="3152"/>
      <c r="BI74" s="3209"/>
      <c r="BJ74" s="3169"/>
    </row>
    <row r="75" spans="1:62" ht="168" customHeight="1">
      <c r="A75" s="1693"/>
      <c r="B75" s="337"/>
      <c r="C75" s="337"/>
      <c r="D75" s="391"/>
      <c r="E75" s="337"/>
      <c r="F75" s="337"/>
      <c r="G75" s="391"/>
      <c r="H75" s="337"/>
      <c r="I75" s="392"/>
      <c r="J75" s="1707">
        <v>272</v>
      </c>
      <c r="K75" s="1128" t="s">
        <v>382</v>
      </c>
      <c r="L75" s="1162" t="s">
        <v>248</v>
      </c>
      <c r="M75" s="399">
        <v>12</v>
      </c>
      <c r="N75" s="1152">
        <v>12</v>
      </c>
      <c r="O75" s="2950"/>
      <c r="P75" s="3169"/>
      <c r="Q75" s="3169"/>
      <c r="R75" s="2848">
        <f t="shared" si="1"/>
        <v>10.521844660194175</v>
      </c>
      <c r="S75" s="3136"/>
      <c r="T75" s="3092"/>
      <c r="U75" s="3092"/>
      <c r="V75" s="1141" t="s">
        <v>383</v>
      </c>
      <c r="W75" s="1156">
        <v>15172500</v>
      </c>
      <c r="X75" s="377">
        <v>14000000</v>
      </c>
      <c r="Y75" s="377">
        <f t="shared" si="0"/>
        <v>14000000</v>
      </c>
      <c r="Z75" s="3130"/>
      <c r="AA75" s="3101"/>
      <c r="AB75" s="3243"/>
      <c r="AC75" s="3244"/>
      <c r="AD75" s="3243"/>
      <c r="AE75" s="3244"/>
      <c r="AF75" s="3243"/>
      <c r="AG75" s="3244"/>
      <c r="AH75" s="3243"/>
      <c r="AI75" s="3244"/>
      <c r="AJ75" s="3243"/>
      <c r="AK75" s="3244"/>
      <c r="AL75" s="3243"/>
      <c r="AM75" s="3244"/>
      <c r="AN75" s="3130"/>
      <c r="AO75" s="3146"/>
      <c r="AP75" s="3130"/>
      <c r="AQ75" s="3146"/>
      <c r="AR75" s="3130"/>
      <c r="AS75" s="3146"/>
      <c r="AT75" s="3130"/>
      <c r="AU75" s="3146"/>
      <c r="AV75" s="3130"/>
      <c r="AW75" s="3146"/>
      <c r="AX75" s="3130"/>
      <c r="AY75" s="3146"/>
      <c r="AZ75" s="3130"/>
      <c r="BA75" s="3164"/>
      <c r="BB75" s="3164"/>
      <c r="BC75" s="3134"/>
      <c r="BD75" s="3101"/>
      <c r="BE75" s="3101"/>
      <c r="BF75" s="3152"/>
      <c r="BG75" s="3154"/>
      <c r="BH75" s="3152"/>
      <c r="BI75" s="3209"/>
      <c r="BJ75" s="3169"/>
    </row>
    <row r="76" spans="1:62" ht="158.25" customHeight="1">
      <c r="A76" s="1693"/>
      <c r="B76" s="337"/>
      <c r="C76" s="337"/>
      <c r="D76" s="391"/>
      <c r="E76" s="337"/>
      <c r="F76" s="337"/>
      <c r="G76" s="391"/>
      <c r="H76" s="337"/>
      <c r="I76" s="392"/>
      <c r="J76" s="1707">
        <v>273</v>
      </c>
      <c r="K76" s="1128" t="s">
        <v>384</v>
      </c>
      <c r="L76" s="1162" t="s">
        <v>248</v>
      </c>
      <c r="M76" s="399">
        <v>12</v>
      </c>
      <c r="N76" s="425">
        <v>12</v>
      </c>
      <c r="O76" s="2950"/>
      <c r="P76" s="3169"/>
      <c r="Q76" s="3169"/>
      <c r="R76" s="2848">
        <f t="shared" si="1"/>
        <v>1.8533287101248266</v>
      </c>
      <c r="S76" s="3136"/>
      <c r="T76" s="3092"/>
      <c r="U76" s="3092"/>
      <c r="V76" s="1141" t="s">
        <v>385</v>
      </c>
      <c r="W76" s="1156">
        <v>2672500</v>
      </c>
      <c r="X76" s="377">
        <v>0</v>
      </c>
      <c r="Y76" s="377">
        <v>0</v>
      </c>
      <c r="Z76" s="3130"/>
      <c r="AA76" s="3101"/>
      <c r="AB76" s="3243"/>
      <c r="AC76" s="3244"/>
      <c r="AD76" s="3243"/>
      <c r="AE76" s="3244"/>
      <c r="AF76" s="3243"/>
      <c r="AG76" s="3244"/>
      <c r="AH76" s="3243"/>
      <c r="AI76" s="3244"/>
      <c r="AJ76" s="3243"/>
      <c r="AK76" s="3244"/>
      <c r="AL76" s="3243"/>
      <c r="AM76" s="3244"/>
      <c r="AN76" s="3130"/>
      <c r="AO76" s="3146"/>
      <c r="AP76" s="3130"/>
      <c r="AQ76" s="3146"/>
      <c r="AR76" s="3130"/>
      <c r="AS76" s="3146"/>
      <c r="AT76" s="3130"/>
      <c r="AU76" s="3146"/>
      <c r="AV76" s="3130"/>
      <c r="AW76" s="3146"/>
      <c r="AX76" s="3130"/>
      <c r="AY76" s="3146"/>
      <c r="AZ76" s="3130"/>
      <c r="BA76" s="3164"/>
      <c r="BB76" s="3164"/>
      <c r="BC76" s="3134"/>
      <c r="BD76" s="3101"/>
      <c r="BE76" s="1147"/>
      <c r="BF76" s="3152"/>
      <c r="BG76" s="3154"/>
      <c r="BH76" s="3152"/>
      <c r="BI76" s="3209"/>
      <c r="BJ76" s="3169"/>
    </row>
    <row r="77" spans="1:62" ht="118.5" customHeight="1">
      <c r="A77" s="1693"/>
      <c r="B77" s="337"/>
      <c r="C77" s="337"/>
      <c r="D77" s="391"/>
      <c r="E77" s="337"/>
      <c r="F77" s="337"/>
      <c r="G77" s="391"/>
      <c r="H77" s="337"/>
      <c r="I77" s="392"/>
      <c r="J77" s="1707">
        <v>274</v>
      </c>
      <c r="K77" s="1128" t="s">
        <v>386</v>
      </c>
      <c r="L77" s="1162" t="s">
        <v>248</v>
      </c>
      <c r="M77" s="399">
        <v>12</v>
      </c>
      <c r="N77" s="425">
        <v>12</v>
      </c>
      <c r="O77" s="2950"/>
      <c r="P77" s="3169"/>
      <c r="Q77" s="3169"/>
      <c r="R77" s="2848">
        <f t="shared" si="1"/>
        <v>8.788141470180305</v>
      </c>
      <c r="S77" s="3136"/>
      <c r="T77" s="3092"/>
      <c r="U77" s="3092"/>
      <c r="V77" s="1141" t="s">
        <v>387</v>
      </c>
      <c r="W77" s="376">
        <v>12672500</v>
      </c>
      <c r="X77" s="377">
        <v>9166666</v>
      </c>
      <c r="Y77" s="377">
        <f>X77</f>
        <v>9166666</v>
      </c>
      <c r="Z77" s="3130"/>
      <c r="AA77" s="3101"/>
      <c r="AB77" s="3243"/>
      <c r="AC77" s="3244"/>
      <c r="AD77" s="3243"/>
      <c r="AE77" s="3244"/>
      <c r="AF77" s="3243"/>
      <c r="AG77" s="3244"/>
      <c r="AH77" s="3243"/>
      <c r="AI77" s="3244"/>
      <c r="AJ77" s="3243"/>
      <c r="AK77" s="3244"/>
      <c r="AL77" s="3243"/>
      <c r="AM77" s="3244"/>
      <c r="AN77" s="3130"/>
      <c r="AO77" s="3146"/>
      <c r="AP77" s="3130"/>
      <c r="AQ77" s="3146"/>
      <c r="AR77" s="3130"/>
      <c r="AS77" s="3146"/>
      <c r="AT77" s="3130"/>
      <c r="AU77" s="3146"/>
      <c r="AV77" s="3130"/>
      <c r="AW77" s="3146"/>
      <c r="AX77" s="3130"/>
      <c r="AY77" s="3146"/>
      <c r="AZ77" s="3130"/>
      <c r="BA77" s="3164"/>
      <c r="BB77" s="3164"/>
      <c r="BC77" s="3134"/>
      <c r="BD77" s="3101"/>
      <c r="BE77" s="1144" t="s">
        <v>388</v>
      </c>
      <c r="BF77" s="3152"/>
      <c r="BG77" s="3154"/>
      <c r="BH77" s="3152"/>
      <c r="BI77" s="3209"/>
      <c r="BJ77" s="3169"/>
    </row>
    <row r="78" spans="1:62" ht="162" customHeight="1">
      <c r="A78" s="1695"/>
      <c r="B78" s="317"/>
      <c r="C78" s="317"/>
      <c r="D78" s="1698"/>
      <c r="E78" s="317"/>
      <c r="F78" s="317"/>
      <c r="G78" s="1698"/>
      <c r="H78" s="317"/>
      <c r="I78" s="400"/>
      <c r="J78" s="424">
        <v>260</v>
      </c>
      <c r="K78" s="1128" t="s">
        <v>389</v>
      </c>
      <c r="L78" s="1162" t="s">
        <v>248</v>
      </c>
      <c r="M78" s="399">
        <v>12</v>
      </c>
      <c r="N78" s="425">
        <v>12</v>
      </c>
      <c r="O78" s="2951"/>
      <c r="P78" s="3170"/>
      <c r="Q78" s="3170"/>
      <c r="R78" s="2848">
        <f t="shared" si="1"/>
        <v>12.949029126213594</v>
      </c>
      <c r="S78" s="3155"/>
      <c r="T78" s="3093"/>
      <c r="U78" s="3093"/>
      <c r="V78" s="1128" t="s">
        <v>390</v>
      </c>
      <c r="W78" s="376">
        <v>18672500</v>
      </c>
      <c r="X78" s="377">
        <v>0</v>
      </c>
      <c r="Y78" s="377">
        <v>0</v>
      </c>
      <c r="Z78" s="3173"/>
      <c r="AA78" s="3102"/>
      <c r="AB78" s="3235"/>
      <c r="AC78" s="3237"/>
      <c r="AD78" s="3235"/>
      <c r="AE78" s="3237"/>
      <c r="AF78" s="3235"/>
      <c r="AG78" s="3237"/>
      <c r="AH78" s="3235"/>
      <c r="AI78" s="3237"/>
      <c r="AJ78" s="3235"/>
      <c r="AK78" s="3237"/>
      <c r="AL78" s="3235"/>
      <c r="AM78" s="3237"/>
      <c r="AN78" s="3173"/>
      <c r="AO78" s="3147"/>
      <c r="AP78" s="3173"/>
      <c r="AQ78" s="3147"/>
      <c r="AR78" s="3173"/>
      <c r="AS78" s="3147"/>
      <c r="AT78" s="3173"/>
      <c r="AU78" s="3147"/>
      <c r="AV78" s="3173"/>
      <c r="AW78" s="3147"/>
      <c r="AX78" s="3173"/>
      <c r="AY78" s="3147"/>
      <c r="AZ78" s="3173"/>
      <c r="BA78" s="3165"/>
      <c r="BB78" s="3165"/>
      <c r="BC78" s="3166"/>
      <c r="BD78" s="3102"/>
      <c r="BE78" s="423"/>
      <c r="BF78" s="3171"/>
      <c r="BG78" s="3172"/>
      <c r="BH78" s="3171"/>
      <c r="BI78" s="3210"/>
      <c r="BJ78" s="3170"/>
    </row>
    <row r="79" spans="1:62" ht="15" thickBot="1">
      <c r="A79" s="367"/>
      <c r="B79" s="337"/>
      <c r="C79" s="337"/>
      <c r="D79" s="337"/>
      <c r="E79" s="337"/>
      <c r="F79" s="337"/>
      <c r="G79" s="337"/>
      <c r="H79" s="337"/>
      <c r="I79" s="337"/>
      <c r="J79" s="426"/>
      <c r="K79" s="427"/>
      <c r="L79" s="428"/>
      <c r="M79" s="429"/>
      <c r="N79" s="430"/>
      <c r="O79" s="363"/>
      <c r="P79" s="431"/>
      <c r="Q79" s="431"/>
      <c r="R79" s="432"/>
      <c r="S79" s="433"/>
      <c r="T79" s="427"/>
      <c r="U79" s="427"/>
      <c r="V79" s="427"/>
      <c r="W79" s="433"/>
      <c r="X79" s="434"/>
      <c r="Y79" s="434"/>
      <c r="Z79" s="429"/>
      <c r="AA79" s="429"/>
      <c r="AB79" s="435"/>
      <c r="AC79" s="436"/>
      <c r="AD79" s="435"/>
      <c r="AE79" s="436"/>
      <c r="AF79" s="435"/>
      <c r="AG79" s="436"/>
      <c r="AH79" s="435"/>
      <c r="AI79" s="436"/>
      <c r="AJ79" s="435"/>
      <c r="AK79" s="436"/>
      <c r="AL79" s="435"/>
      <c r="AM79" s="436"/>
      <c r="AN79" s="429"/>
      <c r="AO79" s="430"/>
      <c r="AP79" s="429"/>
      <c r="AQ79" s="430"/>
      <c r="AR79" s="429"/>
      <c r="AS79" s="430"/>
      <c r="AT79" s="429"/>
      <c r="AU79" s="430"/>
      <c r="AV79" s="429"/>
      <c r="AW79" s="430"/>
      <c r="AX79" s="429"/>
      <c r="AY79" s="430"/>
      <c r="AZ79" s="429"/>
      <c r="BA79" s="437"/>
      <c r="BB79" s="437"/>
      <c r="BC79" s="429"/>
      <c r="BD79" s="429"/>
      <c r="BE79" s="429"/>
      <c r="BF79" s="438"/>
      <c r="BG79" s="439"/>
      <c r="BH79" s="438"/>
      <c r="BI79" s="439"/>
      <c r="BJ79" s="440"/>
    </row>
    <row r="80" spans="1:62" s="455" customFormat="1" ht="22.5" customHeight="1" thickBot="1">
      <c r="A80" s="3245" t="s">
        <v>391</v>
      </c>
      <c r="B80" s="3246"/>
      <c r="C80" s="3246"/>
      <c r="D80" s="3246"/>
      <c r="E80" s="3246"/>
      <c r="F80" s="3246"/>
      <c r="G80" s="3246"/>
      <c r="H80" s="3246"/>
      <c r="I80" s="3246"/>
      <c r="J80" s="3246"/>
      <c r="K80" s="3246"/>
      <c r="L80" s="3246"/>
      <c r="M80" s="3246"/>
      <c r="N80" s="3246"/>
      <c r="O80" s="3246"/>
      <c r="P80" s="3246"/>
      <c r="Q80" s="3246"/>
      <c r="R80" s="3247"/>
      <c r="S80" s="123">
        <f>SUM(S12:S78)</f>
        <v>1235000000</v>
      </c>
      <c r="T80" s="441"/>
      <c r="U80" s="135"/>
      <c r="V80" s="442"/>
      <c r="W80" s="123">
        <f>SUM(W12:W78)</f>
        <v>1235000000</v>
      </c>
      <c r="X80" s="443">
        <f>SUM(X12:X78)</f>
        <v>782331937</v>
      </c>
      <c r="Y80" s="443">
        <f>SUM(Y12:Y78)</f>
        <v>707341937</v>
      </c>
      <c r="Z80" s="444"/>
      <c r="AA80" s="445"/>
      <c r="AB80" s="446"/>
      <c r="AC80" s="447"/>
      <c r="AD80" s="446"/>
      <c r="AE80" s="447"/>
      <c r="AF80" s="446"/>
      <c r="AG80" s="447"/>
      <c r="AH80" s="446"/>
      <c r="AI80" s="447"/>
      <c r="AJ80" s="446"/>
      <c r="AK80" s="447"/>
      <c r="AL80" s="446"/>
      <c r="AM80" s="447"/>
      <c r="AN80" s="446"/>
      <c r="AO80" s="447"/>
      <c r="AP80" s="446"/>
      <c r="AQ80" s="447"/>
      <c r="AR80" s="446"/>
      <c r="AS80" s="447"/>
      <c r="AT80" s="446"/>
      <c r="AU80" s="447"/>
      <c r="AV80" s="446"/>
      <c r="AW80" s="447"/>
      <c r="AX80" s="446"/>
      <c r="AY80" s="447"/>
      <c r="AZ80" s="448">
        <f>SUM(AZ12:AZ78)</f>
        <v>63</v>
      </c>
      <c r="BA80" s="123">
        <f>SUM(BA12:BA78)</f>
        <v>782331937</v>
      </c>
      <c r="BB80" s="123">
        <f>SUM(BB12:BB78)</f>
        <v>707341937</v>
      </c>
      <c r="BC80" s="446"/>
      <c r="BD80" s="446"/>
      <c r="BE80" s="449"/>
      <c r="BF80" s="450"/>
      <c r="BG80" s="451"/>
      <c r="BH80" s="452"/>
      <c r="BI80" s="453"/>
      <c r="BJ80" s="454"/>
    </row>
    <row r="81" spans="2:10" ht="14.25">
      <c r="B81" s="3248" t="s">
        <v>40</v>
      </c>
      <c r="C81" s="3248"/>
      <c r="D81" s="3248"/>
      <c r="E81" s="3248"/>
      <c r="F81" s="3248"/>
      <c r="G81" s="3248"/>
      <c r="H81" s="3248"/>
      <c r="I81" s="3248"/>
      <c r="J81" s="3248"/>
    </row>
    <row r="83" spans="22:25" ht="15">
      <c r="V83" s="2641"/>
      <c r="W83" s="2642"/>
      <c r="X83" s="2642"/>
      <c r="Y83" s="2642"/>
    </row>
    <row r="84" spans="4:25" ht="15">
      <c r="D84" s="455"/>
      <c r="E84" s="455"/>
      <c r="F84" s="455"/>
      <c r="G84" s="455"/>
      <c r="H84" s="455"/>
      <c r="I84" s="455"/>
      <c r="V84" s="2641"/>
      <c r="W84" s="2643"/>
      <c r="X84" s="2644"/>
      <c r="Y84" s="2644"/>
    </row>
    <row r="85" spans="4:9" ht="15">
      <c r="D85" s="3249" t="s">
        <v>392</v>
      </c>
      <c r="E85" s="3249"/>
      <c r="F85" s="3249"/>
      <c r="G85" s="3249"/>
      <c r="H85" s="3249"/>
      <c r="I85" s="3249"/>
    </row>
    <row r="86" spans="4:9" ht="15">
      <c r="D86" s="3249" t="s">
        <v>393</v>
      </c>
      <c r="E86" s="3249"/>
      <c r="F86" s="3249"/>
      <c r="G86" s="3249"/>
      <c r="H86" s="3249"/>
      <c r="I86" s="3249"/>
    </row>
  </sheetData>
  <sheetProtection/>
  <mergeCells count="551">
    <mergeCell ref="BF69:BF78"/>
    <mergeCell ref="BG69:BG78"/>
    <mergeCell ref="BH69:BH78"/>
    <mergeCell ref="BI69:BI78"/>
    <mergeCell ref="BJ69:BJ78"/>
    <mergeCell ref="U70:U78"/>
    <mergeCell ref="BE72:BE75"/>
    <mergeCell ref="AZ69:AZ78"/>
    <mergeCell ref="BA69:BA78"/>
    <mergeCell ref="BB69:BB78"/>
    <mergeCell ref="BC69:BC78"/>
    <mergeCell ref="BD69:BD78"/>
    <mergeCell ref="BE69:BE71"/>
    <mergeCell ref="AT69:AT78"/>
    <mergeCell ref="AU69:AU78"/>
    <mergeCell ref="AV69:AV78"/>
    <mergeCell ref="AW69:AW78"/>
    <mergeCell ref="AX69:AX78"/>
    <mergeCell ref="AY69:AY78"/>
    <mergeCell ref="AN69:AN78"/>
    <mergeCell ref="AO69:AO78"/>
    <mergeCell ref="AP69:AP78"/>
    <mergeCell ref="AQ69:AQ78"/>
    <mergeCell ref="AR69:AR78"/>
    <mergeCell ref="A80:R80"/>
    <mergeCell ref="B81:J81"/>
    <mergeCell ref="D85:I85"/>
    <mergeCell ref="D86:I86"/>
    <mergeCell ref="J73:J74"/>
    <mergeCell ref="K73:K74"/>
    <mergeCell ref="L73:L74"/>
    <mergeCell ref="M73:M74"/>
    <mergeCell ref="N73:N74"/>
    <mergeCell ref="AS69:AS78"/>
    <mergeCell ref="AH69:AH78"/>
    <mergeCell ref="AI69:AI78"/>
    <mergeCell ref="AJ69:AJ78"/>
    <mergeCell ref="AK69:AK78"/>
    <mergeCell ref="AL69:AL78"/>
    <mergeCell ref="AM69:AM78"/>
    <mergeCell ref="AB69:AB78"/>
    <mergeCell ref="AC69:AC78"/>
    <mergeCell ref="AD69:AD78"/>
    <mergeCell ref="AE69:AE78"/>
    <mergeCell ref="AF69:AF78"/>
    <mergeCell ref="AG69:AG78"/>
    <mergeCell ref="BH67:BH68"/>
    <mergeCell ref="BI67:BI68"/>
    <mergeCell ref="BJ67:BJ68"/>
    <mergeCell ref="O69:O78"/>
    <mergeCell ref="P69:P78"/>
    <mergeCell ref="Q69:Q78"/>
    <mergeCell ref="S69:S78"/>
    <mergeCell ref="T69:T78"/>
    <mergeCell ref="Z69:Z78"/>
    <mergeCell ref="AA69:AA78"/>
    <mergeCell ref="BB67:BB68"/>
    <mergeCell ref="BC67:BC68"/>
    <mergeCell ref="BD67:BD68"/>
    <mergeCell ref="BE67:BE68"/>
    <mergeCell ref="BF67:BF68"/>
    <mergeCell ref="BG67:BG68"/>
    <mergeCell ref="AV67:AV68"/>
    <mergeCell ref="AW67:AW68"/>
    <mergeCell ref="AX67:AX68"/>
    <mergeCell ref="AY67:AY68"/>
    <mergeCell ref="AZ67:AZ68"/>
    <mergeCell ref="BA67:BA68"/>
    <mergeCell ref="AP67:AP68"/>
    <mergeCell ref="AQ67:AQ68"/>
    <mergeCell ref="AR67:AR68"/>
    <mergeCell ref="AS67:AS68"/>
    <mergeCell ref="AT67:AT68"/>
    <mergeCell ref="AU67:AU68"/>
    <mergeCell ref="AJ67:AJ68"/>
    <mergeCell ref="AK67:AK68"/>
    <mergeCell ref="AL67:AL68"/>
    <mergeCell ref="AM67:AM68"/>
    <mergeCell ref="AN67:AN68"/>
    <mergeCell ref="AO67:AO68"/>
    <mergeCell ref="AD67:AD68"/>
    <mergeCell ref="AE67:AE68"/>
    <mergeCell ref="AF67:AF68"/>
    <mergeCell ref="AG67:AG68"/>
    <mergeCell ref="AH67:AH68"/>
    <mergeCell ref="AI67:AI68"/>
    <mergeCell ref="Q67:Q68"/>
    <mergeCell ref="R67:R68"/>
    <mergeCell ref="S67:S68"/>
    <mergeCell ref="T67:T68"/>
    <mergeCell ref="AB67:AB68"/>
    <mergeCell ref="AC67:AC68"/>
    <mergeCell ref="J67:J68"/>
    <mergeCell ref="K67:K68"/>
    <mergeCell ref="L67:L68"/>
    <mergeCell ref="M67:M68"/>
    <mergeCell ref="N67:N68"/>
    <mergeCell ref="P67:P68"/>
    <mergeCell ref="BH61:BH66"/>
    <mergeCell ref="BI61:BI66"/>
    <mergeCell ref="BJ61:BJ66"/>
    <mergeCell ref="BD63:BD64"/>
    <mergeCell ref="Z64:Z66"/>
    <mergeCell ref="AA65:AA66"/>
    <mergeCell ref="BD65:BD66"/>
    <mergeCell ref="AZ61:AZ66"/>
    <mergeCell ref="BA61:BA66"/>
    <mergeCell ref="BB61:BB66"/>
    <mergeCell ref="BC61:BC66"/>
    <mergeCell ref="BF61:BF66"/>
    <mergeCell ref="BG61:BG66"/>
    <mergeCell ref="AT61:AT66"/>
    <mergeCell ref="AU61:AU66"/>
    <mergeCell ref="AV61:AV66"/>
    <mergeCell ref="AW61:AW66"/>
    <mergeCell ref="AX61:AX66"/>
    <mergeCell ref="AY61:AY66"/>
    <mergeCell ref="AN61:AN66"/>
    <mergeCell ref="AO61:AO66"/>
    <mergeCell ref="AP61:AP66"/>
    <mergeCell ref="AQ61:AQ66"/>
    <mergeCell ref="AR61:AR66"/>
    <mergeCell ref="AS61:AS66"/>
    <mergeCell ref="AH61:AH66"/>
    <mergeCell ref="AI61:AI66"/>
    <mergeCell ref="AJ61:AJ66"/>
    <mergeCell ref="AK61:AK66"/>
    <mergeCell ref="AL61:AL66"/>
    <mergeCell ref="AM61:AM66"/>
    <mergeCell ref="AB61:AB66"/>
    <mergeCell ref="AC61:AC66"/>
    <mergeCell ref="AD61:AD66"/>
    <mergeCell ref="AE61:AE66"/>
    <mergeCell ref="AF61:AF66"/>
    <mergeCell ref="AG61:AG66"/>
    <mergeCell ref="R61:R66"/>
    <mergeCell ref="S61:S66"/>
    <mergeCell ref="T61:T66"/>
    <mergeCell ref="U61:U64"/>
    <mergeCell ref="Z61:Z63"/>
    <mergeCell ref="AA61:AA63"/>
    <mergeCell ref="BI58:BI60"/>
    <mergeCell ref="BJ58:BJ60"/>
    <mergeCell ref="J61:J66"/>
    <mergeCell ref="K61:K66"/>
    <mergeCell ref="L61:L66"/>
    <mergeCell ref="M61:M66"/>
    <mergeCell ref="N61:N66"/>
    <mergeCell ref="P61:P66"/>
    <mergeCell ref="Q61:Q66"/>
    <mergeCell ref="BB58:BB60"/>
    <mergeCell ref="BC58:BC60"/>
    <mergeCell ref="BD58:BD60"/>
    <mergeCell ref="BF58:BF60"/>
    <mergeCell ref="BG58:BG60"/>
    <mergeCell ref="BH58:BH60"/>
    <mergeCell ref="AV58:AV60"/>
    <mergeCell ref="AW58:AW60"/>
    <mergeCell ref="AX58:AX60"/>
    <mergeCell ref="AY58:AY60"/>
    <mergeCell ref="AZ58:AZ60"/>
    <mergeCell ref="BA58:BA60"/>
    <mergeCell ref="AP58:AP60"/>
    <mergeCell ref="AQ58:AQ60"/>
    <mergeCell ref="AR58:AR60"/>
    <mergeCell ref="AS58:AS60"/>
    <mergeCell ref="AT58:AT60"/>
    <mergeCell ref="AU58:AU60"/>
    <mergeCell ref="AJ58:AJ60"/>
    <mergeCell ref="AK58:AK60"/>
    <mergeCell ref="AL58:AL60"/>
    <mergeCell ref="AM58:AM60"/>
    <mergeCell ref="AN58:AN60"/>
    <mergeCell ref="AO58:AO60"/>
    <mergeCell ref="AD58:AD60"/>
    <mergeCell ref="AE58:AE60"/>
    <mergeCell ref="AF58:AF60"/>
    <mergeCell ref="AG58:AG60"/>
    <mergeCell ref="AH58:AH60"/>
    <mergeCell ref="AI58:AI60"/>
    <mergeCell ref="S58:S60"/>
    <mergeCell ref="T58:T60"/>
    <mergeCell ref="Z58:Z60"/>
    <mergeCell ref="AA58:AA60"/>
    <mergeCell ref="AB58:AB60"/>
    <mergeCell ref="AC58:AC60"/>
    <mergeCell ref="BJ55:BJ57"/>
    <mergeCell ref="J58:J60"/>
    <mergeCell ref="K58:K60"/>
    <mergeCell ref="L58:L60"/>
    <mergeCell ref="M58:M60"/>
    <mergeCell ref="N58:N60"/>
    <mergeCell ref="O58:O60"/>
    <mergeCell ref="P58:P60"/>
    <mergeCell ref="Q58:Q60"/>
    <mergeCell ref="R58:R60"/>
    <mergeCell ref="BB55:BB57"/>
    <mergeCell ref="BC55:BC57"/>
    <mergeCell ref="BD55:BD57"/>
    <mergeCell ref="BE55:BE57"/>
    <mergeCell ref="BF55:BF57"/>
    <mergeCell ref="BH55:BH57"/>
    <mergeCell ref="AV55:AV57"/>
    <mergeCell ref="AW55:AW57"/>
    <mergeCell ref="AX55:AX57"/>
    <mergeCell ref="AY55:AY57"/>
    <mergeCell ref="AZ55:AZ57"/>
    <mergeCell ref="BA55:BA57"/>
    <mergeCell ref="AP55:AP57"/>
    <mergeCell ref="AQ55:AQ57"/>
    <mergeCell ref="AR55:AR57"/>
    <mergeCell ref="AS55:AS57"/>
    <mergeCell ref="AT55:AT57"/>
    <mergeCell ref="AU55:AU57"/>
    <mergeCell ref="AJ55:AJ57"/>
    <mergeCell ref="AK55:AK57"/>
    <mergeCell ref="AL55:AL57"/>
    <mergeCell ref="AM55:AM57"/>
    <mergeCell ref="AN55:AN57"/>
    <mergeCell ref="AO55:AO57"/>
    <mergeCell ref="R49:R51"/>
    <mergeCell ref="S49:S51"/>
    <mergeCell ref="AD55:AD57"/>
    <mergeCell ref="AE55:AE57"/>
    <mergeCell ref="AF55:AF57"/>
    <mergeCell ref="AG55:AG57"/>
    <mergeCell ref="AH55:AH57"/>
    <mergeCell ref="AI55:AI57"/>
    <mergeCell ref="S55:S57"/>
    <mergeCell ref="T55:T57"/>
    <mergeCell ref="Z55:Z57"/>
    <mergeCell ref="AA55:AA57"/>
    <mergeCell ref="AB55:AB57"/>
    <mergeCell ref="AC55:AC57"/>
    <mergeCell ref="AF44:AF54"/>
    <mergeCell ref="AG44:AG54"/>
    <mergeCell ref="AH44:AH54"/>
    <mergeCell ref="AI44:AI54"/>
    <mergeCell ref="S52:S54"/>
    <mergeCell ref="R52:R54"/>
    <mergeCell ref="J55:J57"/>
    <mergeCell ref="K55:K57"/>
    <mergeCell ref="L55:L57"/>
    <mergeCell ref="M55:M57"/>
    <mergeCell ref="N55:N57"/>
    <mergeCell ref="O55:O57"/>
    <mergeCell ref="P55:P57"/>
    <mergeCell ref="Q55:Q57"/>
    <mergeCell ref="R55:R57"/>
    <mergeCell ref="BJ44:BJ54"/>
    <mergeCell ref="J47:J48"/>
    <mergeCell ref="K47:K48"/>
    <mergeCell ref="L47:L48"/>
    <mergeCell ref="M47:M48"/>
    <mergeCell ref="N47:N48"/>
    <mergeCell ref="R47:R48"/>
    <mergeCell ref="S47:S48"/>
    <mergeCell ref="U47:U48"/>
    <mergeCell ref="J49:J51"/>
    <mergeCell ref="BD44:BD54"/>
    <mergeCell ref="BE44:BE54"/>
    <mergeCell ref="BF44:BF54"/>
    <mergeCell ref="BG44:BG54"/>
    <mergeCell ref="BH44:BH54"/>
    <mergeCell ref="BI44:BI54"/>
    <mergeCell ref="AX44:AX54"/>
    <mergeCell ref="AY44:AY54"/>
    <mergeCell ref="AZ44:AZ54"/>
    <mergeCell ref="BA44:BA54"/>
    <mergeCell ref="BB44:BB54"/>
    <mergeCell ref="BC44:BC54"/>
    <mergeCell ref="AR44:AR54"/>
    <mergeCell ref="AS44:AS54"/>
    <mergeCell ref="AT44:AT54"/>
    <mergeCell ref="AU44:AU54"/>
    <mergeCell ref="AV44:AV54"/>
    <mergeCell ref="AW44:AW54"/>
    <mergeCell ref="AL44:AL54"/>
    <mergeCell ref="AM44:AM54"/>
    <mergeCell ref="AN44:AN54"/>
    <mergeCell ref="AO44:AO54"/>
    <mergeCell ref="AP44:AP54"/>
    <mergeCell ref="AQ44:AQ54"/>
    <mergeCell ref="AJ44:AJ54"/>
    <mergeCell ref="AK44:AK54"/>
    <mergeCell ref="Z44:Z54"/>
    <mergeCell ref="AA44:AA54"/>
    <mergeCell ref="AB44:AB54"/>
    <mergeCell ref="AC44:AC54"/>
    <mergeCell ref="AD44:AD54"/>
    <mergeCell ref="AE44:AE54"/>
    <mergeCell ref="U49:U51"/>
    <mergeCell ref="U52:U54"/>
    <mergeCell ref="U44:U46"/>
    <mergeCell ref="J44:J46"/>
    <mergeCell ref="K44:K46"/>
    <mergeCell ref="L44:L46"/>
    <mergeCell ref="M44:M46"/>
    <mergeCell ref="N44:N46"/>
    <mergeCell ref="O44:O54"/>
    <mergeCell ref="K49:K51"/>
    <mergeCell ref="L49:L51"/>
    <mergeCell ref="M49:M51"/>
    <mergeCell ref="N49:N51"/>
    <mergeCell ref="J52:J54"/>
    <mergeCell ref="K52:K54"/>
    <mergeCell ref="L52:L54"/>
    <mergeCell ref="M52:M54"/>
    <mergeCell ref="N52:N54"/>
    <mergeCell ref="P44:P54"/>
    <mergeCell ref="Q44:Q54"/>
    <mergeCell ref="R44:R46"/>
    <mergeCell ref="S44:S46"/>
    <mergeCell ref="T44:T54"/>
    <mergeCell ref="BE34:BE43"/>
    <mergeCell ref="BF34:BF43"/>
    <mergeCell ref="BG34:BG43"/>
    <mergeCell ref="BH34:BH43"/>
    <mergeCell ref="AM34:AM43"/>
    <mergeCell ref="AN34:AN43"/>
    <mergeCell ref="AO34:AO43"/>
    <mergeCell ref="AP34:AP43"/>
    <mergeCell ref="AQ34:AQ43"/>
    <mergeCell ref="AR34:AR43"/>
    <mergeCell ref="AG34:AG43"/>
    <mergeCell ref="AH34:AH43"/>
    <mergeCell ref="AI34:AI43"/>
    <mergeCell ref="AJ34:AJ43"/>
    <mergeCell ref="AK34:AK43"/>
    <mergeCell ref="AL34:AL43"/>
    <mergeCell ref="AA34:AA43"/>
    <mergeCell ref="AB34:AB43"/>
    <mergeCell ref="AC34:AC43"/>
    <mergeCell ref="BI34:BI43"/>
    <mergeCell ref="BJ34:BJ43"/>
    <mergeCell ref="AY34:AY43"/>
    <mergeCell ref="AZ34:AZ43"/>
    <mergeCell ref="BA34:BA43"/>
    <mergeCell ref="BB34:BB43"/>
    <mergeCell ref="BC34:BC43"/>
    <mergeCell ref="BD34:BD43"/>
    <mergeCell ref="AS34:AS43"/>
    <mergeCell ref="AT34:AT43"/>
    <mergeCell ref="AU34:AU43"/>
    <mergeCell ref="AV34:AV43"/>
    <mergeCell ref="AW34:AW43"/>
    <mergeCell ref="AX34:AX43"/>
    <mergeCell ref="AD34:AD43"/>
    <mergeCell ref="AE34:AE43"/>
    <mergeCell ref="AF34:AF43"/>
    <mergeCell ref="Q34:Q43"/>
    <mergeCell ref="R34:R43"/>
    <mergeCell ref="S34:S43"/>
    <mergeCell ref="T34:T43"/>
    <mergeCell ref="U34:U38"/>
    <mergeCell ref="Z34:Z43"/>
    <mergeCell ref="U39:U43"/>
    <mergeCell ref="BJ28:BJ31"/>
    <mergeCell ref="U29:U30"/>
    <mergeCell ref="BF28:BF31"/>
    <mergeCell ref="BG28:BG31"/>
    <mergeCell ref="BH28:BH31"/>
    <mergeCell ref="BI28:BI31"/>
    <mergeCell ref="AO28:AO31"/>
    <mergeCell ref="AP28:AP31"/>
    <mergeCell ref="AQ28:AQ31"/>
    <mergeCell ref="AF28:AF31"/>
    <mergeCell ref="AG28:AG31"/>
    <mergeCell ref="AH28:AH31"/>
    <mergeCell ref="AI28:AI31"/>
    <mergeCell ref="AJ28:AJ31"/>
    <mergeCell ref="AK28:AK31"/>
    <mergeCell ref="BE28:BE31"/>
    <mergeCell ref="S28:S31"/>
    <mergeCell ref="J34:J43"/>
    <mergeCell ref="K34:K43"/>
    <mergeCell ref="L34:L43"/>
    <mergeCell ref="M34:M43"/>
    <mergeCell ref="N34:N43"/>
    <mergeCell ref="O34:O43"/>
    <mergeCell ref="P34:P43"/>
    <mergeCell ref="BD28:BD31"/>
    <mergeCell ref="AX28:AX31"/>
    <mergeCell ref="AY28:AY31"/>
    <mergeCell ref="AZ28:AZ31"/>
    <mergeCell ref="BA28:BA31"/>
    <mergeCell ref="BB28:BB31"/>
    <mergeCell ref="BC28:BC31"/>
    <mergeCell ref="AR28:AR31"/>
    <mergeCell ref="AS28:AS31"/>
    <mergeCell ref="AT28:AT31"/>
    <mergeCell ref="AU28:AU31"/>
    <mergeCell ref="AV28:AV31"/>
    <mergeCell ref="AW28:AW31"/>
    <mergeCell ref="AL28:AL31"/>
    <mergeCell ref="AM28:AM31"/>
    <mergeCell ref="AN28:AN31"/>
    <mergeCell ref="T28:T31"/>
    <mergeCell ref="AB28:AB31"/>
    <mergeCell ref="AC28:AC31"/>
    <mergeCell ref="AD28:AD31"/>
    <mergeCell ref="AE28:AE31"/>
    <mergeCell ref="BJ23:BJ25"/>
    <mergeCell ref="J28:J31"/>
    <mergeCell ref="K28:K31"/>
    <mergeCell ref="L28:L31"/>
    <mergeCell ref="M28:M31"/>
    <mergeCell ref="N28:N31"/>
    <mergeCell ref="O28:O31"/>
    <mergeCell ref="P28:P31"/>
    <mergeCell ref="Q28:Q31"/>
    <mergeCell ref="R28:R31"/>
    <mergeCell ref="BC23:BC25"/>
    <mergeCell ref="BD23:BD25"/>
    <mergeCell ref="BF23:BF25"/>
    <mergeCell ref="BG23:BG25"/>
    <mergeCell ref="BH23:BH25"/>
    <mergeCell ref="BI23:BI25"/>
    <mergeCell ref="AW23:AW25"/>
    <mergeCell ref="AX23:AX25"/>
    <mergeCell ref="AY23:AY25"/>
    <mergeCell ref="AZ23:AZ25"/>
    <mergeCell ref="BA23:BA25"/>
    <mergeCell ref="BB23:BB25"/>
    <mergeCell ref="AQ23:AQ25"/>
    <mergeCell ref="AR23:AR25"/>
    <mergeCell ref="AS23:AS25"/>
    <mergeCell ref="AT23:AT25"/>
    <mergeCell ref="AU23:AU25"/>
    <mergeCell ref="AV23:AV25"/>
    <mergeCell ref="AK23:AK25"/>
    <mergeCell ref="AL23:AL25"/>
    <mergeCell ref="AM23:AM25"/>
    <mergeCell ref="AN23:AN25"/>
    <mergeCell ref="AO23:AO25"/>
    <mergeCell ref="AP23:AP25"/>
    <mergeCell ref="AE23:AE25"/>
    <mergeCell ref="AF23:AF25"/>
    <mergeCell ref="AG23:AG25"/>
    <mergeCell ref="AH23:AH25"/>
    <mergeCell ref="AI23:AI25"/>
    <mergeCell ref="AJ23:AJ25"/>
    <mergeCell ref="Z23:Z25"/>
    <mergeCell ref="AA23:AA25"/>
    <mergeCell ref="AB23:AB25"/>
    <mergeCell ref="AC23:AC25"/>
    <mergeCell ref="AD23:AD25"/>
    <mergeCell ref="O23:O25"/>
    <mergeCell ref="P23:P25"/>
    <mergeCell ref="Q23:Q25"/>
    <mergeCell ref="R23:R25"/>
    <mergeCell ref="S23:S25"/>
    <mergeCell ref="T23:T25"/>
    <mergeCell ref="U20:U21"/>
    <mergeCell ref="B21:C21"/>
    <mergeCell ref="E21:F21"/>
    <mergeCell ref="H21:I21"/>
    <mergeCell ref="J23:J25"/>
    <mergeCell ref="K23:K25"/>
    <mergeCell ref="L23:L25"/>
    <mergeCell ref="M23:M25"/>
    <mergeCell ref="N23:N25"/>
    <mergeCell ref="U23:U24"/>
    <mergeCell ref="J12:J21"/>
    <mergeCell ref="K12:K21"/>
    <mergeCell ref="L12:L21"/>
    <mergeCell ref="M12:M21"/>
    <mergeCell ref="N12:N21"/>
    <mergeCell ref="O12:O21"/>
    <mergeCell ref="P12:P21"/>
    <mergeCell ref="BH12:BH21"/>
    <mergeCell ref="BI12:BI21"/>
    <mergeCell ref="BJ12:BJ21"/>
    <mergeCell ref="B15:C15"/>
    <mergeCell ref="E15:F15"/>
    <mergeCell ref="H15:I15"/>
    <mergeCell ref="U16:U19"/>
    <mergeCell ref="B20:C20"/>
    <mergeCell ref="E20:F20"/>
    <mergeCell ref="BA12:BA21"/>
    <mergeCell ref="BB12:BB21"/>
    <mergeCell ref="BC12:BC21"/>
    <mergeCell ref="BD12:BD21"/>
    <mergeCell ref="BE12:BE21"/>
    <mergeCell ref="BF12:BF21"/>
    <mergeCell ref="AU12:AU21"/>
    <mergeCell ref="AV12:AV21"/>
    <mergeCell ref="AW12:AW21"/>
    <mergeCell ref="AX12:AX21"/>
    <mergeCell ref="AY12:AY21"/>
    <mergeCell ref="AZ12:AZ21"/>
    <mergeCell ref="AO12:AO21"/>
    <mergeCell ref="AP12:AP21"/>
    <mergeCell ref="H20:I20"/>
    <mergeCell ref="AS12:AS21"/>
    <mergeCell ref="AT12:AT21"/>
    <mergeCell ref="AI12:AI21"/>
    <mergeCell ref="AJ12:AJ21"/>
    <mergeCell ref="AK12:AK21"/>
    <mergeCell ref="AL12:AL21"/>
    <mergeCell ref="AM12:AM21"/>
    <mergeCell ref="AN12:AN21"/>
    <mergeCell ref="BG12:BG21"/>
    <mergeCell ref="BH7:BI7"/>
    <mergeCell ref="AB7:AM7"/>
    <mergeCell ref="AN7:AY7"/>
    <mergeCell ref="AZ7:BE7"/>
    <mergeCell ref="W7:Y7"/>
    <mergeCell ref="Z7:Z8"/>
    <mergeCell ref="AC12:AC21"/>
    <mergeCell ref="Q12:Q21"/>
    <mergeCell ref="R12:R21"/>
    <mergeCell ref="V7:V8"/>
    <mergeCell ref="AD12:AD21"/>
    <mergeCell ref="AE12:AE21"/>
    <mergeCell ref="AF12:AF21"/>
    <mergeCell ref="AG12:AG21"/>
    <mergeCell ref="AH12:AH21"/>
    <mergeCell ref="S12:S21"/>
    <mergeCell ref="T12:T21"/>
    <mergeCell ref="U12:U15"/>
    <mergeCell ref="Z12:Z21"/>
    <mergeCell ref="AA12:AA21"/>
    <mergeCell ref="AB12:AB21"/>
    <mergeCell ref="AA7:AA8"/>
    <mergeCell ref="AQ12:AQ21"/>
    <mergeCell ref="AR12:AR21"/>
    <mergeCell ref="J7:J8"/>
    <mergeCell ref="K7:K8"/>
    <mergeCell ref="L7:L8"/>
    <mergeCell ref="M7:N7"/>
    <mergeCell ref="O7:O8"/>
    <mergeCell ref="P7:P8"/>
    <mergeCell ref="A1:BF4"/>
    <mergeCell ref="A5:M6"/>
    <mergeCell ref="AB6:AY6"/>
    <mergeCell ref="A7:A8"/>
    <mergeCell ref="B7:C8"/>
    <mergeCell ref="D7:D8"/>
    <mergeCell ref="E7:F8"/>
    <mergeCell ref="G7:G8"/>
    <mergeCell ref="H7:I8"/>
    <mergeCell ref="BF7:BG7"/>
    <mergeCell ref="Q7:Q8"/>
    <mergeCell ref="R7:R8"/>
    <mergeCell ref="S7:S8"/>
    <mergeCell ref="T7:T8"/>
    <mergeCell ref="U7:U8"/>
    <mergeCell ref="Q5:BJ5"/>
    <mergeCell ref="Q6:AA6"/>
    <mergeCell ref="BF6:BJ6"/>
  </mergeCells>
  <printOptions/>
  <pageMargins left="0.7086614173228347" right="0.7086614173228347" top="0.35433070866141736" bottom="0.35433070866141736" header="0.31496062992125984" footer="0.31496062992125984"/>
  <pageSetup fitToHeight="0" fitToWidth="1" horizontalDpi="600" verticalDpi="600" orientation="landscape" paperSize="5" scale="27" r:id="rId2"/>
  <drawing r:id="rId1"/>
</worksheet>
</file>

<file path=xl/worksheets/sheet3.xml><?xml version="1.0" encoding="utf-8"?>
<worksheet xmlns="http://schemas.openxmlformats.org/spreadsheetml/2006/main" xmlns:r="http://schemas.openxmlformats.org/officeDocument/2006/relationships">
  <dimension ref="A1:BO25"/>
  <sheetViews>
    <sheetView zoomScale="55" zoomScaleNormal="55" zoomScalePageLayoutView="0" workbookViewId="0" topLeftCell="A1">
      <selection activeCell="A1" sqref="A1:BF4"/>
    </sheetView>
  </sheetViews>
  <sheetFormatPr defaultColWidth="11.421875" defaultRowHeight="15"/>
  <cols>
    <col min="1" max="1" width="12.8515625" style="3" customWidth="1"/>
    <col min="2" max="2" width="4.00390625" style="3" customWidth="1"/>
    <col min="3" max="3" width="14.7109375" style="3" customWidth="1"/>
    <col min="4" max="4" width="12.57421875" style="3" customWidth="1"/>
    <col min="5" max="5" width="7.421875" style="3" customWidth="1"/>
    <col min="6" max="6" width="10.7109375" style="3" customWidth="1"/>
    <col min="7" max="7" width="10.8515625" style="3" customWidth="1"/>
    <col min="8" max="8" width="8.57421875" style="3" customWidth="1"/>
    <col min="9" max="9" width="13.28125" style="3" customWidth="1"/>
    <col min="10" max="10" width="11.00390625" style="3" customWidth="1"/>
    <col min="11" max="11" width="22.7109375" style="3" customWidth="1"/>
    <col min="12" max="12" width="18.7109375" style="23" customWidth="1"/>
    <col min="13" max="14" width="13.8515625" style="23" customWidth="1"/>
    <col min="15" max="15" width="22.8515625" style="3" customWidth="1"/>
    <col min="16" max="16" width="13.28125" style="23" customWidth="1"/>
    <col min="17" max="17" width="21.421875" style="6" customWidth="1"/>
    <col min="18" max="18" width="15.8515625" style="8" customWidth="1"/>
    <col min="19" max="19" width="23.28125" style="3" customWidth="1"/>
    <col min="20" max="20" width="32.7109375" style="3" customWidth="1"/>
    <col min="21" max="21" width="34.421875" style="3" customWidth="1"/>
    <col min="22" max="22" width="22.57421875" style="7" customWidth="1"/>
    <col min="23" max="25" width="28.140625" style="302" customWidth="1"/>
    <col min="26" max="26" width="17.8515625" style="303" customWidth="1"/>
    <col min="27" max="27" width="16.28125" style="7" customWidth="1"/>
    <col min="28" max="28" width="7.28125" style="4" customWidth="1"/>
    <col min="29" max="29" width="7.28125" style="125" customWidth="1"/>
    <col min="30" max="30" width="9.00390625" style="4" customWidth="1"/>
    <col min="31" max="31" width="9.00390625" style="125" customWidth="1"/>
    <col min="32" max="32" width="7.28125" style="4" customWidth="1"/>
    <col min="33" max="33" width="7.28125" style="125" customWidth="1"/>
    <col min="34" max="34" width="7.28125" style="4" customWidth="1"/>
    <col min="35" max="35" width="7.28125" style="125" customWidth="1"/>
    <col min="36" max="36" width="7.28125" style="4" customWidth="1"/>
    <col min="37" max="37" width="7.28125" style="125" customWidth="1"/>
    <col min="38" max="38" width="7.28125" style="4" customWidth="1"/>
    <col min="39" max="39" width="7.28125" style="125" customWidth="1"/>
    <col min="40" max="40" width="7.28125" style="4" customWidth="1"/>
    <col min="41" max="41" width="7.28125" style="125" customWidth="1"/>
    <col min="42" max="42" width="7.28125" style="4" customWidth="1"/>
    <col min="43" max="43" width="7.28125" style="125" customWidth="1"/>
    <col min="44" max="44" width="7.28125" style="4" customWidth="1"/>
    <col min="45" max="45" width="7.28125" style="125" customWidth="1"/>
    <col min="46" max="51" width="7.28125" style="4" customWidth="1"/>
    <col min="52" max="57" width="20.8515625" style="4" customWidth="1"/>
    <col min="58" max="59" width="22.7109375" style="21" customWidth="1"/>
    <col min="60" max="61" width="22.7109375" style="22" customWidth="1"/>
    <col min="62" max="62" width="28.7109375" style="223" customWidth="1"/>
    <col min="63" max="63" width="21.421875" style="20" customWidth="1"/>
    <col min="64" max="64" width="15.7109375" style="20" bestFit="1" customWidth="1"/>
    <col min="65" max="16384" width="11.421875" style="4" customWidth="1"/>
  </cols>
  <sheetData>
    <row r="1" spans="1:64" ht="15" customHeight="1">
      <c r="A1" s="3047" t="s">
        <v>111</v>
      </c>
      <c r="B1" s="3047"/>
      <c r="C1" s="3047"/>
      <c r="D1" s="3047"/>
      <c r="E1" s="3047"/>
      <c r="F1" s="3047"/>
      <c r="G1" s="3047"/>
      <c r="H1" s="3047"/>
      <c r="I1" s="3047"/>
      <c r="J1" s="3047"/>
      <c r="K1" s="3047"/>
      <c r="L1" s="3047"/>
      <c r="M1" s="3047"/>
      <c r="N1" s="3047"/>
      <c r="O1" s="3047"/>
      <c r="P1" s="3047"/>
      <c r="Q1" s="3047"/>
      <c r="R1" s="3047"/>
      <c r="S1" s="3047"/>
      <c r="T1" s="3047"/>
      <c r="U1" s="3047"/>
      <c r="V1" s="3047"/>
      <c r="W1" s="3047"/>
      <c r="X1" s="3047"/>
      <c r="Y1" s="3047"/>
      <c r="Z1" s="3047"/>
      <c r="AA1" s="3047"/>
      <c r="AB1" s="3047"/>
      <c r="AC1" s="3047"/>
      <c r="AD1" s="3047"/>
      <c r="AE1" s="3047"/>
      <c r="AF1" s="3047"/>
      <c r="AG1" s="3047"/>
      <c r="AH1" s="3047"/>
      <c r="AI1" s="3047"/>
      <c r="AJ1" s="3047"/>
      <c r="AK1" s="3047"/>
      <c r="AL1" s="3047"/>
      <c r="AM1" s="3047"/>
      <c r="AN1" s="3047"/>
      <c r="AO1" s="3047"/>
      <c r="AP1" s="3047"/>
      <c r="AQ1" s="3047"/>
      <c r="AR1" s="3047"/>
      <c r="AS1" s="3047"/>
      <c r="AT1" s="3047"/>
      <c r="AU1" s="3047"/>
      <c r="AV1" s="3047"/>
      <c r="AW1" s="3047"/>
      <c r="AX1" s="3047"/>
      <c r="AY1" s="3047"/>
      <c r="AZ1" s="3047"/>
      <c r="BA1" s="3047"/>
      <c r="BB1" s="3047"/>
      <c r="BC1" s="3047"/>
      <c r="BD1" s="3047"/>
      <c r="BE1" s="3047"/>
      <c r="BF1" s="3047"/>
      <c r="BG1" s="2875"/>
      <c r="BH1" s="4"/>
      <c r="BI1" s="2633" t="s">
        <v>97</v>
      </c>
      <c r="BJ1" s="2633" t="s">
        <v>112</v>
      </c>
      <c r="BK1" s="4"/>
      <c r="BL1" s="4"/>
    </row>
    <row r="2" spans="1:64" ht="15">
      <c r="A2" s="3047"/>
      <c r="B2" s="3047"/>
      <c r="C2" s="3047"/>
      <c r="D2" s="3047"/>
      <c r="E2" s="3047"/>
      <c r="F2" s="3047"/>
      <c r="G2" s="3047"/>
      <c r="H2" s="3047"/>
      <c r="I2" s="3047"/>
      <c r="J2" s="3047"/>
      <c r="K2" s="3047"/>
      <c r="L2" s="3047"/>
      <c r="M2" s="3047"/>
      <c r="N2" s="3047"/>
      <c r="O2" s="3047"/>
      <c r="P2" s="3047"/>
      <c r="Q2" s="3047"/>
      <c r="R2" s="3047"/>
      <c r="S2" s="3047"/>
      <c r="T2" s="3047"/>
      <c r="U2" s="3047"/>
      <c r="V2" s="3047"/>
      <c r="W2" s="3047"/>
      <c r="X2" s="3047"/>
      <c r="Y2" s="3047"/>
      <c r="Z2" s="3047"/>
      <c r="AA2" s="3047"/>
      <c r="AB2" s="3047"/>
      <c r="AC2" s="3047"/>
      <c r="AD2" s="3047"/>
      <c r="AE2" s="3047"/>
      <c r="AF2" s="3047"/>
      <c r="AG2" s="3047"/>
      <c r="AH2" s="3047"/>
      <c r="AI2" s="3047"/>
      <c r="AJ2" s="3047"/>
      <c r="AK2" s="3047"/>
      <c r="AL2" s="3047"/>
      <c r="AM2" s="3047"/>
      <c r="AN2" s="3047"/>
      <c r="AO2" s="3047"/>
      <c r="AP2" s="3047"/>
      <c r="AQ2" s="3047"/>
      <c r="AR2" s="3047"/>
      <c r="AS2" s="3047"/>
      <c r="AT2" s="3047"/>
      <c r="AU2" s="3047"/>
      <c r="AV2" s="3047"/>
      <c r="AW2" s="3047"/>
      <c r="AX2" s="3047"/>
      <c r="AY2" s="3047"/>
      <c r="AZ2" s="3047"/>
      <c r="BA2" s="3047"/>
      <c r="BB2" s="3047"/>
      <c r="BC2" s="3047"/>
      <c r="BD2" s="3047"/>
      <c r="BE2" s="3047"/>
      <c r="BF2" s="3047"/>
      <c r="BG2" s="2875"/>
      <c r="BH2" s="4"/>
      <c r="BI2" s="2634" t="s">
        <v>98</v>
      </c>
      <c r="BJ2" s="2635">
        <v>5</v>
      </c>
      <c r="BK2" s="4"/>
      <c r="BL2" s="4"/>
    </row>
    <row r="3" spans="1:64" ht="15">
      <c r="A3" s="3047"/>
      <c r="B3" s="3047"/>
      <c r="C3" s="3047"/>
      <c r="D3" s="3047"/>
      <c r="E3" s="3047"/>
      <c r="F3" s="3047"/>
      <c r="G3" s="3047"/>
      <c r="H3" s="3047"/>
      <c r="I3" s="3047"/>
      <c r="J3" s="3047"/>
      <c r="K3" s="3047"/>
      <c r="L3" s="3047"/>
      <c r="M3" s="3047"/>
      <c r="N3" s="3047"/>
      <c r="O3" s="3047"/>
      <c r="P3" s="3047"/>
      <c r="Q3" s="3047"/>
      <c r="R3" s="3047"/>
      <c r="S3" s="3047"/>
      <c r="T3" s="3047"/>
      <c r="U3" s="3047"/>
      <c r="V3" s="3047"/>
      <c r="W3" s="3047"/>
      <c r="X3" s="3047"/>
      <c r="Y3" s="3047"/>
      <c r="Z3" s="3047"/>
      <c r="AA3" s="3047"/>
      <c r="AB3" s="3047"/>
      <c r="AC3" s="3047"/>
      <c r="AD3" s="3047"/>
      <c r="AE3" s="3047"/>
      <c r="AF3" s="3047"/>
      <c r="AG3" s="3047"/>
      <c r="AH3" s="3047"/>
      <c r="AI3" s="3047"/>
      <c r="AJ3" s="3047"/>
      <c r="AK3" s="3047"/>
      <c r="AL3" s="3047"/>
      <c r="AM3" s="3047"/>
      <c r="AN3" s="3047"/>
      <c r="AO3" s="3047"/>
      <c r="AP3" s="3047"/>
      <c r="AQ3" s="3047"/>
      <c r="AR3" s="3047"/>
      <c r="AS3" s="3047"/>
      <c r="AT3" s="3047"/>
      <c r="AU3" s="3047"/>
      <c r="AV3" s="3047"/>
      <c r="AW3" s="3047"/>
      <c r="AX3" s="3047"/>
      <c r="AY3" s="3047"/>
      <c r="AZ3" s="3047"/>
      <c r="BA3" s="3047"/>
      <c r="BB3" s="3047"/>
      <c r="BC3" s="3047"/>
      <c r="BD3" s="3047"/>
      <c r="BE3" s="3047"/>
      <c r="BF3" s="3047"/>
      <c r="BG3" s="2875"/>
      <c r="BH3" s="4"/>
      <c r="BI3" s="2633" t="s">
        <v>99</v>
      </c>
      <c r="BJ3" s="2636" t="s">
        <v>2156</v>
      </c>
      <c r="BK3" s="4"/>
      <c r="BL3" s="4"/>
    </row>
    <row r="4" spans="1:62" s="24" customFormat="1" ht="21" customHeight="1">
      <c r="A4" s="3048"/>
      <c r="B4" s="3048"/>
      <c r="C4" s="3048"/>
      <c r="D4" s="3048"/>
      <c r="E4" s="3048"/>
      <c r="F4" s="3048"/>
      <c r="G4" s="3048"/>
      <c r="H4" s="3048"/>
      <c r="I4" s="3048"/>
      <c r="J4" s="3048"/>
      <c r="K4" s="3048"/>
      <c r="L4" s="3048"/>
      <c r="M4" s="3048"/>
      <c r="N4" s="3048"/>
      <c r="O4" s="3048"/>
      <c r="P4" s="3048"/>
      <c r="Q4" s="3048"/>
      <c r="R4" s="3048"/>
      <c r="S4" s="3048"/>
      <c r="T4" s="3048"/>
      <c r="U4" s="3048"/>
      <c r="V4" s="3048"/>
      <c r="W4" s="3048"/>
      <c r="X4" s="3048"/>
      <c r="Y4" s="3048"/>
      <c r="Z4" s="3048"/>
      <c r="AA4" s="3048"/>
      <c r="AB4" s="3048"/>
      <c r="AC4" s="3048"/>
      <c r="AD4" s="3048"/>
      <c r="AE4" s="3048"/>
      <c r="AF4" s="3048"/>
      <c r="AG4" s="3048"/>
      <c r="AH4" s="3048"/>
      <c r="AI4" s="3048"/>
      <c r="AJ4" s="3048"/>
      <c r="AK4" s="3048"/>
      <c r="AL4" s="3048"/>
      <c r="AM4" s="3048"/>
      <c r="AN4" s="3048"/>
      <c r="AO4" s="3048"/>
      <c r="AP4" s="3048"/>
      <c r="AQ4" s="3048"/>
      <c r="AR4" s="3048"/>
      <c r="AS4" s="3048"/>
      <c r="AT4" s="3048"/>
      <c r="AU4" s="3048"/>
      <c r="AV4" s="3048"/>
      <c r="AW4" s="3048"/>
      <c r="AX4" s="3048"/>
      <c r="AY4" s="3048"/>
      <c r="AZ4" s="3048"/>
      <c r="BA4" s="3048"/>
      <c r="BB4" s="3048"/>
      <c r="BC4" s="3048"/>
      <c r="BD4" s="3048"/>
      <c r="BE4" s="3048"/>
      <c r="BF4" s="3048"/>
      <c r="BG4" s="2876"/>
      <c r="BI4" s="842" t="s">
        <v>100</v>
      </c>
      <c r="BJ4" s="2637" t="s">
        <v>113</v>
      </c>
    </row>
    <row r="5" spans="1:64" ht="15">
      <c r="A5" s="3049" t="s">
        <v>0</v>
      </c>
      <c r="B5" s="3049"/>
      <c r="C5" s="3049"/>
      <c r="D5" s="3049"/>
      <c r="E5" s="3049"/>
      <c r="F5" s="3049"/>
      <c r="G5" s="3049"/>
      <c r="H5" s="3049"/>
      <c r="I5" s="3049"/>
      <c r="J5" s="3049"/>
      <c r="K5" s="3049"/>
      <c r="L5" s="3049"/>
      <c r="M5" s="3049"/>
      <c r="N5" s="2877"/>
      <c r="O5" s="2877"/>
      <c r="P5" s="2877"/>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c r="BH5" s="3049"/>
      <c r="BI5" s="3049"/>
      <c r="BJ5" s="3049"/>
      <c r="BK5" s="4"/>
      <c r="BL5" s="4"/>
    </row>
    <row r="6" spans="1:64" ht="14.25" customHeight="1" thickBot="1">
      <c r="A6" s="3049"/>
      <c r="B6" s="3049"/>
      <c r="C6" s="3049"/>
      <c r="D6" s="3049"/>
      <c r="E6" s="3049"/>
      <c r="F6" s="3049"/>
      <c r="G6" s="3049"/>
      <c r="H6" s="3049"/>
      <c r="I6" s="3049"/>
      <c r="J6" s="3049"/>
      <c r="K6" s="3049"/>
      <c r="L6" s="3049"/>
      <c r="M6" s="3049"/>
      <c r="N6" s="2877"/>
      <c r="O6" s="2877"/>
      <c r="P6" s="2878"/>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2879"/>
      <c r="BA6" s="2879"/>
      <c r="BB6" s="2879"/>
      <c r="BC6" s="2879"/>
      <c r="BD6" s="2879"/>
      <c r="BE6" s="2879"/>
      <c r="BF6" s="3050"/>
      <c r="BG6" s="3051"/>
      <c r="BH6" s="3051"/>
      <c r="BI6" s="3051"/>
      <c r="BJ6" s="3052"/>
      <c r="BK6" s="4"/>
      <c r="BL6" s="4"/>
    </row>
    <row r="7" spans="1:62" ht="13.5" customHeight="1">
      <c r="A7" s="3040" t="s">
        <v>3</v>
      </c>
      <c r="B7" s="3034" t="s">
        <v>4</v>
      </c>
      <c r="C7" s="3036"/>
      <c r="D7" s="3040" t="s">
        <v>3</v>
      </c>
      <c r="E7" s="3034" t="s">
        <v>5</v>
      </c>
      <c r="F7" s="3036"/>
      <c r="G7" s="3040" t="s">
        <v>3</v>
      </c>
      <c r="H7" s="3034" t="s">
        <v>6</v>
      </c>
      <c r="I7" s="3036"/>
      <c r="J7" s="3040" t="s">
        <v>3</v>
      </c>
      <c r="K7" s="3040" t="s">
        <v>7</v>
      </c>
      <c r="L7" s="3040" t="s">
        <v>8</v>
      </c>
      <c r="M7" s="3034" t="s">
        <v>9</v>
      </c>
      <c r="N7" s="3036"/>
      <c r="O7" s="3040" t="s">
        <v>10</v>
      </c>
      <c r="P7" s="3040" t="s">
        <v>85</v>
      </c>
      <c r="Q7" s="3040" t="s">
        <v>1</v>
      </c>
      <c r="R7" s="3309" t="s">
        <v>11</v>
      </c>
      <c r="S7" s="3040" t="s">
        <v>12</v>
      </c>
      <c r="T7" s="3040" t="s">
        <v>13</v>
      </c>
      <c r="U7" s="3040" t="s">
        <v>14</v>
      </c>
      <c r="V7" s="3040" t="s">
        <v>15</v>
      </c>
      <c r="W7" s="3300" t="s">
        <v>12</v>
      </c>
      <c r="X7" s="3301"/>
      <c r="Y7" s="3302"/>
      <c r="Z7" s="3306" t="s">
        <v>3</v>
      </c>
      <c r="AA7" s="3040" t="s">
        <v>16</v>
      </c>
      <c r="AB7" s="3057" t="s">
        <v>17</v>
      </c>
      <c r="AC7" s="3058"/>
      <c r="AD7" s="3058"/>
      <c r="AE7" s="3058"/>
      <c r="AF7" s="3058"/>
      <c r="AG7" s="3058"/>
      <c r="AH7" s="3058"/>
      <c r="AI7" s="3058"/>
      <c r="AJ7" s="3058"/>
      <c r="AK7" s="3058"/>
      <c r="AL7" s="3058"/>
      <c r="AM7" s="3059"/>
      <c r="AN7" s="3057" t="s">
        <v>18</v>
      </c>
      <c r="AO7" s="3058"/>
      <c r="AP7" s="3058"/>
      <c r="AQ7" s="3058"/>
      <c r="AR7" s="3058"/>
      <c r="AS7" s="3058"/>
      <c r="AT7" s="3058"/>
      <c r="AU7" s="3058"/>
      <c r="AV7" s="3058"/>
      <c r="AW7" s="3058"/>
      <c r="AX7" s="3058"/>
      <c r="AY7" s="3059"/>
      <c r="AZ7" s="3314" t="s">
        <v>119</v>
      </c>
      <c r="BA7" s="3315"/>
      <c r="BB7" s="3315"/>
      <c r="BC7" s="3315"/>
      <c r="BD7" s="3315"/>
      <c r="BE7" s="3316"/>
      <c r="BF7" s="3317" t="s">
        <v>19</v>
      </c>
      <c r="BG7" s="3317"/>
      <c r="BH7" s="3317" t="s">
        <v>20</v>
      </c>
      <c r="BI7" s="3317"/>
      <c r="BJ7" s="3309" t="s">
        <v>21</v>
      </c>
    </row>
    <row r="8" spans="1:62" ht="62.25" customHeight="1">
      <c r="A8" s="3041"/>
      <c r="B8" s="3037"/>
      <c r="C8" s="3039"/>
      <c r="D8" s="3041"/>
      <c r="E8" s="3037"/>
      <c r="F8" s="3039"/>
      <c r="G8" s="3041"/>
      <c r="H8" s="3037"/>
      <c r="I8" s="3039"/>
      <c r="J8" s="3041"/>
      <c r="K8" s="3041"/>
      <c r="L8" s="3041"/>
      <c r="M8" s="3054"/>
      <c r="N8" s="3055"/>
      <c r="O8" s="3041"/>
      <c r="P8" s="3041"/>
      <c r="Q8" s="3041"/>
      <c r="R8" s="3310"/>
      <c r="S8" s="3041"/>
      <c r="T8" s="3041"/>
      <c r="U8" s="3041"/>
      <c r="V8" s="3041"/>
      <c r="W8" s="3303"/>
      <c r="X8" s="3304"/>
      <c r="Y8" s="3305"/>
      <c r="Z8" s="3307"/>
      <c r="AA8" s="3041"/>
      <c r="AB8" s="3294" t="s">
        <v>22</v>
      </c>
      <c r="AC8" s="3295"/>
      <c r="AD8" s="3312" t="s">
        <v>23</v>
      </c>
      <c r="AE8" s="3313"/>
      <c r="AF8" s="3294" t="s">
        <v>24</v>
      </c>
      <c r="AG8" s="3295"/>
      <c r="AH8" s="3294" t="s">
        <v>25</v>
      </c>
      <c r="AI8" s="3295"/>
      <c r="AJ8" s="3294" t="s">
        <v>26</v>
      </c>
      <c r="AK8" s="3295"/>
      <c r="AL8" s="3294" t="s">
        <v>27</v>
      </c>
      <c r="AM8" s="3295"/>
      <c r="AN8" s="3294" t="s">
        <v>28</v>
      </c>
      <c r="AO8" s="3295"/>
      <c r="AP8" s="3294" t="s">
        <v>29</v>
      </c>
      <c r="AQ8" s="3295"/>
      <c r="AR8" s="3294" t="s">
        <v>30</v>
      </c>
      <c r="AS8" s="3295"/>
      <c r="AT8" s="3294" t="s">
        <v>31</v>
      </c>
      <c r="AU8" s="3295"/>
      <c r="AV8" s="3294" t="s">
        <v>32</v>
      </c>
      <c r="AW8" s="3295"/>
      <c r="AX8" s="3294" t="s">
        <v>33</v>
      </c>
      <c r="AY8" s="3295"/>
      <c r="AZ8" s="3296" t="s">
        <v>116</v>
      </c>
      <c r="BA8" s="3297" t="s">
        <v>120</v>
      </c>
      <c r="BB8" s="3296" t="s">
        <v>121</v>
      </c>
      <c r="BC8" s="3298" t="s">
        <v>117</v>
      </c>
      <c r="BD8" s="3296" t="s">
        <v>118</v>
      </c>
      <c r="BE8" s="3279" t="s">
        <v>189</v>
      </c>
      <c r="BF8" s="3317"/>
      <c r="BG8" s="3317"/>
      <c r="BH8" s="3317"/>
      <c r="BI8" s="3317"/>
      <c r="BJ8" s="3310"/>
    </row>
    <row r="9" spans="1:62" ht="24" customHeight="1">
      <c r="A9" s="3042"/>
      <c r="B9" s="3054"/>
      <c r="C9" s="3055"/>
      <c r="D9" s="3042"/>
      <c r="E9" s="3054"/>
      <c r="F9" s="3055"/>
      <c r="G9" s="3042"/>
      <c r="H9" s="3054"/>
      <c r="I9" s="3055"/>
      <c r="J9" s="3042"/>
      <c r="K9" s="3042"/>
      <c r="L9" s="3042"/>
      <c r="M9" s="291" t="s">
        <v>108</v>
      </c>
      <c r="N9" s="292" t="s">
        <v>107</v>
      </c>
      <c r="O9" s="3042"/>
      <c r="P9" s="3042"/>
      <c r="Q9" s="3042"/>
      <c r="R9" s="3311"/>
      <c r="S9" s="3042"/>
      <c r="T9" s="3042"/>
      <c r="U9" s="3042"/>
      <c r="V9" s="3042"/>
      <c r="W9" s="214" t="s">
        <v>105</v>
      </c>
      <c r="X9" s="87" t="s">
        <v>115</v>
      </c>
      <c r="Y9" s="87" t="s">
        <v>114</v>
      </c>
      <c r="Z9" s="3308"/>
      <c r="AA9" s="3042"/>
      <c r="AB9" s="291" t="s">
        <v>108</v>
      </c>
      <c r="AC9" s="292" t="s">
        <v>107</v>
      </c>
      <c r="AD9" s="291" t="s">
        <v>108</v>
      </c>
      <c r="AE9" s="292" t="s">
        <v>107</v>
      </c>
      <c r="AF9" s="291" t="s">
        <v>108</v>
      </c>
      <c r="AG9" s="292" t="s">
        <v>107</v>
      </c>
      <c r="AH9" s="291" t="s">
        <v>108</v>
      </c>
      <c r="AI9" s="292" t="s">
        <v>107</v>
      </c>
      <c r="AJ9" s="291" t="s">
        <v>108</v>
      </c>
      <c r="AK9" s="292" t="s">
        <v>107</v>
      </c>
      <c r="AL9" s="291" t="s">
        <v>108</v>
      </c>
      <c r="AM9" s="292" t="s">
        <v>107</v>
      </c>
      <c r="AN9" s="291" t="s">
        <v>108</v>
      </c>
      <c r="AO9" s="292" t="s">
        <v>107</v>
      </c>
      <c r="AP9" s="291" t="s">
        <v>108</v>
      </c>
      <c r="AQ9" s="292" t="s">
        <v>107</v>
      </c>
      <c r="AR9" s="291" t="s">
        <v>108</v>
      </c>
      <c r="AS9" s="292" t="s">
        <v>107</v>
      </c>
      <c r="AT9" s="291" t="s">
        <v>108</v>
      </c>
      <c r="AU9" s="292" t="s">
        <v>107</v>
      </c>
      <c r="AV9" s="291" t="s">
        <v>108</v>
      </c>
      <c r="AW9" s="292" t="s">
        <v>107</v>
      </c>
      <c r="AX9" s="291" t="s">
        <v>108</v>
      </c>
      <c r="AY9" s="292" t="s">
        <v>107</v>
      </c>
      <c r="AZ9" s="3296"/>
      <c r="BA9" s="3297"/>
      <c r="BB9" s="3296"/>
      <c r="BC9" s="3299"/>
      <c r="BD9" s="3296"/>
      <c r="BE9" s="3280"/>
      <c r="BF9" s="212" t="s">
        <v>106</v>
      </c>
      <c r="BG9" s="117" t="s">
        <v>107</v>
      </c>
      <c r="BH9" s="212" t="s">
        <v>106</v>
      </c>
      <c r="BI9" s="117" t="s">
        <v>107</v>
      </c>
      <c r="BJ9" s="3311"/>
    </row>
    <row r="10" spans="1:67" s="2" customFormat="1" ht="25.5" customHeight="1">
      <c r="A10" s="55" t="s">
        <v>79</v>
      </c>
      <c r="B10" s="45" t="s">
        <v>190</v>
      </c>
      <c r="C10" s="56"/>
      <c r="D10" s="45"/>
      <c r="E10" s="45"/>
      <c r="F10" s="45"/>
      <c r="G10" s="45"/>
      <c r="H10" s="45"/>
      <c r="I10" s="45"/>
      <c r="J10" s="45"/>
      <c r="K10" s="45"/>
      <c r="L10" s="45"/>
      <c r="M10" s="45"/>
      <c r="N10" s="45"/>
      <c r="O10" s="45"/>
      <c r="P10" s="45"/>
      <c r="Q10" s="46"/>
      <c r="R10" s="45"/>
      <c r="S10" s="45"/>
      <c r="T10" s="46"/>
      <c r="U10" s="46"/>
      <c r="V10" s="46"/>
      <c r="W10" s="45"/>
      <c r="X10" s="45"/>
      <c r="Y10" s="45"/>
      <c r="Z10" s="293"/>
      <c r="AA10" s="47"/>
      <c r="AB10" s="45"/>
      <c r="AC10" s="326"/>
      <c r="AD10" s="45"/>
      <c r="AE10" s="326"/>
      <c r="AF10" s="45"/>
      <c r="AG10" s="326"/>
      <c r="AH10" s="45"/>
      <c r="AI10" s="326"/>
      <c r="AJ10" s="45"/>
      <c r="AK10" s="326"/>
      <c r="AL10" s="45"/>
      <c r="AM10" s="326"/>
      <c r="AN10" s="45"/>
      <c r="AO10" s="326"/>
      <c r="AP10" s="45"/>
      <c r="AQ10" s="326"/>
      <c r="AR10" s="45"/>
      <c r="AS10" s="326"/>
      <c r="AT10" s="45"/>
      <c r="AU10" s="45"/>
      <c r="AV10" s="45"/>
      <c r="AW10" s="45"/>
      <c r="AX10" s="45"/>
      <c r="AY10" s="45"/>
      <c r="AZ10" s="45"/>
      <c r="BA10" s="45"/>
      <c r="BB10" s="45"/>
      <c r="BC10" s="45"/>
      <c r="BD10" s="45"/>
      <c r="BE10" s="45"/>
      <c r="BF10" s="47"/>
      <c r="BG10" s="47"/>
      <c r="BH10" s="47"/>
      <c r="BI10" s="47"/>
      <c r="BJ10" s="57"/>
      <c r="BK10" s="1"/>
      <c r="BL10" s="1"/>
      <c r="BM10" s="1"/>
      <c r="BN10" s="1"/>
      <c r="BO10" s="1"/>
    </row>
    <row r="11" spans="1:67" s="2" customFormat="1" ht="24" customHeight="1">
      <c r="A11" s="3281"/>
      <c r="B11" s="3284"/>
      <c r="C11" s="3284"/>
      <c r="D11" s="58" t="s">
        <v>191</v>
      </c>
      <c r="E11" s="59" t="s">
        <v>192</v>
      </c>
      <c r="F11" s="48"/>
      <c r="G11" s="48"/>
      <c r="H11" s="48"/>
      <c r="I11" s="48"/>
      <c r="J11" s="48"/>
      <c r="K11" s="48"/>
      <c r="L11" s="48"/>
      <c r="M11" s="48"/>
      <c r="N11" s="48"/>
      <c r="O11" s="48"/>
      <c r="P11" s="48"/>
      <c r="Q11" s="49"/>
      <c r="R11" s="48"/>
      <c r="S11" s="48"/>
      <c r="T11" s="49"/>
      <c r="U11" s="49"/>
      <c r="V11" s="49"/>
      <c r="W11" s="48"/>
      <c r="X11" s="48"/>
      <c r="Y11" s="48"/>
      <c r="Z11" s="294"/>
      <c r="AA11" s="50"/>
      <c r="AB11" s="48"/>
      <c r="AC11" s="170"/>
      <c r="AD11" s="48"/>
      <c r="AE11" s="170"/>
      <c r="AF11" s="48"/>
      <c r="AG11" s="170"/>
      <c r="AH11" s="48"/>
      <c r="AI11" s="170"/>
      <c r="AJ11" s="48"/>
      <c r="AK11" s="170"/>
      <c r="AL11" s="48"/>
      <c r="AM11" s="170"/>
      <c r="AN11" s="48"/>
      <c r="AO11" s="170"/>
      <c r="AP11" s="48"/>
      <c r="AQ11" s="170"/>
      <c r="AR11" s="48"/>
      <c r="AS11" s="170"/>
      <c r="AT11" s="48"/>
      <c r="AU11" s="48"/>
      <c r="AV11" s="48"/>
      <c r="AW11" s="48"/>
      <c r="AX11" s="48"/>
      <c r="AY11" s="48"/>
      <c r="AZ11" s="48"/>
      <c r="BA11" s="48"/>
      <c r="BB11" s="48"/>
      <c r="BC11" s="48"/>
      <c r="BD11" s="48"/>
      <c r="BE11" s="48"/>
      <c r="BF11" s="50"/>
      <c r="BG11" s="50"/>
      <c r="BH11" s="50"/>
      <c r="BI11" s="50"/>
      <c r="BJ11" s="60"/>
      <c r="BK11" s="1"/>
      <c r="BL11" s="1"/>
      <c r="BM11" s="1"/>
      <c r="BN11" s="1"/>
      <c r="BO11" s="1"/>
    </row>
    <row r="12" spans="1:67" s="2" customFormat="1" ht="30" customHeight="1" thickBot="1">
      <c r="A12" s="3282"/>
      <c r="B12" s="3285"/>
      <c r="C12" s="3285"/>
      <c r="D12" s="3281"/>
      <c r="E12" s="3281"/>
      <c r="F12" s="3287"/>
      <c r="G12" s="63" t="s">
        <v>193</v>
      </c>
      <c r="H12" s="3290" t="s">
        <v>194</v>
      </c>
      <c r="I12" s="3291"/>
      <c r="J12" s="3291"/>
      <c r="K12" s="3291"/>
      <c r="L12" s="51"/>
      <c r="M12" s="52"/>
      <c r="N12" s="52"/>
      <c r="O12" s="52"/>
      <c r="P12" s="52"/>
      <c r="Q12" s="53"/>
      <c r="R12" s="64"/>
      <c r="S12" s="52"/>
      <c r="T12" s="53"/>
      <c r="U12" s="53"/>
      <c r="V12" s="53"/>
      <c r="W12" s="52"/>
      <c r="X12" s="52"/>
      <c r="Y12" s="52"/>
      <c r="Z12" s="297"/>
      <c r="AA12" s="54"/>
      <c r="AB12" s="52"/>
      <c r="AC12" s="1117"/>
      <c r="AD12" s="52"/>
      <c r="AE12" s="1117"/>
      <c r="AF12" s="52"/>
      <c r="AG12" s="1117"/>
      <c r="AH12" s="52"/>
      <c r="AI12" s="1117"/>
      <c r="AJ12" s="52"/>
      <c r="AK12" s="1117"/>
      <c r="AL12" s="52"/>
      <c r="AM12" s="1117"/>
      <c r="AN12" s="52"/>
      <c r="AO12" s="1117"/>
      <c r="AP12" s="52"/>
      <c r="AQ12" s="1117"/>
      <c r="AR12" s="52"/>
      <c r="AS12" s="1117"/>
      <c r="AT12" s="52"/>
      <c r="AU12" s="52"/>
      <c r="AV12" s="52"/>
      <c r="AW12" s="52"/>
      <c r="AX12" s="52"/>
      <c r="AY12" s="52"/>
      <c r="AZ12" s="52"/>
      <c r="BA12" s="52"/>
      <c r="BB12" s="52"/>
      <c r="BC12" s="52"/>
      <c r="BD12" s="52"/>
      <c r="BE12" s="52"/>
      <c r="BF12" s="54"/>
      <c r="BG12" s="54"/>
      <c r="BH12" s="54"/>
      <c r="BI12" s="54"/>
      <c r="BJ12" s="65"/>
      <c r="BK12" s="1"/>
      <c r="BL12" s="1"/>
      <c r="BM12" s="1"/>
      <c r="BN12" s="1"/>
      <c r="BO12" s="1"/>
    </row>
    <row r="13" spans="1:62" s="3" customFormat="1" ht="248.25" customHeight="1">
      <c r="A13" s="3282"/>
      <c r="B13" s="3285"/>
      <c r="C13" s="3285"/>
      <c r="D13" s="3282"/>
      <c r="E13" s="3282"/>
      <c r="F13" s="3288"/>
      <c r="G13" s="2931"/>
      <c r="H13" s="2931"/>
      <c r="I13" s="2931"/>
      <c r="J13" s="217">
        <v>275</v>
      </c>
      <c r="K13" s="218" t="s">
        <v>195</v>
      </c>
      <c r="L13" s="217" t="s">
        <v>196</v>
      </c>
      <c r="M13" s="217">
        <v>4</v>
      </c>
      <c r="N13" s="2016">
        <v>4</v>
      </c>
      <c r="O13" s="2910" t="s">
        <v>197</v>
      </c>
      <c r="P13" s="2905">
        <v>16</v>
      </c>
      <c r="Q13" s="2909" t="s">
        <v>198</v>
      </c>
      <c r="R13" s="216">
        <f>+W13/$S$13*100</f>
        <v>66.89179200777325</v>
      </c>
      <c r="S13" s="3277">
        <v>1132758602</v>
      </c>
      <c r="T13" s="2909" t="s">
        <v>199</v>
      </c>
      <c r="U13" s="218" t="s">
        <v>200</v>
      </c>
      <c r="V13" s="38" t="s">
        <v>201</v>
      </c>
      <c r="W13" s="298">
        <v>757722528</v>
      </c>
      <c r="X13" s="310">
        <v>749582182</v>
      </c>
      <c r="Y13" s="310">
        <f>700815270+3</f>
        <v>700815273</v>
      </c>
      <c r="Z13" s="299">
        <v>20</v>
      </c>
      <c r="AA13" s="218" t="s">
        <v>63</v>
      </c>
      <c r="AB13" s="3259">
        <v>64149</v>
      </c>
      <c r="AC13" s="3262">
        <v>64149</v>
      </c>
      <c r="AD13" s="3259">
        <v>72224</v>
      </c>
      <c r="AE13" s="3262">
        <v>72224</v>
      </c>
      <c r="AF13" s="3259">
        <v>27477</v>
      </c>
      <c r="AG13" s="3262">
        <v>27477</v>
      </c>
      <c r="AH13" s="3259">
        <v>86843</v>
      </c>
      <c r="AI13" s="3262">
        <v>86843</v>
      </c>
      <c r="AJ13" s="3259">
        <v>236429</v>
      </c>
      <c r="AK13" s="3262">
        <v>236429</v>
      </c>
      <c r="AL13" s="3259">
        <v>81384</v>
      </c>
      <c r="AM13" s="3262">
        <v>81384</v>
      </c>
      <c r="AN13" s="3259">
        <v>13208</v>
      </c>
      <c r="AO13" s="3262">
        <v>13208</v>
      </c>
      <c r="AP13" s="3259">
        <v>1817</v>
      </c>
      <c r="AQ13" s="3262">
        <v>1817</v>
      </c>
      <c r="AR13" s="3259"/>
      <c r="AS13" s="3262"/>
      <c r="AT13" s="3259"/>
      <c r="AU13" s="3259"/>
      <c r="AV13" s="3259">
        <v>16897</v>
      </c>
      <c r="AW13" s="3262"/>
      <c r="AX13" s="3259">
        <v>81384</v>
      </c>
      <c r="AY13" s="3262"/>
      <c r="AZ13" s="2905">
        <v>56</v>
      </c>
      <c r="BA13" s="3274">
        <f>+X13+X14+X15</f>
        <v>1064808555</v>
      </c>
      <c r="BB13" s="3274">
        <f>+Y13+Y14+Y15</f>
        <v>977703860</v>
      </c>
      <c r="BC13" s="2925">
        <f>+BB13/BA13</f>
        <v>0.9181968490101021</v>
      </c>
      <c r="BD13" s="2905" t="s">
        <v>202</v>
      </c>
      <c r="BE13" s="2905" t="s">
        <v>203</v>
      </c>
      <c r="BF13" s="219">
        <v>42583</v>
      </c>
      <c r="BG13" s="221">
        <v>42598</v>
      </c>
      <c r="BH13" s="219">
        <v>42735</v>
      </c>
      <c r="BI13" s="221">
        <v>42735</v>
      </c>
      <c r="BJ13" s="216" t="s">
        <v>204</v>
      </c>
    </row>
    <row r="14" spans="1:62" s="3" customFormat="1" ht="228.75" customHeight="1">
      <c r="A14" s="3282"/>
      <c r="B14" s="3285"/>
      <c r="C14" s="3285"/>
      <c r="D14" s="3282"/>
      <c r="E14" s="3282"/>
      <c r="F14" s="3288"/>
      <c r="G14" s="2931"/>
      <c r="H14" s="2931"/>
      <c r="I14" s="2931"/>
      <c r="J14" s="217">
        <v>276</v>
      </c>
      <c r="K14" s="218" t="s">
        <v>205</v>
      </c>
      <c r="L14" s="217" t="s">
        <v>196</v>
      </c>
      <c r="M14" s="217">
        <v>1</v>
      </c>
      <c r="N14" s="2016">
        <v>1</v>
      </c>
      <c r="O14" s="3292"/>
      <c r="P14" s="2906"/>
      <c r="Q14" s="2909"/>
      <c r="R14" s="216">
        <f>+W14/$S$13*100</f>
        <v>14.617068911916329</v>
      </c>
      <c r="S14" s="3277"/>
      <c r="T14" s="2909"/>
      <c r="U14" s="218" t="s">
        <v>206</v>
      </c>
      <c r="V14" s="218" t="s">
        <v>207</v>
      </c>
      <c r="W14" s="298">
        <v>165576105.46</v>
      </c>
      <c r="X14" s="311">
        <v>138639959</v>
      </c>
      <c r="Y14" s="311">
        <f>138639956+3</f>
        <v>138639959</v>
      </c>
      <c r="Z14" s="299">
        <v>20</v>
      </c>
      <c r="AA14" s="218" t="s">
        <v>63</v>
      </c>
      <c r="AB14" s="3260"/>
      <c r="AC14" s="3263"/>
      <c r="AD14" s="3260"/>
      <c r="AE14" s="3263"/>
      <c r="AF14" s="3260"/>
      <c r="AG14" s="3263"/>
      <c r="AH14" s="3260"/>
      <c r="AI14" s="3263"/>
      <c r="AJ14" s="3260"/>
      <c r="AK14" s="3263"/>
      <c r="AL14" s="3260"/>
      <c r="AM14" s="3263"/>
      <c r="AN14" s="3260"/>
      <c r="AO14" s="3263"/>
      <c r="AP14" s="3260"/>
      <c r="AQ14" s="3263"/>
      <c r="AR14" s="3260"/>
      <c r="AS14" s="3263"/>
      <c r="AT14" s="3260"/>
      <c r="AU14" s="3260"/>
      <c r="AV14" s="3260"/>
      <c r="AW14" s="3263"/>
      <c r="AX14" s="3260"/>
      <c r="AY14" s="3263"/>
      <c r="AZ14" s="2906"/>
      <c r="BA14" s="3275"/>
      <c r="BB14" s="3275"/>
      <c r="BC14" s="3271"/>
      <c r="BD14" s="2906"/>
      <c r="BE14" s="2906"/>
      <c r="BF14" s="219">
        <v>42584</v>
      </c>
      <c r="BG14" s="221">
        <v>42598</v>
      </c>
      <c r="BH14" s="219">
        <v>42736</v>
      </c>
      <c r="BI14" s="221">
        <v>42734</v>
      </c>
      <c r="BJ14" s="216" t="s">
        <v>204</v>
      </c>
    </row>
    <row r="15" spans="1:62" s="3" customFormat="1" ht="199.5">
      <c r="A15" s="3282"/>
      <c r="B15" s="3285"/>
      <c r="C15" s="3285"/>
      <c r="D15" s="3282"/>
      <c r="E15" s="3282"/>
      <c r="F15" s="3288"/>
      <c r="G15" s="2931"/>
      <c r="H15" s="2931"/>
      <c r="I15" s="2931"/>
      <c r="J15" s="217">
        <v>277</v>
      </c>
      <c r="K15" s="218" t="s">
        <v>208</v>
      </c>
      <c r="L15" s="217" t="s">
        <v>196</v>
      </c>
      <c r="M15" s="217">
        <v>1</v>
      </c>
      <c r="N15" s="2016">
        <v>1</v>
      </c>
      <c r="O15" s="3293"/>
      <c r="P15" s="2941"/>
      <c r="Q15" s="2909"/>
      <c r="R15" s="216">
        <f>+W15/$S$13*100</f>
        <v>18.49113912091925</v>
      </c>
      <c r="S15" s="3277"/>
      <c r="T15" s="2909"/>
      <c r="U15" s="218" t="s">
        <v>209</v>
      </c>
      <c r="V15" s="218" t="s">
        <v>210</v>
      </c>
      <c r="W15" s="298">
        <v>209459969</v>
      </c>
      <c r="X15" s="312">
        <v>176586414</v>
      </c>
      <c r="Y15" s="312">
        <v>138248628</v>
      </c>
      <c r="Z15" s="299" t="s">
        <v>211</v>
      </c>
      <c r="AA15" s="218" t="s">
        <v>212</v>
      </c>
      <c r="AB15" s="3261"/>
      <c r="AC15" s="3264"/>
      <c r="AD15" s="3261"/>
      <c r="AE15" s="3264"/>
      <c r="AF15" s="3261"/>
      <c r="AG15" s="3264"/>
      <c r="AH15" s="3261"/>
      <c r="AI15" s="3264"/>
      <c r="AJ15" s="3261"/>
      <c r="AK15" s="3264"/>
      <c r="AL15" s="3261"/>
      <c r="AM15" s="3264"/>
      <c r="AN15" s="3261"/>
      <c r="AO15" s="3264"/>
      <c r="AP15" s="3261"/>
      <c r="AQ15" s="3264"/>
      <c r="AR15" s="3261"/>
      <c r="AS15" s="3264"/>
      <c r="AT15" s="3261"/>
      <c r="AU15" s="3261"/>
      <c r="AV15" s="3261"/>
      <c r="AW15" s="3264"/>
      <c r="AX15" s="3261"/>
      <c r="AY15" s="3264"/>
      <c r="AZ15" s="2941"/>
      <c r="BA15" s="3276"/>
      <c r="BB15" s="3276"/>
      <c r="BC15" s="3272"/>
      <c r="BD15" s="2941"/>
      <c r="BE15" s="2941"/>
      <c r="BF15" s="219">
        <v>42585</v>
      </c>
      <c r="BG15" s="221">
        <v>42605</v>
      </c>
      <c r="BH15" s="219">
        <v>42737</v>
      </c>
      <c r="BI15" s="221">
        <v>42733</v>
      </c>
      <c r="BJ15" s="216" t="s">
        <v>204</v>
      </c>
    </row>
    <row r="16" spans="1:62" s="3" customFormat="1" ht="185.25">
      <c r="A16" s="3282"/>
      <c r="B16" s="3285"/>
      <c r="C16" s="3285"/>
      <c r="D16" s="3282"/>
      <c r="E16" s="3282"/>
      <c r="F16" s="3288"/>
      <c r="G16" s="2931"/>
      <c r="H16" s="2931"/>
      <c r="I16" s="2931"/>
      <c r="J16" s="217">
        <v>278</v>
      </c>
      <c r="K16" s="218" t="s">
        <v>213</v>
      </c>
      <c r="L16" s="217" t="s">
        <v>196</v>
      </c>
      <c r="M16" s="217">
        <v>1</v>
      </c>
      <c r="N16" s="2408">
        <v>1</v>
      </c>
      <c r="O16" s="2905" t="s">
        <v>214</v>
      </c>
      <c r="P16" s="2905">
        <v>17</v>
      </c>
      <c r="Q16" s="2909" t="s">
        <v>215</v>
      </c>
      <c r="R16" s="216">
        <f>+W16/S16*100</f>
        <v>28.666675</v>
      </c>
      <c r="S16" s="2926">
        <v>40000000</v>
      </c>
      <c r="T16" s="2909" t="s">
        <v>216</v>
      </c>
      <c r="U16" s="300" t="s">
        <v>217</v>
      </c>
      <c r="V16" s="218" t="s">
        <v>218</v>
      </c>
      <c r="W16" s="298">
        <v>11466670</v>
      </c>
      <c r="X16" s="312">
        <v>11466670</v>
      </c>
      <c r="Y16" s="312">
        <v>0</v>
      </c>
      <c r="Z16" s="299">
        <v>20</v>
      </c>
      <c r="AA16" s="217" t="s">
        <v>63</v>
      </c>
      <c r="AB16" s="3252">
        <v>64149</v>
      </c>
      <c r="AC16" s="3255">
        <v>64149</v>
      </c>
      <c r="AD16" s="3252">
        <v>72224</v>
      </c>
      <c r="AE16" s="3255">
        <v>72224</v>
      </c>
      <c r="AF16" s="3252">
        <v>27477</v>
      </c>
      <c r="AG16" s="3255">
        <v>27477</v>
      </c>
      <c r="AH16" s="3252">
        <v>86843</v>
      </c>
      <c r="AI16" s="3255">
        <v>86843</v>
      </c>
      <c r="AJ16" s="3252">
        <v>236429</v>
      </c>
      <c r="AK16" s="3255">
        <v>236429</v>
      </c>
      <c r="AL16" s="3252">
        <v>81384</v>
      </c>
      <c r="AM16" s="3255">
        <v>81384</v>
      </c>
      <c r="AN16" s="3252">
        <v>13208</v>
      </c>
      <c r="AO16" s="3255">
        <v>13208</v>
      </c>
      <c r="AP16" s="3252">
        <v>1817</v>
      </c>
      <c r="AQ16" s="3255">
        <v>1817</v>
      </c>
      <c r="AR16" s="3252"/>
      <c r="AS16" s="3255"/>
      <c r="AT16" s="3252"/>
      <c r="AU16" s="3252"/>
      <c r="AV16" s="3252">
        <v>16897</v>
      </c>
      <c r="AW16" s="3255"/>
      <c r="AX16" s="3252">
        <v>81384</v>
      </c>
      <c r="AY16" s="3255"/>
      <c r="AZ16" s="2905">
        <v>6</v>
      </c>
      <c r="BA16" s="3273">
        <v>40000000</v>
      </c>
      <c r="BB16" s="3273">
        <f>+Y17+Y16</f>
        <v>28533330</v>
      </c>
      <c r="BC16" s="2924">
        <f>+BB16/BA16</f>
        <v>0.71333325</v>
      </c>
      <c r="BD16" s="2905" t="s">
        <v>219</v>
      </c>
      <c r="BE16" s="2905" t="s">
        <v>220</v>
      </c>
      <c r="BF16" s="219">
        <v>42586</v>
      </c>
      <c r="BG16" s="221">
        <v>42734</v>
      </c>
      <c r="BH16" s="219">
        <v>42738</v>
      </c>
      <c r="BI16" s="221">
        <v>42734</v>
      </c>
      <c r="BJ16" s="216" t="s">
        <v>204</v>
      </c>
    </row>
    <row r="17" spans="1:62" s="3" customFormat="1" ht="245.25" customHeight="1">
      <c r="A17" s="3283"/>
      <c r="B17" s="3286"/>
      <c r="C17" s="3286"/>
      <c r="D17" s="3283"/>
      <c r="E17" s="3283"/>
      <c r="F17" s="3289"/>
      <c r="G17" s="2931"/>
      <c r="H17" s="2931"/>
      <c r="I17" s="2931"/>
      <c r="J17" s="217">
        <v>279</v>
      </c>
      <c r="K17" s="218" t="s">
        <v>221</v>
      </c>
      <c r="L17" s="217" t="s">
        <v>196</v>
      </c>
      <c r="M17" s="217">
        <v>1</v>
      </c>
      <c r="N17" s="2016">
        <v>1</v>
      </c>
      <c r="O17" s="2941"/>
      <c r="P17" s="2941"/>
      <c r="Q17" s="2909"/>
      <c r="R17" s="216">
        <f>+W17/S16*100</f>
        <v>71.333325</v>
      </c>
      <c r="S17" s="2926"/>
      <c r="T17" s="2909"/>
      <c r="U17" s="300" t="s">
        <v>222</v>
      </c>
      <c r="V17" s="218" t="s">
        <v>223</v>
      </c>
      <c r="W17" s="298">
        <v>28533330</v>
      </c>
      <c r="X17" s="312">
        <v>28533330</v>
      </c>
      <c r="Y17" s="312">
        <v>28533330</v>
      </c>
      <c r="Z17" s="299">
        <v>20</v>
      </c>
      <c r="AA17" s="217" t="s">
        <v>63</v>
      </c>
      <c r="AB17" s="3253"/>
      <c r="AC17" s="3256"/>
      <c r="AD17" s="3253"/>
      <c r="AE17" s="3256"/>
      <c r="AF17" s="3253"/>
      <c r="AG17" s="3256"/>
      <c r="AH17" s="3253"/>
      <c r="AI17" s="3256"/>
      <c r="AJ17" s="3253"/>
      <c r="AK17" s="3256"/>
      <c r="AL17" s="3253"/>
      <c r="AM17" s="3256"/>
      <c r="AN17" s="3253"/>
      <c r="AO17" s="3256"/>
      <c r="AP17" s="3253"/>
      <c r="AQ17" s="3256"/>
      <c r="AR17" s="3253"/>
      <c r="AS17" s="3256"/>
      <c r="AT17" s="3253"/>
      <c r="AU17" s="3253"/>
      <c r="AV17" s="3253"/>
      <c r="AW17" s="3256"/>
      <c r="AX17" s="3253"/>
      <c r="AY17" s="3256"/>
      <c r="AZ17" s="2941"/>
      <c r="BA17" s="3273"/>
      <c r="BB17" s="3273"/>
      <c r="BC17" s="2924"/>
      <c r="BD17" s="2941"/>
      <c r="BE17" s="2941"/>
      <c r="BF17" s="219">
        <v>42587</v>
      </c>
      <c r="BG17" s="221">
        <v>42653</v>
      </c>
      <c r="BH17" s="219">
        <v>42739</v>
      </c>
      <c r="BI17" s="221">
        <v>42673</v>
      </c>
      <c r="BJ17" s="216" t="s">
        <v>204</v>
      </c>
    </row>
    <row r="18" spans="1:51" ht="15.75" thickBot="1">
      <c r="A18" s="4"/>
      <c r="B18" s="4"/>
      <c r="C18" s="4"/>
      <c r="D18" s="4"/>
      <c r="E18" s="4"/>
      <c r="F18" s="4"/>
      <c r="G18" s="4"/>
      <c r="H18" s="4"/>
      <c r="I18" s="4"/>
      <c r="J18" s="4"/>
      <c r="S18" s="301" t="s">
        <v>40</v>
      </c>
      <c r="AB18" s="3278"/>
      <c r="AC18" s="3258"/>
      <c r="AD18" s="3254"/>
      <c r="AE18" s="3257"/>
      <c r="AF18" s="3254"/>
      <c r="AG18" s="3257"/>
      <c r="AH18" s="3254"/>
      <c r="AI18" s="3257"/>
      <c r="AJ18" s="3254"/>
      <c r="AK18" s="3257"/>
      <c r="AL18" s="3254"/>
      <c r="AM18" s="3257"/>
      <c r="AN18" s="3254"/>
      <c r="AO18" s="3257"/>
      <c r="AP18" s="3254"/>
      <c r="AQ18" s="3257"/>
      <c r="AR18" s="3254"/>
      <c r="AS18" s="3257"/>
      <c r="AT18" s="3254"/>
      <c r="AU18" s="3254"/>
      <c r="AV18" s="3254"/>
      <c r="AW18" s="3257"/>
      <c r="AX18" s="3254"/>
      <c r="AY18" s="3257"/>
    </row>
    <row r="19" spans="1:62" ht="28.5" customHeight="1" thickBot="1">
      <c r="A19" s="3265" t="s">
        <v>96</v>
      </c>
      <c r="B19" s="3266"/>
      <c r="C19" s="3266"/>
      <c r="D19" s="3266"/>
      <c r="E19" s="3266"/>
      <c r="F19" s="3266"/>
      <c r="G19" s="3266"/>
      <c r="H19" s="3266"/>
      <c r="I19" s="3266"/>
      <c r="J19" s="3266"/>
      <c r="K19" s="3266"/>
      <c r="L19" s="3266"/>
      <c r="M19" s="3266"/>
      <c r="N19" s="3266"/>
      <c r="O19" s="3266"/>
      <c r="P19" s="3266"/>
      <c r="Q19" s="3266"/>
      <c r="R19" s="3267"/>
      <c r="S19" s="304">
        <f>SUM(S13:S17)</f>
        <v>1172758602</v>
      </c>
      <c r="T19" s="84"/>
      <c r="U19" s="83"/>
      <c r="V19" s="78"/>
      <c r="W19" s="305">
        <f>SUM(W13:W17)</f>
        <v>1172758602.46</v>
      </c>
      <c r="X19" s="305">
        <f>SUM(X13:X17)</f>
        <v>1104808555</v>
      </c>
      <c r="Y19" s="305">
        <f>SUM(Y13:Y17)</f>
        <v>1006237190</v>
      </c>
      <c r="Z19" s="306"/>
      <c r="AA19" s="77"/>
      <c r="AB19" s="79"/>
      <c r="AC19" s="779"/>
      <c r="AD19" s="79"/>
      <c r="AE19" s="779"/>
      <c r="AF19" s="79"/>
      <c r="AG19" s="779"/>
      <c r="AH19" s="79"/>
      <c r="AI19" s="779"/>
      <c r="AJ19" s="79"/>
      <c r="AK19" s="779"/>
      <c r="AL19" s="79"/>
      <c r="AM19" s="779"/>
      <c r="AN19" s="79"/>
      <c r="AO19" s="779"/>
      <c r="AP19" s="79"/>
      <c r="AQ19" s="779"/>
      <c r="AR19" s="79"/>
      <c r="AS19" s="779"/>
      <c r="AT19" s="79"/>
      <c r="AU19" s="79"/>
      <c r="AV19" s="79"/>
      <c r="AW19" s="79"/>
      <c r="AX19" s="79"/>
      <c r="AY19" s="79"/>
      <c r="AZ19" s="79"/>
      <c r="BA19" s="315">
        <f>SUM(BA13:BA17)</f>
        <v>1104808555</v>
      </c>
      <c r="BB19" s="315">
        <f>SUM(BB13:BB17)</f>
        <v>1006237190</v>
      </c>
      <c r="BC19" s="79"/>
      <c r="BD19" s="79"/>
      <c r="BE19" s="79"/>
      <c r="BF19" s="80"/>
      <c r="BG19" s="80"/>
      <c r="BH19" s="81"/>
      <c r="BI19" s="81"/>
      <c r="BJ19" s="82"/>
    </row>
    <row r="20" ht="15">
      <c r="S20" s="2640"/>
    </row>
    <row r="22" ht="15">
      <c r="S22" s="316"/>
    </row>
    <row r="23" ht="14.25">
      <c r="S23" s="31"/>
    </row>
    <row r="24" spans="5:19" ht="32.25" customHeight="1">
      <c r="E24" s="3268" t="s">
        <v>224</v>
      </c>
      <c r="F24" s="3268"/>
      <c r="G24" s="3268"/>
      <c r="H24" s="3268"/>
      <c r="I24" s="3268"/>
      <c r="J24" s="3268"/>
      <c r="K24" s="3268"/>
      <c r="S24" s="31"/>
    </row>
    <row r="25" spans="5:27" ht="14.25">
      <c r="E25" s="3269" t="s">
        <v>225</v>
      </c>
      <c r="F25" s="3269"/>
      <c r="G25" s="3269"/>
      <c r="H25" s="3269"/>
      <c r="I25" s="3269"/>
      <c r="J25" s="3269"/>
      <c r="K25" s="3269"/>
      <c r="Z25" s="3270"/>
      <c r="AA25" s="3270"/>
    </row>
  </sheetData>
  <sheetProtection/>
  <mergeCells count="132">
    <mergeCell ref="A1:BF4"/>
    <mergeCell ref="A5:M6"/>
    <mergeCell ref="Q5:BJ5"/>
    <mergeCell ref="Q6:AA6"/>
    <mergeCell ref="AB6:AY6"/>
    <mergeCell ref="BF6:BJ6"/>
    <mergeCell ref="U7:U9"/>
    <mergeCell ref="V7:V9"/>
    <mergeCell ref="J7:J9"/>
    <mergeCell ref="K7:K9"/>
    <mergeCell ref="L7:L9"/>
    <mergeCell ref="M7:N8"/>
    <mergeCell ref="O7:O9"/>
    <mergeCell ref="P7:P9"/>
    <mergeCell ref="A7:A9"/>
    <mergeCell ref="B7:C9"/>
    <mergeCell ref="D7:D9"/>
    <mergeCell ref="E7:F9"/>
    <mergeCell ref="G7:G9"/>
    <mergeCell ref="H7:I9"/>
    <mergeCell ref="BF7:BG8"/>
    <mergeCell ref="BH7:BI8"/>
    <mergeCell ref="BJ7:BJ9"/>
    <mergeCell ref="AB8:AC8"/>
    <mergeCell ref="AD8:AE8"/>
    <mergeCell ref="AF8:AG8"/>
    <mergeCell ref="AH8:AI8"/>
    <mergeCell ref="AJ8:AK8"/>
    <mergeCell ref="AL8:AM8"/>
    <mergeCell ref="AN8:AO8"/>
    <mergeCell ref="AB7:AM7"/>
    <mergeCell ref="AN7:AY7"/>
    <mergeCell ref="AZ7:BE7"/>
    <mergeCell ref="AP8:AQ8"/>
    <mergeCell ref="AR8:AS8"/>
    <mergeCell ref="AT8:AU8"/>
    <mergeCell ref="AV8:AW8"/>
    <mergeCell ref="AB16:AB18"/>
    <mergeCell ref="BE8:BE9"/>
    <mergeCell ref="A11:A17"/>
    <mergeCell ref="B11:C17"/>
    <mergeCell ref="D12:D17"/>
    <mergeCell ref="E12:F17"/>
    <mergeCell ref="H12:K12"/>
    <mergeCell ref="G13:G17"/>
    <mergeCell ref="H13:I17"/>
    <mergeCell ref="O13:O15"/>
    <mergeCell ref="P13:P15"/>
    <mergeCell ref="AX8:AY8"/>
    <mergeCell ref="AZ8:AZ9"/>
    <mergeCell ref="BA8:BA9"/>
    <mergeCell ref="BB8:BB9"/>
    <mergeCell ref="BC8:BC9"/>
    <mergeCell ref="BD8:BD9"/>
    <mergeCell ref="W7:Y8"/>
    <mergeCell ref="Z7:Z9"/>
    <mergeCell ref="AA7:AA9"/>
    <mergeCell ref="Q7:Q9"/>
    <mergeCell ref="R7:R9"/>
    <mergeCell ref="S7:S9"/>
    <mergeCell ref="T7:T9"/>
    <mergeCell ref="AE13:AE15"/>
    <mergeCell ref="AF13:AF15"/>
    <mergeCell ref="AG13:AG15"/>
    <mergeCell ref="AH13:AH15"/>
    <mergeCell ref="Q13:Q15"/>
    <mergeCell ref="S13:S15"/>
    <mergeCell ref="T13:T15"/>
    <mergeCell ref="AB13:AB15"/>
    <mergeCell ref="AC13:AC15"/>
    <mergeCell ref="AD13:AD15"/>
    <mergeCell ref="BC16:BC17"/>
    <mergeCell ref="BD16:BD17"/>
    <mergeCell ref="BE16:BE17"/>
    <mergeCell ref="A19:R19"/>
    <mergeCell ref="E24:K24"/>
    <mergeCell ref="E25:K25"/>
    <mergeCell ref="Z25:AA25"/>
    <mergeCell ref="BC13:BC15"/>
    <mergeCell ref="BD13:BD15"/>
    <mergeCell ref="BE13:BE15"/>
    <mergeCell ref="O16:O17"/>
    <mergeCell ref="P16:P17"/>
    <mergeCell ref="Q16:Q17"/>
    <mergeCell ref="S16:S17"/>
    <mergeCell ref="T16:T17"/>
    <mergeCell ref="AZ16:AZ17"/>
    <mergeCell ref="BA16:BA17"/>
    <mergeCell ref="AZ13:AZ15"/>
    <mergeCell ref="BA13:BA15"/>
    <mergeCell ref="BB13:BB15"/>
    <mergeCell ref="BB16:BB17"/>
    <mergeCell ref="AQ13:AQ15"/>
    <mergeCell ref="AR13:AR15"/>
    <mergeCell ref="AS13:AS15"/>
    <mergeCell ref="AU13:AU15"/>
    <mergeCell ref="AV13:AV15"/>
    <mergeCell ref="AW13:AW15"/>
    <mergeCell ref="AX13:AX15"/>
    <mergeCell ref="AY13:AY15"/>
    <mergeCell ref="AI13:AI15"/>
    <mergeCell ref="AJ13:AJ15"/>
    <mergeCell ref="AK13:AK15"/>
    <mergeCell ref="AL13:AL15"/>
    <mergeCell ref="AM13:AM15"/>
    <mergeCell ref="AN13:AN15"/>
    <mergeCell ref="AT13:AT15"/>
    <mergeCell ref="AO13:AO15"/>
    <mergeCell ref="AP13:AP15"/>
    <mergeCell ref="AC16:AC18"/>
    <mergeCell ref="AD16:AD18"/>
    <mergeCell ref="AE16:AE18"/>
    <mergeCell ref="AF16:AF18"/>
    <mergeCell ref="AG16:AG18"/>
    <mergeCell ref="AH16:AH18"/>
    <mergeCell ref="AQ16:AQ18"/>
    <mergeCell ref="AR16:AR18"/>
    <mergeCell ref="AS16:AS18"/>
    <mergeCell ref="AO16:AO18"/>
    <mergeCell ref="AP16:AP18"/>
    <mergeCell ref="AU16:AU18"/>
    <mergeCell ref="AV16:AV18"/>
    <mergeCell ref="AW16:AW18"/>
    <mergeCell ref="AX16:AX18"/>
    <mergeCell ref="AY16:AY18"/>
    <mergeCell ref="AI16:AI18"/>
    <mergeCell ref="AJ16:AJ18"/>
    <mergeCell ref="AK16:AK18"/>
    <mergeCell ref="AL16:AL18"/>
    <mergeCell ref="AM16:AM18"/>
    <mergeCell ref="AN16:AN18"/>
    <mergeCell ref="AT16:AT18"/>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V43"/>
  <sheetViews>
    <sheetView zoomScale="60" zoomScaleNormal="60" zoomScalePageLayoutView="0" workbookViewId="0" topLeftCell="AZ1">
      <selection activeCell="BK1" sqref="BK1"/>
    </sheetView>
  </sheetViews>
  <sheetFormatPr defaultColWidth="11.421875" defaultRowHeight="15"/>
  <cols>
    <col min="1" max="1" width="13.140625" style="3" customWidth="1"/>
    <col min="2" max="2" width="4.00390625" style="3" customWidth="1"/>
    <col min="3" max="3" width="15.57421875" style="3" customWidth="1"/>
    <col min="4" max="4" width="12.57421875" style="3" customWidth="1"/>
    <col min="5" max="5" width="7.421875" style="3" customWidth="1"/>
    <col min="6" max="6" width="11.8515625" style="3" customWidth="1"/>
    <col min="7" max="7" width="14.140625" style="3" customWidth="1"/>
    <col min="8" max="8" width="8.57421875" style="7" customWidth="1"/>
    <col min="9" max="9" width="16.140625" style="7" customWidth="1"/>
    <col min="10" max="10" width="13.57421875" style="478" customWidth="1"/>
    <col min="11" max="11" width="29.140625" style="7" customWidth="1"/>
    <col min="12" max="12" width="19.421875" style="478" customWidth="1"/>
    <col min="13" max="13" width="11.00390625" style="478" customWidth="1"/>
    <col min="14" max="14" width="11.00390625" style="598" customWidth="1"/>
    <col min="15" max="15" width="32.140625" style="7" customWidth="1"/>
    <col min="16" max="16" width="14.7109375" style="478" customWidth="1"/>
    <col min="17" max="17" width="27.00390625" style="7" customWidth="1"/>
    <col min="18" max="18" width="13.140625" style="478" customWidth="1"/>
    <col min="19" max="19" width="21.7109375" style="7" customWidth="1"/>
    <col min="20" max="20" width="26.140625" style="7" customWidth="1"/>
    <col min="21" max="21" width="27.57421875" style="7" customWidth="1"/>
    <col min="22" max="22" width="28.28125" style="7" customWidth="1"/>
    <col min="23" max="23" width="26.421875" style="7" customWidth="1"/>
    <col min="24" max="24" width="26.421875" style="600" customWidth="1"/>
    <col min="25" max="25" width="26.28125" style="600" customWidth="1"/>
    <col min="26" max="26" width="12.00390625" style="601" customWidth="1"/>
    <col min="27" max="27" width="15.8515625" style="7" customWidth="1"/>
    <col min="28" max="28" width="10.140625" style="4" customWidth="1"/>
    <col min="29" max="29" width="10.140625" style="125" customWidth="1"/>
    <col min="30" max="30" width="10.140625" style="4" customWidth="1"/>
    <col min="31" max="31" width="10.140625" style="125" customWidth="1"/>
    <col min="32" max="32" width="10.140625" style="4" customWidth="1"/>
    <col min="33" max="33" width="10.140625" style="125" customWidth="1"/>
    <col min="34" max="34" width="10.140625" style="4" customWidth="1"/>
    <col min="35" max="35" width="10.140625" style="125" customWidth="1"/>
    <col min="36" max="36" width="10.140625" style="4" customWidth="1"/>
    <col min="37" max="37" width="10.140625" style="125" customWidth="1"/>
    <col min="38" max="38" width="10.140625" style="4" customWidth="1"/>
    <col min="39" max="39" width="10.140625" style="125" customWidth="1"/>
    <col min="40" max="40" width="10.140625" style="4" customWidth="1"/>
    <col min="41" max="41" width="10.140625" style="125" customWidth="1"/>
    <col min="42" max="42" width="10.140625" style="4" customWidth="1"/>
    <col min="43" max="43" width="10.140625" style="125" customWidth="1"/>
    <col min="44" max="44" width="10.140625" style="4" customWidth="1"/>
    <col min="45" max="45" width="10.140625" style="125" customWidth="1"/>
    <col min="46" max="46" width="10.140625" style="4" customWidth="1"/>
    <col min="47" max="47" width="10.140625" style="125" customWidth="1"/>
    <col min="48" max="48" width="10.140625" style="4" customWidth="1"/>
    <col min="49" max="49" width="10.140625" style="125" customWidth="1"/>
    <col min="50" max="50" width="10.140625" style="4" customWidth="1"/>
    <col min="51" max="51" width="13.28125" style="125" customWidth="1"/>
    <col min="52" max="57" width="25.28125" style="602" customWidth="1"/>
    <col min="58" max="58" width="22.7109375" style="21" customWidth="1"/>
    <col min="59" max="59" width="22.7109375" style="482" customWidth="1"/>
    <col min="60" max="60" width="22.7109375" style="22" customWidth="1"/>
    <col min="61" max="61" width="22.7109375" style="483" customWidth="1"/>
    <col min="62" max="62" width="28.7109375" style="223" customWidth="1"/>
    <col min="63" max="63" width="31.421875" style="20" customWidth="1"/>
    <col min="64" max="64" width="15.7109375" style="20" bestFit="1" customWidth="1"/>
    <col min="65" max="16384" width="11.421875" style="4" customWidth="1"/>
  </cols>
  <sheetData>
    <row r="1" spans="1:62" ht="19.5" customHeight="1">
      <c r="A1" s="3318" t="s">
        <v>111</v>
      </c>
      <c r="B1" s="3319"/>
      <c r="C1" s="3319"/>
      <c r="D1" s="3319"/>
      <c r="E1" s="3319"/>
      <c r="F1" s="3319"/>
      <c r="G1" s="3319"/>
      <c r="H1" s="3319"/>
      <c r="I1" s="3319"/>
      <c r="J1" s="3319"/>
      <c r="K1" s="3319"/>
      <c r="L1" s="3319"/>
      <c r="M1" s="3319"/>
      <c r="N1" s="3319"/>
      <c r="O1" s="3319"/>
      <c r="P1" s="3319"/>
      <c r="Q1" s="3319"/>
      <c r="R1" s="3319"/>
      <c r="S1" s="3319"/>
      <c r="T1" s="3319"/>
      <c r="U1" s="3319"/>
      <c r="V1" s="3319"/>
      <c r="W1" s="3319"/>
      <c r="X1" s="3319"/>
      <c r="Y1" s="3319"/>
      <c r="Z1" s="3319"/>
      <c r="AA1" s="3319"/>
      <c r="AB1" s="3319"/>
      <c r="AC1" s="3319"/>
      <c r="AD1" s="3319"/>
      <c r="AE1" s="3319"/>
      <c r="AF1" s="3319"/>
      <c r="AG1" s="3319"/>
      <c r="AH1" s="3319"/>
      <c r="AI1" s="3319"/>
      <c r="AJ1" s="3319"/>
      <c r="AK1" s="3319"/>
      <c r="AL1" s="3319"/>
      <c r="AM1" s="3319"/>
      <c r="AN1" s="3319"/>
      <c r="AO1" s="3319"/>
      <c r="AP1" s="3319"/>
      <c r="AQ1" s="3319"/>
      <c r="AR1" s="3319"/>
      <c r="AS1" s="3319"/>
      <c r="AT1" s="3319"/>
      <c r="AU1" s="3319"/>
      <c r="AV1" s="3319"/>
      <c r="AW1" s="3319"/>
      <c r="AX1" s="3319"/>
      <c r="AY1" s="3319"/>
      <c r="AZ1" s="3319"/>
      <c r="BA1" s="3319"/>
      <c r="BB1" s="3319"/>
      <c r="BC1" s="3319"/>
      <c r="BD1" s="3319"/>
      <c r="BE1" s="3319"/>
      <c r="BF1" s="3320"/>
      <c r="BG1" s="168"/>
      <c r="BI1" s="2633" t="s">
        <v>97</v>
      </c>
      <c r="BJ1" s="2633" t="s">
        <v>112</v>
      </c>
    </row>
    <row r="2" spans="1:62" ht="19.5" customHeight="1">
      <c r="A2" s="3321"/>
      <c r="B2" s="3322"/>
      <c r="C2" s="3322"/>
      <c r="D2" s="3322"/>
      <c r="E2" s="3322"/>
      <c r="F2" s="3322"/>
      <c r="G2" s="3322"/>
      <c r="H2" s="3322"/>
      <c r="I2" s="3322"/>
      <c r="J2" s="3322"/>
      <c r="K2" s="3322"/>
      <c r="L2" s="3322"/>
      <c r="M2" s="3322"/>
      <c r="N2" s="3322"/>
      <c r="O2" s="3322"/>
      <c r="P2" s="3322"/>
      <c r="Q2" s="3322"/>
      <c r="R2" s="3322"/>
      <c r="S2" s="3322"/>
      <c r="T2" s="3322"/>
      <c r="U2" s="3322"/>
      <c r="V2" s="3322"/>
      <c r="W2" s="3322"/>
      <c r="X2" s="3322"/>
      <c r="Y2" s="3322"/>
      <c r="Z2" s="3322"/>
      <c r="AA2" s="3322"/>
      <c r="AB2" s="3322"/>
      <c r="AC2" s="3322"/>
      <c r="AD2" s="3322"/>
      <c r="AE2" s="3322"/>
      <c r="AF2" s="3322"/>
      <c r="AG2" s="3322"/>
      <c r="AH2" s="3322"/>
      <c r="AI2" s="3322"/>
      <c r="AJ2" s="3322"/>
      <c r="AK2" s="3322"/>
      <c r="AL2" s="3322"/>
      <c r="AM2" s="3322"/>
      <c r="AN2" s="3322"/>
      <c r="AO2" s="3322"/>
      <c r="AP2" s="3322"/>
      <c r="AQ2" s="3322"/>
      <c r="AR2" s="3322"/>
      <c r="AS2" s="3322"/>
      <c r="AT2" s="3322"/>
      <c r="AU2" s="3322"/>
      <c r="AV2" s="3322"/>
      <c r="AW2" s="3322"/>
      <c r="AX2" s="3322"/>
      <c r="AY2" s="3322"/>
      <c r="AZ2" s="3322"/>
      <c r="BA2" s="3322"/>
      <c r="BB2" s="3322"/>
      <c r="BC2" s="3322"/>
      <c r="BD2" s="3322"/>
      <c r="BE2" s="3322"/>
      <c r="BF2" s="3323"/>
      <c r="BG2" s="2601"/>
      <c r="BI2" s="2634" t="s">
        <v>98</v>
      </c>
      <c r="BJ2" s="2635">
        <v>5</v>
      </c>
    </row>
    <row r="3" spans="1:62" ht="19.5" customHeight="1">
      <c r="A3" s="3321"/>
      <c r="B3" s="3322"/>
      <c r="C3" s="3322"/>
      <c r="D3" s="3322"/>
      <c r="E3" s="3322"/>
      <c r="F3" s="3322"/>
      <c r="G3" s="3322"/>
      <c r="H3" s="3322"/>
      <c r="I3" s="3322"/>
      <c r="J3" s="3322"/>
      <c r="K3" s="3322"/>
      <c r="L3" s="3322"/>
      <c r="M3" s="3322"/>
      <c r="N3" s="3322"/>
      <c r="O3" s="3322"/>
      <c r="P3" s="3322"/>
      <c r="Q3" s="3322"/>
      <c r="R3" s="3322"/>
      <c r="S3" s="3322"/>
      <c r="T3" s="3322"/>
      <c r="U3" s="3322"/>
      <c r="V3" s="3322"/>
      <c r="W3" s="3322"/>
      <c r="X3" s="3322"/>
      <c r="Y3" s="3322"/>
      <c r="Z3" s="3322"/>
      <c r="AA3" s="3322"/>
      <c r="AB3" s="3322"/>
      <c r="AC3" s="3322"/>
      <c r="AD3" s="3322"/>
      <c r="AE3" s="3322"/>
      <c r="AF3" s="3322"/>
      <c r="AG3" s="3322"/>
      <c r="AH3" s="3322"/>
      <c r="AI3" s="3322"/>
      <c r="AJ3" s="3322"/>
      <c r="AK3" s="3322"/>
      <c r="AL3" s="3322"/>
      <c r="AM3" s="3322"/>
      <c r="AN3" s="3322"/>
      <c r="AO3" s="3322"/>
      <c r="AP3" s="3322"/>
      <c r="AQ3" s="3322"/>
      <c r="AR3" s="3322"/>
      <c r="AS3" s="3322"/>
      <c r="AT3" s="3322"/>
      <c r="AU3" s="3322"/>
      <c r="AV3" s="3322"/>
      <c r="AW3" s="3322"/>
      <c r="AX3" s="3322"/>
      <c r="AY3" s="3322"/>
      <c r="AZ3" s="3322"/>
      <c r="BA3" s="3322"/>
      <c r="BB3" s="3322"/>
      <c r="BC3" s="3322"/>
      <c r="BD3" s="3322"/>
      <c r="BE3" s="3322"/>
      <c r="BF3" s="3323"/>
      <c r="BG3" s="2601"/>
      <c r="BI3" s="2633" t="s">
        <v>99</v>
      </c>
      <c r="BJ3" s="2636" t="s">
        <v>2149</v>
      </c>
    </row>
    <row r="4" spans="1:62" ht="19.5" customHeight="1">
      <c r="A4" s="3321"/>
      <c r="B4" s="3322"/>
      <c r="C4" s="3322"/>
      <c r="D4" s="3322"/>
      <c r="E4" s="3322"/>
      <c r="F4" s="3322"/>
      <c r="G4" s="3322"/>
      <c r="H4" s="3322"/>
      <c r="I4" s="3322"/>
      <c r="J4" s="3322"/>
      <c r="K4" s="3322"/>
      <c r="L4" s="3322"/>
      <c r="M4" s="3322"/>
      <c r="N4" s="3322"/>
      <c r="O4" s="3322"/>
      <c r="P4" s="3322"/>
      <c r="Q4" s="3322"/>
      <c r="R4" s="3322"/>
      <c r="S4" s="3322"/>
      <c r="T4" s="3322"/>
      <c r="U4" s="3322"/>
      <c r="V4" s="3322"/>
      <c r="W4" s="3322"/>
      <c r="X4" s="3322"/>
      <c r="Y4" s="3322"/>
      <c r="Z4" s="3322"/>
      <c r="AA4" s="3322"/>
      <c r="AB4" s="3322"/>
      <c r="AC4" s="3322"/>
      <c r="AD4" s="3322"/>
      <c r="AE4" s="3322"/>
      <c r="AF4" s="3322"/>
      <c r="AG4" s="3322"/>
      <c r="AH4" s="3322"/>
      <c r="AI4" s="3322"/>
      <c r="AJ4" s="3322"/>
      <c r="AK4" s="3322"/>
      <c r="AL4" s="3322"/>
      <c r="AM4" s="3322"/>
      <c r="AN4" s="3322"/>
      <c r="AO4" s="3322"/>
      <c r="AP4" s="3322"/>
      <c r="AQ4" s="3322"/>
      <c r="AR4" s="3322"/>
      <c r="AS4" s="3322"/>
      <c r="AT4" s="3322"/>
      <c r="AU4" s="3322"/>
      <c r="AV4" s="3322"/>
      <c r="AW4" s="3322"/>
      <c r="AX4" s="3322"/>
      <c r="AY4" s="3322"/>
      <c r="AZ4" s="3322"/>
      <c r="BA4" s="3322"/>
      <c r="BB4" s="3322"/>
      <c r="BC4" s="3322"/>
      <c r="BD4" s="3322"/>
      <c r="BE4" s="3322"/>
      <c r="BF4" s="3323"/>
      <c r="BG4" s="2601"/>
      <c r="BI4" s="842" t="s">
        <v>100</v>
      </c>
      <c r="BJ4" s="2637" t="s">
        <v>113</v>
      </c>
    </row>
    <row r="5" spans="1:64" ht="15">
      <c r="A5" s="3049" t="s">
        <v>0</v>
      </c>
      <c r="B5" s="3049"/>
      <c r="C5" s="3049"/>
      <c r="D5" s="3049"/>
      <c r="E5" s="3049"/>
      <c r="F5" s="3049"/>
      <c r="G5" s="3049"/>
      <c r="H5" s="3049"/>
      <c r="I5" s="3049"/>
      <c r="J5" s="3049"/>
      <c r="K5" s="3049"/>
      <c r="L5" s="3049"/>
      <c r="M5" s="3049"/>
      <c r="N5" s="2834"/>
      <c r="O5" s="2834"/>
      <c r="P5" s="2834"/>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c r="BH5" s="3049"/>
      <c r="BI5" s="3049"/>
      <c r="BJ5" s="3049"/>
      <c r="BK5" s="4"/>
      <c r="BL5" s="4"/>
    </row>
    <row r="6" spans="1:64" ht="14.25" customHeight="1">
      <c r="A6" s="3049"/>
      <c r="B6" s="3049"/>
      <c r="C6" s="3049"/>
      <c r="D6" s="3049"/>
      <c r="E6" s="3049"/>
      <c r="F6" s="3049"/>
      <c r="G6" s="3049"/>
      <c r="H6" s="3049"/>
      <c r="I6" s="3049"/>
      <c r="J6" s="3049"/>
      <c r="K6" s="3049"/>
      <c r="L6" s="3049"/>
      <c r="M6" s="3049"/>
      <c r="N6" s="2834"/>
      <c r="O6" s="2834"/>
      <c r="P6" s="2835"/>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2836"/>
      <c r="BA6" s="2836"/>
      <c r="BB6" s="2836"/>
      <c r="BC6" s="2836"/>
      <c r="BD6" s="2836"/>
      <c r="BE6" s="2836"/>
      <c r="BF6" s="3050"/>
      <c r="BG6" s="3051"/>
      <c r="BH6" s="3051"/>
      <c r="BI6" s="3051"/>
      <c r="BJ6" s="3052"/>
      <c r="BK6" s="4"/>
      <c r="BL6" s="4"/>
    </row>
    <row r="7" spans="1:62" ht="26.25" customHeight="1">
      <c r="A7" s="3324" t="s">
        <v>394</v>
      </c>
      <c r="B7" s="3327" t="s">
        <v>4</v>
      </c>
      <c r="C7" s="3328"/>
      <c r="D7" s="3333" t="s">
        <v>394</v>
      </c>
      <c r="E7" s="3327" t="s">
        <v>5</v>
      </c>
      <c r="F7" s="3328"/>
      <c r="G7" s="3333" t="s">
        <v>394</v>
      </c>
      <c r="H7" s="3327" t="s">
        <v>6</v>
      </c>
      <c r="I7" s="3328"/>
      <c r="J7" s="3333" t="s">
        <v>394</v>
      </c>
      <c r="K7" s="3333" t="s">
        <v>7</v>
      </c>
      <c r="L7" s="3333" t="s">
        <v>8</v>
      </c>
      <c r="M7" s="3342" t="s">
        <v>9</v>
      </c>
      <c r="N7" s="3342"/>
      <c r="O7" s="3333" t="s">
        <v>10</v>
      </c>
      <c r="P7" s="3333" t="s">
        <v>37</v>
      </c>
      <c r="Q7" s="3333" t="s">
        <v>1</v>
      </c>
      <c r="R7" s="3333" t="s">
        <v>11</v>
      </c>
      <c r="S7" s="3333" t="s">
        <v>12</v>
      </c>
      <c r="T7" s="3333" t="s">
        <v>13</v>
      </c>
      <c r="U7" s="3333" t="s">
        <v>14</v>
      </c>
      <c r="V7" s="3333" t="s">
        <v>15</v>
      </c>
      <c r="W7" s="3327" t="s">
        <v>12</v>
      </c>
      <c r="X7" s="3380"/>
      <c r="Y7" s="3328"/>
      <c r="Z7" s="3382" t="s">
        <v>3</v>
      </c>
      <c r="AA7" s="3333" t="s">
        <v>16</v>
      </c>
      <c r="AB7" s="3362" t="s">
        <v>17</v>
      </c>
      <c r="AC7" s="3363"/>
      <c r="AD7" s="3363"/>
      <c r="AE7" s="3363"/>
      <c r="AF7" s="3363"/>
      <c r="AG7" s="3363"/>
      <c r="AH7" s="3363"/>
      <c r="AI7" s="3363"/>
      <c r="AJ7" s="3363"/>
      <c r="AK7" s="3363"/>
      <c r="AL7" s="3363"/>
      <c r="AM7" s="3364"/>
      <c r="AN7" s="3336" t="s">
        <v>18</v>
      </c>
      <c r="AO7" s="3336"/>
      <c r="AP7" s="3336"/>
      <c r="AQ7" s="3336"/>
      <c r="AR7" s="3336"/>
      <c r="AS7" s="3336"/>
      <c r="AT7" s="3336"/>
      <c r="AU7" s="3336"/>
      <c r="AV7" s="3336"/>
      <c r="AW7" s="3336"/>
      <c r="AX7" s="3336"/>
      <c r="AY7" s="3336"/>
      <c r="AZ7" s="3336" t="s">
        <v>119</v>
      </c>
      <c r="BA7" s="3336"/>
      <c r="BB7" s="3336"/>
      <c r="BC7" s="3336"/>
      <c r="BD7" s="3336"/>
      <c r="BE7" s="3336"/>
      <c r="BF7" s="3337" t="s">
        <v>19</v>
      </c>
      <c r="BG7" s="3338"/>
      <c r="BH7" s="3337" t="s">
        <v>20</v>
      </c>
      <c r="BI7" s="3338"/>
      <c r="BJ7" s="3341" t="s">
        <v>21</v>
      </c>
    </row>
    <row r="8" spans="1:62" ht="38.25" customHeight="1">
      <c r="A8" s="3325"/>
      <c r="B8" s="3329"/>
      <c r="C8" s="3330"/>
      <c r="D8" s="3334"/>
      <c r="E8" s="3329"/>
      <c r="F8" s="3330"/>
      <c r="G8" s="3334"/>
      <c r="H8" s="3329"/>
      <c r="I8" s="3330"/>
      <c r="J8" s="3334"/>
      <c r="K8" s="3334"/>
      <c r="L8" s="3334"/>
      <c r="M8" s="3342"/>
      <c r="N8" s="3342"/>
      <c r="O8" s="3334"/>
      <c r="P8" s="3334"/>
      <c r="Q8" s="3334"/>
      <c r="R8" s="3334"/>
      <c r="S8" s="3334"/>
      <c r="T8" s="3334"/>
      <c r="U8" s="3334"/>
      <c r="V8" s="3334"/>
      <c r="W8" s="3331"/>
      <c r="X8" s="3381"/>
      <c r="Y8" s="3332"/>
      <c r="Z8" s="3383"/>
      <c r="AA8" s="3334"/>
      <c r="AB8" s="3342" t="s">
        <v>22</v>
      </c>
      <c r="AC8" s="3342"/>
      <c r="AD8" s="3343" t="s">
        <v>23</v>
      </c>
      <c r="AE8" s="3343"/>
      <c r="AF8" s="3342" t="s">
        <v>24</v>
      </c>
      <c r="AG8" s="3342"/>
      <c r="AH8" s="3342" t="s">
        <v>25</v>
      </c>
      <c r="AI8" s="3342"/>
      <c r="AJ8" s="3342" t="s">
        <v>26</v>
      </c>
      <c r="AK8" s="3342"/>
      <c r="AL8" s="3342" t="s">
        <v>27</v>
      </c>
      <c r="AM8" s="3342"/>
      <c r="AN8" s="3342" t="s">
        <v>28</v>
      </c>
      <c r="AO8" s="3342"/>
      <c r="AP8" s="3342" t="s">
        <v>29</v>
      </c>
      <c r="AQ8" s="3342"/>
      <c r="AR8" s="3342" t="s">
        <v>30</v>
      </c>
      <c r="AS8" s="3342"/>
      <c r="AT8" s="3342" t="s">
        <v>31</v>
      </c>
      <c r="AU8" s="3342"/>
      <c r="AV8" s="3342" t="s">
        <v>32</v>
      </c>
      <c r="AW8" s="3342"/>
      <c r="AX8" s="3342" t="s">
        <v>33</v>
      </c>
      <c r="AY8" s="3342"/>
      <c r="AZ8" s="3375" t="s">
        <v>116</v>
      </c>
      <c r="BA8" s="3376" t="s">
        <v>120</v>
      </c>
      <c r="BB8" s="3377" t="s">
        <v>121</v>
      </c>
      <c r="BC8" s="3378" t="s">
        <v>117</v>
      </c>
      <c r="BD8" s="3375" t="s">
        <v>118</v>
      </c>
      <c r="BE8" s="3391" t="s">
        <v>122</v>
      </c>
      <c r="BF8" s="3339"/>
      <c r="BG8" s="3340"/>
      <c r="BH8" s="3339"/>
      <c r="BI8" s="3340"/>
      <c r="BJ8" s="3341"/>
    </row>
    <row r="9" spans="1:62" ht="39.75" customHeight="1">
      <c r="A9" s="3326"/>
      <c r="B9" s="3331"/>
      <c r="C9" s="3332"/>
      <c r="D9" s="3335"/>
      <c r="E9" s="3331"/>
      <c r="F9" s="3332"/>
      <c r="G9" s="3335"/>
      <c r="H9" s="3331"/>
      <c r="I9" s="3332"/>
      <c r="J9" s="3335"/>
      <c r="K9" s="3335"/>
      <c r="L9" s="3335"/>
      <c r="M9" s="484" t="s">
        <v>106</v>
      </c>
      <c r="N9" s="485" t="s">
        <v>107</v>
      </c>
      <c r="O9" s="3335"/>
      <c r="P9" s="3335"/>
      <c r="Q9" s="3335"/>
      <c r="R9" s="3335"/>
      <c r="S9" s="3335"/>
      <c r="T9" s="3335"/>
      <c r="U9" s="3335"/>
      <c r="V9" s="3335"/>
      <c r="W9" s="235" t="s">
        <v>105</v>
      </c>
      <c r="X9" s="87" t="s">
        <v>115</v>
      </c>
      <c r="Y9" s="87" t="s">
        <v>114</v>
      </c>
      <c r="Z9" s="3384"/>
      <c r="AA9" s="3335"/>
      <c r="AB9" s="486" t="s">
        <v>109</v>
      </c>
      <c r="AC9" s="487" t="s">
        <v>107</v>
      </c>
      <c r="AD9" s="486" t="s">
        <v>109</v>
      </c>
      <c r="AE9" s="487" t="s">
        <v>107</v>
      </c>
      <c r="AF9" s="486" t="s">
        <v>109</v>
      </c>
      <c r="AG9" s="487" t="s">
        <v>107</v>
      </c>
      <c r="AH9" s="486" t="s">
        <v>109</v>
      </c>
      <c r="AI9" s="487" t="s">
        <v>107</v>
      </c>
      <c r="AJ9" s="486" t="s">
        <v>109</v>
      </c>
      <c r="AK9" s="487" t="s">
        <v>107</v>
      </c>
      <c r="AL9" s="486" t="s">
        <v>109</v>
      </c>
      <c r="AM9" s="487" t="s">
        <v>107</v>
      </c>
      <c r="AN9" s="486" t="s">
        <v>109</v>
      </c>
      <c r="AO9" s="487" t="s">
        <v>107</v>
      </c>
      <c r="AP9" s="486" t="s">
        <v>109</v>
      </c>
      <c r="AQ9" s="487" t="s">
        <v>107</v>
      </c>
      <c r="AR9" s="486" t="s">
        <v>109</v>
      </c>
      <c r="AS9" s="487" t="s">
        <v>107</v>
      </c>
      <c r="AT9" s="486" t="s">
        <v>109</v>
      </c>
      <c r="AU9" s="487" t="s">
        <v>107</v>
      </c>
      <c r="AV9" s="486" t="s">
        <v>109</v>
      </c>
      <c r="AW9" s="487" t="s">
        <v>107</v>
      </c>
      <c r="AX9" s="486" t="s">
        <v>109</v>
      </c>
      <c r="AY9" s="487" t="s">
        <v>107</v>
      </c>
      <c r="AZ9" s="3375"/>
      <c r="BA9" s="3376"/>
      <c r="BB9" s="3377"/>
      <c r="BC9" s="3379"/>
      <c r="BD9" s="3375"/>
      <c r="BE9" s="3392"/>
      <c r="BF9" s="488" t="s">
        <v>106</v>
      </c>
      <c r="BG9" s="489" t="s">
        <v>107</v>
      </c>
      <c r="BH9" s="488" t="s">
        <v>106</v>
      </c>
      <c r="BI9" s="490" t="s">
        <v>107</v>
      </c>
      <c r="BJ9" s="3341"/>
    </row>
    <row r="10" spans="1:62" s="9" customFormat="1" ht="29.25" customHeight="1">
      <c r="A10" s="114" t="s">
        <v>395</v>
      </c>
      <c r="B10" s="61"/>
      <c r="C10" s="61" t="s">
        <v>396</v>
      </c>
      <c r="D10" s="61"/>
      <c r="E10" s="61"/>
      <c r="F10" s="61"/>
      <c r="G10" s="61"/>
      <c r="H10" s="61"/>
      <c r="I10" s="61"/>
      <c r="J10" s="61"/>
      <c r="K10" s="62"/>
      <c r="L10" s="61"/>
      <c r="M10" s="61"/>
      <c r="N10" s="169"/>
      <c r="O10" s="61"/>
      <c r="P10" s="61"/>
      <c r="Q10" s="61"/>
      <c r="R10" s="61"/>
      <c r="S10" s="61"/>
      <c r="T10" s="61"/>
      <c r="U10" s="61"/>
      <c r="V10" s="61"/>
      <c r="W10" s="61"/>
      <c r="X10" s="169"/>
      <c r="Y10" s="169"/>
      <c r="Z10" s="61"/>
      <c r="AA10" s="61"/>
      <c r="AB10" s="61"/>
      <c r="AC10" s="169"/>
      <c r="AD10" s="61"/>
      <c r="AE10" s="169"/>
      <c r="AF10" s="61"/>
      <c r="AG10" s="169"/>
      <c r="AH10" s="61"/>
      <c r="AI10" s="169"/>
      <c r="AJ10" s="61"/>
      <c r="AK10" s="169"/>
      <c r="AL10" s="61"/>
      <c r="AM10" s="169"/>
      <c r="AN10" s="61"/>
      <c r="AO10" s="169"/>
      <c r="AP10" s="61"/>
      <c r="AQ10" s="169"/>
      <c r="AR10" s="61"/>
      <c r="AS10" s="169"/>
      <c r="AT10" s="61"/>
      <c r="AU10" s="169"/>
      <c r="AV10" s="61"/>
      <c r="AW10" s="169"/>
      <c r="AX10" s="61"/>
      <c r="AY10" s="169"/>
      <c r="AZ10" s="61"/>
      <c r="BA10" s="61"/>
      <c r="BB10" s="61"/>
      <c r="BC10" s="61"/>
      <c r="BD10" s="61"/>
      <c r="BE10" s="61"/>
      <c r="BF10" s="61"/>
      <c r="BG10" s="169"/>
      <c r="BH10" s="61"/>
      <c r="BI10" s="169"/>
      <c r="BJ10" s="66"/>
    </row>
    <row r="11" spans="1:62" s="9" customFormat="1" ht="29.25" customHeight="1">
      <c r="A11" s="491"/>
      <c r="B11" s="492"/>
      <c r="C11" s="493"/>
      <c r="D11" s="70" t="s">
        <v>397</v>
      </c>
      <c r="E11" s="3374" t="s">
        <v>398</v>
      </c>
      <c r="F11" s="3374"/>
      <c r="G11" s="3374"/>
      <c r="H11" s="3374"/>
      <c r="I11" s="3374"/>
      <c r="J11" s="3374"/>
      <c r="K11" s="3374"/>
      <c r="L11" s="3374"/>
      <c r="M11" s="48"/>
      <c r="N11" s="170"/>
      <c r="O11" s="48"/>
      <c r="P11" s="48"/>
      <c r="Q11" s="48"/>
      <c r="R11" s="48"/>
      <c r="S11" s="48"/>
      <c r="T11" s="48"/>
      <c r="U11" s="48"/>
      <c r="V11" s="48"/>
      <c r="W11" s="48"/>
      <c r="X11" s="170"/>
      <c r="Y11" s="170"/>
      <c r="Z11" s="48"/>
      <c r="AA11" s="48"/>
      <c r="AB11" s="48"/>
      <c r="AC11" s="170"/>
      <c r="AD11" s="48"/>
      <c r="AE11" s="170"/>
      <c r="AF11" s="48"/>
      <c r="AG11" s="170"/>
      <c r="AH11" s="48"/>
      <c r="AI11" s="170"/>
      <c r="AJ11" s="48"/>
      <c r="AK11" s="170"/>
      <c r="AL11" s="48"/>
      <c r="AM11" s="170"/>
      <c r="AN11" s="48"/>
      <c r="AO11" s="170"/>
      <c r="AP11" s="48"/>
      <c r="AQ11" s="170"/>
      <c r="AR11" s="48"/>
      <c r="AS11" s="170"/>
      <c r="AT11" s="48"/>
      <c r="AU11" s="170"/>
      <c r="AV11" s="48"/>
      <c r="AW11" s="170"/>
      <c r="AX11" s="48"/>
      <c r="AY11" s="170"/>
      <c r="AZ11" s="48"/>
      <c r="BA11" s="48"/>
      <c r="BB11" s="48"/>
      <c r="BC11" s="48"/>
      <c r="BD11" s="48"/>
      <c r="BE11" s="48"/>
      <c r="BF11" s="48"/>
      <c r="BG11" s="170"/>
      <c r="BH11" s="48"/>
      <c r="BI11" s="170"/>
      <c r="BJ11" s="104"/>
    </row>
    <row r="12" spans="1:62" s="9" customFormat="1" ht="29.25" customHeight="1">
      <c r="A12" s="491"/>
      <c r="B12" s="492"/>
      <c r="C12" s="493"/>
      <c r="D12" s="493"/>
      <c r="E12" s="492"/>
      <c r="F12" s="493"/>
      <c r="G12" s="295" t="s">
        <v>399</v>
      </c>
      <c r="H12" s="296"/>
      <c r="I12" s="296" t="s">
        <v>400</v>
      </c>
      <c r="J12" s="51"/>
      <c r="K12" s="476"/>
      <c r="L12" s="51"/>
      <c r="M12" s="51"/>
      <c r="N12" s="475"/>
      <c r="O12" s="51"/>
      <c r="P12" s="51"/>
      <c r="Q12" s="51"/>
      <c r="R12" s="51"/>
      <c r="S12" s="51"/>
      <c r="T12" s="51"/>
      <c r="U12" s="51"/>
      <c r="V12" s="51"/>
      <c r="W12" s="51"/>
      <c r="X12" s="475"/>
      <c r="Y12" s="475"/>
      <c r="Z12" s="51"/>
      <c r="AA12" s="51"/>
      <c r="AB12" s="51"/>
      <c r="AC12" s="475"/>
      <c r="AD12" s="51"/>
      <c r="AE12" s="475"/>
      <c r="AF12" s="51"/>
      <c r="AG12" s="475"/>
      <c r="AH12" s="51"/>
      <c r="AI12" s="475"/>
      <c r="AJ12" s="51"/>
      <c r="AK12" s="475"/>
      <c r="AL12" s="51"/>
      <c r="AM12" s="475"/>
      <c r="AN12" s="51"/>
      <c r="AO12" s="475"/>
      <c r="AP12" s="51"/>
      <c r="AQ12" s="475"/>
      <c r="AR12" s="51"/>
      <c r="AS12" s="475"/>
      <c r="AT12" s="51"/>
      <c r="AU12" s="475"/>
      <c r="AV12" s="51"/>
      <c r="AW12" s="475"/>
      <c r="AX12" s="51"/>
      <c r="AY12" s="475"/>
      <c r="AZ12" s="51"/>
      <c r="BA12" s="51"/>
      <c r="BB12" s="51"/>
      <c r="BC12" s="51"/>
      <c r="BD12" s="51"/>
      <c r="BE12" s="51"/>
      <c r="BF12" s="51"/>
      <c r="BG12" s="475"/>
      <c r="BH12" s="51"/>
      <c r="BI12" s="475"/>
      <c r="BJ12" s="494"/>
    </row>
    <row r="13" spans="1:256" s="608" customFormat="1" ht="152.25" customHeight="1">
      <c r="A13" s="3344" t="s">
        <v>40</v>
      </c>
      <c r="B13" s="3347" t="s">
        <v>40</v>
      </c>
      <c r="C13" s="3348"/>
      <c r="D13" s="3012" t="s">
        <v>40</v>
      </c>
      <c r="E13" s="3347" t="s">
        <v>40</v>
      </c>
      <c r="F13" s="3348"/>
      <c r="G13" s="3012" t="s">
        <v>40</v>
      </c>
      <c r="H13" s="3353" t="s">
        <v>40</v>
      </c>
      <c r="I13" s="3354"/>
      <c r="J13" s="246">
        <v>54</v>
      </c>
      <c r="K13" s="242" t="s">
        <v>401</v>
      </c>
      <c r="L13" s="240" t="s">
        <v>402</v>
      </c>
      <c r="M13" s="240">
        <v>130</v>
      </c>
      <c r="N13" s="495">
        <v>132</v>
      </c>
      <c r="O13" s="473" t="s">
        <v>403</v>
      </c>
      <c r="P13" s="237">
        <v>18</v>
      </c>
      <c r="Q13" s="496" t="s">
        <v>404</v>
      </c>
      <c r="R13" s="245">
        <v>100</v>
      </c>
      <c r="S13" s="497">
        <v>49000000</v>
      </c>
      <c r="T13" s="3359" t="s">
        <v>405</v>
      </c>
      <c r="U13" s="3359" t="s">
        <v>406</v>
      </c>
      <c r="V13" s="473" t="s">
        <v>407</v>
      </c>
      <c r="W13" s="498">
        <v>49000000</v>
      </c>
      <c r="X13" s="499">
        <v>49000000</v>
      </c>
      <c r="Y13" s="499">
        <v>49000000</v>
      </c>
      <c r="Z13" s="424">
        <v>23</v>
      </c>
      <c r="AA13" s="473" t="s">
        <v>408</v>
      </c>
      <c r="AB13" s="500">
        <v>37199</v>
      </c>
      <c r="AC13" s="501">
        <f>SUM(AB13*80%)</f>
        <v>29759.2</v>
      </c>
      <c r="AD13" s="500">
        <v>98821</v>
      </c>
      <c r="AE13" s="501">
        <f>SUM(AD13*80%)</f>
        <v>79056.8</v>
      </c>
      <c r="AF13" s="500">
        <v>50922</v>
      </c>
      <c r="AG13" s="501">
        <f>SUM(AF13*80%)</f>
        <v>40737.600000000006</v>
      </c>
      <c r="AH13" s="500">
        <v>151591</v>
      </c>
      <c r="AI13" s="501">
        <f>SUM(AH13*80%)</f>
        <v>121272.8</v>
      </c>
      <c r="AJ13" s="500">
        <v>151591</v>
      </c>
      <c r="AK13" s="501">
        <f>SUM(AJ13*80%)</f>
        <v>121272.8</v>
      </c>
      <c r="AL13" s="500">
        <v>71991</v>
      </c>
      <c r="AM13" s="501">
        <f>SUM(AL13*80%)</f>
        <v>57592.8</v>
      </c>
      <c r="AN13" s="500">
        <v>12718</v>
      </c>
      <c r="AO13" s="501">
        <f>SUM(AN13*80%)</f>
        <v>10174.400000000001</v>
      </c>
      <c r="AP13" s="500">
        <v>2141</v>
      </c>
      <c r="AQ13" s="501">
        <f>SUM(AP13*80%)</f>
        <v>1712.8000000000002</v>
      </c>
      <c r="AR13" s="500"/>
      <c r="AS13" s="501"/>
      <c r="AT13" s="500">
        <v>39704</v>
      </c>
      <c r="AU13" s="501">
        <f>SUM(AT13*80%)</f>
        <v>31763.2</v>
      </c>
      <c r="AV13" s="500">
        <v>41543</v>
      </c>
      <c r="AW13" s="501">
        <f>SUM(AV13*80%)</f>
        <v>33234.4</v>
      </c>
      <c r="AX13" s="500">
        <v>71991</v>
      </c>
      <c r="AY13" s="501">
        <f>SUM(AX13*80%)</f>
        <v>57592.8</v>
      </c>
      <c r="AZ13" s="502">
        <v>4</v>
      </c>
      <c r="BA13" s="503">
        <v>49000000</v>
      </c>
      <c r="BB13" s="503">
        <v>49000000</v>
      </c>
      <c r="BC13" s="504">
        <f>SUM(Y13*1)/W13</f>
        <v>1</v>
      </c>
      <c r="BD13" s="473" t="s">
        <v>408</v>
      </c>
      <c r="BE13" s="502" t="s">
        <v>409</v>
      </c>
      <c r="BF13" s="505">
        <v>42402</v>
      </c>
      <c r="BG13" s="506">
        <v>42431</v>
      </c>
      <c r="BH13" s="505">
        <v>42582</v>
      </c>
      <c r="BI13" s="507">
        <v>42676</v>
      </c>
      <c r="BJ13" s="508" t="s">
        <v>410</v>
      </c>
      <c r="BK13" s="477"/>
      <c r="BL13" s="477"/>
      <c r="BM13" s="477"/>
      <c r="BN13" s="477"/>
      <c r="BO13" s="477"/>
      <c r="BP13" s="477"/>
      <c r="BQ13" s="477"/>
      <c r="BR13" s="477"/>
      <c r="BS13" s="477"/>
      <c r="BT13" s="477"/>
      <c r="BU13" s="477"/>
      <c r="BV13" s="477"/>
      <c r="BW13" s="477"/>
      <c r="BX13" s="477"/>
      <c r="BY13" s="477"/>
      <c r="BZ13" s="477"/>
      <c r="CA13" s="477"/>
      <c r="CB13" s="477"/>
      <c r="CC13" s="477"/>
      <c r="CD13" s="477"/>
      <c r="CE13" s="477"/>
      <c r="CF13" s="477"/>
      <c r="CG13" s="477"/>
      <c r="CH13" s="477"/>
      <c r="CI13" s="477"/>
      <c r="CJ13" s="477"/>
      <c r="CK13" s="477"/>
      <c r="CL13" s="477"/>
      <c r="CM13" s="477"/>
      <c r="CN13" s="477"/>
      <c r="CO13" s="477"/>
      <c r="CP13" s="477"/>
      <c r="CQ13" s="477"/>
      <c r="CR13" s="477"/>
      <c r="CS13" s="477"/>
      <c r="CT13" s="477"/>
      <c r="CU13" s="477"/>
      <c r="CV13" s="477"/>
      <c r="CW13" s="477"/>
      <c r="CX13" s="477"/>
      <c r="CY13" s="477"/>
      <c r="CZ13" s="477"/>
      <c r="DA13" s="477"/>
      <c r="DB13" s="477"/>
      <c r="DC13" s="477"/>
      <c r="DD13" s="477"/>
      <c r="DE13" s="477"/>
      <c r="DF13" s="477"/>
      <c r="DG13" s="477"/>
      <c r="DH13" s="477"/>
      <c r="DI13" s="477"/>
      <c r="DJ13" s="477"/>
      <c r="DK13" s="477"/>
      <c r="DL13" s="477"/>
      <c r="DM13" s="477"/>
      <c r="DN13" s="477"/>
      <c r="DO13" s="477"/>
      <c r="DP13" s="477"/>
      <c r="DQ13" s="477"/>
      <c r="DR13" s="477"/>
      <c r="DS13" s="477"/>
      <c r="DT13" s="477"/>
      <c r="DU13" s="477"/>
      <c r="DV13" s="477"/>
      <c r="DW13" s="477"/>
      <c r="DX13" s="477"/>
      <c r="DY13" s="477"/>
      <c r="DZ13" s="477"/>
      <c r="EA13" s="477"/>
      <c r="EB13" s="477"/>
      <c r="EC13" s="477"/>
      <c r="ED13" s="477"/>
      <c r="EE13" s="477"/>
      <c r="EF13" s="477"/>
      <c r="EG13" s="477"/>
      <c r="EH13" s="477"/>
      <c r="EI13" s="477"/>
      <c r="EJ13" s="477"/>
      <c r="EK13" s="477"/>
      <c r="EL13" s="477"/>
      <c r="EM13" s="477"/>
      <c r="EN13" s="477"/>
      <c r="EO13" s="477"/>
      <c r="EP13" s="477"/>
      <c r="EQ13" s="477"/>
      <c r="ER13" s="477"/>
      <c r="ES13" s="477"/>
      <c r="ET13" s="477"/>
      <c r="EU13" s="477"/>
      <c r="EV13" s="477"/>
      <c r="EW13" s="477"/>
      <c r="EX13" s="477"/>
      <c r="EY13" s="477"/>
      <c r="EZ13" s="477"/>
      <c r="FA13" s="477"/>
      <c r="FB13" s="477"/>
      <c r="FC13" s="477"/>
      <c r="FD13" s="477"/>
      <c r="FE13" s="477"/>
      <c r="FF13" s="477"/>
      <c r="FG13" s="477"/>
      <c r="FH13" s="477"/>
      <c r="FI13" s="477"/>
      <c r="FJ13" s="477"/>
      <c r="FK13" s="477"/>
      <c r="FL13" s="477"/>
      <c r="FM13" s="477"/>
      <c r="FN13" s="477"/>
      <c r="FO13" s="477"/>
      <c r="FP13" s="477"/>
      <c r="FQ13" s="477"/>
      <c r="FR13" s="477"/>
      <c r="FS13" s="477"/>
      <c r="FT13" s="477"/>
      <c r="FU13" s="477"/>
      <c r="FV13" s="477"/>
      <c r="FW13" s="477"/>
      <c r="FX13" s="477"/>
      <c r="FY13" s="477"/>
      <c r="FZ13" s="477"/>
      <c r="GA13" s="477"/>
      <c r="GB13" s="477"/>
      <c r="GC13" s="477"/>
      <c r="GD13" s="477"/>
      <c r="GE13" s="477"/>
      <c r="GF13" s="477"/>
      <c r="GG13" s="477"/>
      <c r="GH13" s="477"/>
      <c r="GI13" s="477"/>
      <c r="GJ13" s="477"/>
      <c r="GK13" s="477"/>
      <c r="GL13" s="477"/>
      <c r="GM13" s="477"/>
      <c r="GN13" s="477"/>
      <c r="GO13" s="477"/>
      <c r="GP13" s="477"/>
      <c r="GQ13" s="477"/>
      <c r="GR13" s="477"/>
      <c r="GS13" s="477"/>
      <c r="GT13" s="477"/>
      <c r="GU13" s="477"/>
      <c r="GV13" s="477"/>
      <c r="GW13" s="477"/>
      <c r="GX13" s="477"/>
      <c r="GY13" s="477"/>
      <c r="GZ13" s="477"/>
      <c r="HA13" s="477"/>
      <c r="HB13" s="477"/>
      <c r="HC13" s="477"/>
      <c r="HD13" s="477"/>
      <c r="HE13" s="477"/>
      <c r="HF13" s="477"/>
      <c r="HG13" s="477"/>
      <c r="HH13" s="477"/>
      <c r="HI13" s="477"/>
      <c r="HJ13" s="477"/>
      <c r="HK13" s="477"/>
      <c r="HL13" s="477"/>
      <c r="HM13" s="477"/>
      <c r="HN13" s="477"/>
      <c r="HO13" s="477"/>
      <c r="HP13" s="477"/>
      <c r="HQ13" s="477"/>
      <c r="HR13" s="477"/>
      <c r="HS13" s="477"/>
      <c r="HT13" s="477"/>
      <c r="HU13" s="477"/>
      <c r="HV13" s="477"/>
      <c r="HW13" s="477"/>
      <c r="HX13" s="477"/>
      <c r="HY13" s="477"/>
      <c r="HZ13" s="477"/>
      <c r="IA13" s="477"/>
      <c r="IB13" s="477"/>
      <c r="IC13" s="477"/>
      <c r="ID13" s="477"/>
      <c r="IE13" s="477"/>
      <c r="IF13" s="477"/>
      <c r="IG13" s="477"/>
      <c r="IH13" s="477"/>
      <c r="II13" s="477"/>
      <c r="IJ13" s="477"/>
      <c r="IK13" s="477"/>
      <c r="IL13" s="477"/>
      <c r="IM13" s="477"/>
      <c r="IN13" s="477"/>
      <c r="IO13" s="477"/>
      <c r="IP13" s="477"/>
      <c r="IQ13" s="477"/>
      <c r="IR13" s="477"/>
      <c r="IS13" s="477"/>
      <c r="IT13" s="477"/>
      <c r="IU13" s="477"/>
      <c r="IV13" s="477"/>
    </row>
    <row r="14" spans="1:62" s="515" customFormat="1" ht="102.75" customHeight="1">
      <c r="A14" s="3345"/>
      <c r="B14" s="3349"/>
      <c r="C14" s="3350"/>
      <c r="D14" s="3013"/>
      <c r="E14" s="3349"/>
      <c r="F14" s="3350"/>
      <c r="G14" s="3013"/>
      <c r="H14" s="3355"/>
      <c r="I14" s="3356"/>
      <c r="J14" s="551">
        <v>54</v>
      </c>
      <c r="K14" s="236" t="s">
        <v>401</v>
      </c>
      <c r="L14" s="243" t="s">
        <v>402</v>
      </c>
      <c r="M14" s="243">
        <v>130</v>
      </c>
      <c r="N14" s="495">
        <v>132</v>
      </c>
      <c r="O14" s="3359" t="s">
        <v>411</v>
      </c>
      <c r="P14" s="3012">
        <v>19</v>
      </c>
      <c r="Q14" s="3359" t="s">
        <v>412</v>
      </c>
      <c r="R14" s="2849">
        <f>+W14/($S$14+$S$15+$S$16)</f>
        <v>0.4072404640605458</v>
      </c>
      <c r="S14" s="510">
        <v>373256341</v>
      </c>
      <c r="T14" s="3360"/>
      <c r="U14" s="3360"/>
      <c r="V14" s="511" t="s">
        <v>401</v>
      </c>
      <c r="W14" s="512">
        <v>373256341</v>
      </c>
      <c r="X14" s="513">
        <v>331658853</v>
      </c>
      <c r="Y14" s="513">
        <f>313385210+18273643</f>
        <v>331658853</v>
      </c>
      <c r="Z14" s="422" t="s">
        <v>413</v>
      </c>
      <c r="AA14" s="473" t="s">
        <v>414</v>
      </c>
      <c r="AB14" s="3365">
        <v>37199</v>
      </c>
      <c r="AC14" s="3236">
        <f>SUM(AB14*3%)</f>
        <v>1115.97</v>
      </c>
      <c r="AD14" s="3371" t="s">
        <v>415</v>
      </c>
      <c r="AE14" s="3236">
        <f>SUM(AD14*3%)</f>
        <v>2964.63</v>
      </c>
      <c r="AF14" s="3365">
        <v>50922</v>
      </c>
      <c r="AG14" s="3236">
        <f>SUM(AF14*3%)</f>
        <v>1527.6599999999999</v>
      </c>
      <c r="AH14" s="3365">
        <v>151591</v>
      </c>
      <c r="AI14" s="3236">
        <f>SUM(AH14*3%)</f>
        <v>4547.73</v>
      </c>
      <c r="AJ14" s="3365">
        <v>151591</v>
      </c>
      <c r="AK14" s="3236">
        <f>SUM(AJ14*3%)</f>
        <v>4547.73</v>
      </c>
      <c r="AL14" s="3365">
        <v>71991</v>
      </c>
      <c r="AM14" s="3236">
        <f>SUM(AL14*3%)</f>
        <v>2159.73</v>
      </c>
      <c r="AN14" s="3365">
        <v>12718</v>
      </c>
      <c r="AO14" s="3236">
        <f>SUM(AN14*3%)</f>
        <v>381.53999999999996</v>
      </c>
      <c r="AP14" s="3365">
        <v>2141</v>
      </c>
      <c r="AQ14" s="3236">
        <f>SUM(AP14*3%)</f>
        <v>64.23</v>
      </c>
      <c r="AR14" s="3365"/>
      <c r="AS14" s="3368"/>
      <c r="AT14" s="3365">
        <v>39704</v>
      </c>
      <c r="AU14" s="3236">
        <f>SUM(AT14*3%)</f>
        <v>1191.12</v>
      </c>
      <c r="AV14" s="3365">
        <v>41543</v>
      </c>
      <c r="AW14" s="3236">
        <f>SUM(AV14*3%)</f>
        <v>1246.29</v>
      </c>
      <c r="AX14" s="3365">
        <v>71991</v>
      </c>
      <c r="AY14" s="3236">
        <f>SUM(AX14*3%)</f>
        <v>2159.73</v>
      </c>
      <c r="AZ14" s="245">
        <v>50</v>
      </c>
      <c r="BA14" s="514">
        <f>SUM(X14)</f>
        <v>331658853</v>
      </c>
      <c r="BB14" s="514">
        <f>SUM(Y14)</f>
        <v>331658853</v>
      </c>
      <c r="BC14" s="504">
        <f>SUM(Y14*1)/W14</f>
        <v>0.8885551739360805</v>
      </c>
      <c r="BD14" s="473" t="s">
        <v>414</v>
      </c>
      <c r="BE14" s="3012" t="s">
        <v>416</v>
      </c>
      <c r="BF14" s="3385">
        <v>42583</v>
      </c>
      <c r="BG14" s="2883">
        <v>42594</v>
      </c>
      <c r="BH14" s="3385">
        <v>42735</v>
      </c>
      <c r="BI14" s="2883">
        <v>42735</v>
      </c>
      <c r="BJ14" s="3388" t="s">
        <v>417</v>
      </c>
    </row>
    <row r="15" spans="1:64" s="517" customFormat="1" ht="79.5" customHeight="1">
      <c r="A15" s="3345"/>
      <c r="B15" s="3349"/>
      <c r="C15" s="3350"/>
      <c r="D15" s="3013"/>
      <c r="E15" s="3349"/>
      <c r="F15" s="3350"/>
      <c r="G15" s="3013"/>
      <c r="H15" s="3355"/>
      <c r="I15" s="3356"/>
      <c r="J15" s="246">
        <v>55</v>
      </c>
      <c r="K15" s="604" t="s">
        <v>418</v>
      </c>
      <c r="L15" s="243" t="s">
        <v>37</v>
      </c>
      <c r="M15" s="243">
        <v>12</v>
      </c>
      <c r="N15" s="495">
        <v>12</v>
      </c>
      <c r="O15" s="3360"/>
      <c r="P15" s="3013"/>
      <c r="Q15" s="3360"/>
      <c r="R15" s="2849">
        <f>+W15/($S$14+$S$15+$S$16)</f>
        <v>0.39637095394106225</v>
      </c>
      <c r="S15" s="510">
        <f>+W15</f>
        <v>363293889</v>
      </c>
      <c r="T15" s="3360"/>
      <c r="U15" s="3361"/>
      <c r="V15" s="516" t="s">
        <v>418</v>
      </c>
      <c r="W15" s="512">
        <v>363293889</v>
      </c>
      <c r="X15" s="513">
        <v>182485098</v>
      </c>
      <c r="Y15" s="513">
        <v>182485098</v>
      </c>
      <c r="Z15" s="422">
        <v>88</v>
      </c>
      <c r="AA15" s="511" t="s">
        <v>419</v>
      </c>
      <c r="AB15" s="3366"/>
      <c r="AC15" s="3244"/>
      <c r="AD15" s="3372"/>
      <c r="AE15" s="3244"/>
      <c r="AF15" s="3366"/>
      <c r="AG15" s="3244"/>
      <c r="AH15" s="3366"/>
      <c r="AI15" s="3244"/>
      <c r="AJ15" s="3366"/>
      <c r="AK15" s="3244"/>
      <c r="AL15" s="3366"/>
      <c r="AM15" s="3244"/>
      <c r="AN15" s="3366"/>
      <c r="AO15" s="3244"/>
      <c r="AP15" s="3366"/>
      <c r="AQ15" s="3244"/>
      <c r="AR15" s="3366"/>
      <c r="AS15" s="3369"/>
      <c r="AT15" s="3366"/>
      <c r="AU15" s="3244"/>
      <c r="AV15" s="3366"/>
      <c r="AW15" s="3244"/>
      <c r="AX15" s="3366"/>
      <c r="AY15" s="3244"/>
      <c r="AZ15" s="245">
        <v>9</v>
      </c>
      <c r="BA15" s="514">
        <v>182485098</v>
      </c>
      <c r="BB15" s="514">
        <v>182485098</v>
      </c>
      <c r="BC15" s="504">
        <f>SUM(Y15*1)/W15</f>
        <v>0.5023070949591447</v>
      </c>
      <c r="BD15" s="511" t="s">
        <v>419</v>
      </c>
      <c r="BE15" s="3013"/>
      <c r="BF15" s="3386"/>
      <c r="BG15" s="2884"/>
      <c r="BH15" s="3386"/>
      <c r="BI15" s="2884"/>
      <c r="BJ15" s="3389"/>
      <c r="BK15" s="515"/>
      <c r="BL15" s="515"/>
    </row>
    <row r="16" spans="1:64" s="517" customFormat="1" ht="144.75" customHeight="1">
      <c r="A16" s="3345"/>
      <c r="B16" s="3349"/>
      <c r="C16" s="3350"/>
      <c r="D16" s="3013"/>
      <c r="E16" s="3349"/>
      <c r="F16" s="3350"/>
      <c r="G16" s="3014"/>
      <c r="H16" s="3357"/>
      <c r="I16" s="3358"/>
      <c r="J16" s="247">
        <v>56</v>
      </c>
      <c r="K16" s="605" t="s">
        <v>420</v>
      </c>
      <c r="L16" s="244" t="s">
        <v>402</v>
      </c>
      <c r="M16" s="244">
        <v>3</v>
      </c>
      <c r="N16" s="495">
        <v>0</v>
      </c>
      <c r="O16" s="3361"/>
      <c r="P16" s="3014"/>
      <c r="Q16" s="3361"/>
      <c r="R16" s="2849">
        <f>+W16/($S$14+$S$15+$S$16)</f>
        <v>0.19638858199839196</v>
      </c>
      <c r="S16" s="510">
        <f>+W16</f>
        <v>180000000</v>
      </c>
      <c r="T16" s="3361"/>
      <c r="U16" s="2094" t="s">
        <v>421</v>
      </c>
      <c r="V16" s="518" t="s">
        <v>422</v>
      </c>
      <c r="W16" s="519">
        <v>180000000</v>
      </c>
      <c r="X16" s="520">
        <v>0</v>
      </c>
      <c r="Y16" s="520">
        <v>0</v>
      </c>
      <c r="Z16" s="379" t="s">
        <v>423</v>
      </c>
      <c r="AA16" s="473" t="s">
        <v>424</v>
      </c>
      <c r="AB16" s="3367"/>
      <c r="AC16" s="3237"/>
      <c r="AD16" s="3373"/>
      <c r="AE16" s="3237"/>
      <c r="AF16" s="3367"/>
      <c r="AG16" s="3237"/>
      <c r="AH16" s="3367"/>
      <c r="AI16" s="3237"/>
      <c r="AJ16" s="3367"/>
      <c r="AK16" s="3237"/>
      <c r="AL16" s="3367"/>
      <c r="AM16" s="3237"/>
      <c r="AN16" s="3367"/>
      <c r="AO16" s="3237"/>
      <c r="AP16" s="3367"/>
      <c r="AQ16" s="3237"/>
      <c r="AR16" s="3367"/>
      <c r="AS16" s="3370"/>
      <c r="AT16" s="3367"/>
      <c r="AU16" s="3237"/>
      <c r="AV16" s="3367"/>
      <c r="AW16" s="3237"/>
      <c r="AX16" s="3367"/>
      <c r="AY16" s="3237"/>
      <c r="AZ16" s="245">
        <v>0</v>
      </c>
      <c r="BA16" s="514">
        <v>0</v>
      </c>
      <c r="BB16" s="514">
        <v>0</v>
      </c>
      <c r="BC16" s="504">
        <f>SUM(Y16*1)/W16</f>
        <v>0</v>
      </c>
      <c r="BD16" s="473" t="s">
        <v>424</v>
      </c>
      <c r="BE16" s="3014"/>
      <c r="BF16" s="3387"/>
      <c r="BG16" s="2885"/>
      <c r="BH16" s="3387"/>
      <c r="BI16" s="2885"/>
      <c r="BJ16" s="3390"/>
      <c r="BK16" s="515"/>
      <c r="BL16" s="515"/>
    </row>
    <row r="17" spans="1:62" s="9" customFormat="1" ht="29.25" customHeight="1">
      <c r="A17" s="3345"/>
      <c r="B17" s="3349"/>
      <c r="C17" s="3350"/>
      <c r="D17" s="3013"/>
      <c r="E17" s="3349"/>
      <c r="F17" s="3350"/>
      <c r="G17" s="521" t="s">
        <v>425</v>
      </c>
      <c r="H17" s="522"/>
      <c r="I17" s="522" t="s">
        <v>426</v>
      </c>
      <c r="J17" s="67"/>
      <c r="K17" s="68"/>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row>
    <row r="18" spans="1:256" s="534" customFormat="1" ht="91.5" customHeight="1">
      <c r="A18" s="3345"/>
      <c r="B18" s="3349"/>
      <c r="C18" s="3350"/>
      <c r="D18" s="3013"/>
      <c r="E18" s="3349"/>
      <c r="F18" s="3350"/>
      <c r="G18" s="3012">
        <v>15</v>
      </c>
      <c r="H18" s="3353" t="s">
        <v>427</v>
      </c>
      <c r="I18" s="3354"/>
      <c r="J18" s="246">
        <v>57</v>
      </c>
      <c r="K18" s="242" t="s">
        <v>428</v>
      </c>
      <c r="L18" s="240" t="s">
        <v>37</v>
      </c>
      <c r="M18" s="240">
        <v>12</v>
      </c>
      <c r="N18" s="495">
        <v>12</v>
      </c>
      <c r="O18" s="473" t="s">
        <v>429</v>
      </c>
      <c r="P18" s="523">
        <v>20</v>
      </c>
      <c r="Q18" s="516" t="s">
        <v>430</v>
      </c>
      <c r="R18" s="509">
        <f>+S18/W18*100</f>
        <v>100</v>
      </c>
      <c r="S18" s="497">
        <v>74683904</v>
      </c>
      <c r="T18" s="524" t="s">
        <v>431</v>
      </c>
      <c r="U18" s="511" t="s">
        <v>432</v>
      </c>
      <c r="V18" s="473" t="s">
        <v>433</v>
      </c>
      <c r="W18" s="525">
        <v>74683904</v>
      </c>
      <c r="X18" s="526">
        <v>74683904</v>
      </c>
      <c r="Y18" s="526">
        <v>54164000</v>
      </c>
      <c r="Z18" s="527" t="s">
        <v>434</v>
      </c>
      <c r="AA18" s="473" t="s">
        <v>435</v>
      </c>
      <c r="AB18" s="528">
        <v>37199</v>
      </c>
      <c r="AC18" s="529">
        <v>32324</v>
      </c>
      <c r="AD18" s="528">
        <v>98821</v>
      </c>
      <c r="AE18" s="529">
        <v>35765</v>
      </c>
      <c r="AF18" s="528">
        <v>50922</v>
      </c>
      <c r="AG18" s="529">
        <v>13582</v>
      </c>
      <c r="AH18" s="528"/>
      <c r="AI18" s="529"/>
      <c r="AJ18" s="528"/>
      <c r="AK18" s="529"/>
      <c r="AL18" s="528"/>
      <c r="AM18" s="529"/>
      <c r="AN18" s="528"/>
      <c r="AO18" s="529"/>
      <c r="AP18" s="528"/>
      <c r="AQ18" s="529"/>
      <c r="AR18" s="528"/>
      <c r="AS18" s="529"/>
      <c r="AT18" s="528"/>
      <c r="AU18" s="529"/>
      <c r="AV18" s="528"/>
      <c r="AW18" s="529"/>
      <c r="AX18" s="528"/>
      <c r="AY18" s="529"/>
      <c r="AZ18" s="502">
        <v>6</v>
      </c>
      <c r="BA18" s="503">
        <v>74683904</v>
      </c>
      <c r="BB18" s="503">
        <v>54164000</v>
      </c>
      <c r="BC18" s="504">
        <f>+BB18/BA18</f>
        <v>0.7252432866926721</v>
      </c>
      <c r="BD18" s="502" t="s">
        <v>436</v>
      </c>
      <c r="BE18" s="502" t="s">
        <v>437</v>
      </c>
      <c r="BF18" s="505">
        <v>42402</v>
      </c>
      <c r="BG18" s="506">
        <v>42431</v>
      </c>
      <c r="BH18" s="505">
        <v>42582</v>
      </c>
      <c r="BI18" s="507">
        <v>42676</v>
      </c>
      <c r="BJ18" s="530" t="s">
        <v>438</v>
      </c>
      <c r="BK18" s="531"/>
      <c r="BL18" s="532"/>
      <c r="BM18" s="532"/>
      <c r="BN18" s="532"/>
      <c r="BO18" s="532"/>
      <c r="BP18" s="532"/>
      <c r="BQ18" s="532"/>
      <c r="BR18" s="532"/>
      <c r="BS18" s="532"/>
      <c r="BT18" s="532"/>
      <c r="BU18" s="532"/>
      <c r="BV18" s="532"/>
      <c r="BW18" s="532"/>
      <c r="BX18" s="532"/>
      <c r="BY18" s="532"/>
      <c r="BZ18" s="532"/>
      <c r="CA18" s="532"/>
      <c r="CB18" s="532"/>
      <c r="CC18" s="532"/>
      <c r="CD18" s="532"/>
      <c r="CE18" s="532"/>
      <c r="CF18" s="532"/>
      <c r="CG18" s="532"/>
      <c r="CH18" s="532"/>
      <c r="CI18" s="532"/>
      <c r="CJ18" s="532"/>
      <c r="CK18" s="532"/>
      <c r="CL18" s="532"/>
      <c r="CM18" s="532"/>
      <c r="CN18" s="532"/>
      <c r="CO18" s="532"/>
      <c r="CP18" s="532"/>
      <c r="CQ18" s="532"/>
      <c r="CR18" s="532"/>
      <c r="CS18" s="532"/>
      <c r="CT18" s="532"/>
      <c r="CU18" s="532"/>
      <c r="CV18" s="532"/>
      <c r="CW18" s="532"/>
      <c r="CX18" s="532"/>
      <c r="CY18" s="532"/>
      <c r="CZ18" s="532"/>
      <c r="DA18" s="532"/>
      <c r="DB18" s="532"/>
      <c r="DC18" s="532"/>
      <c r="DD18" s="532"/>
      <c r="DE18" s="532"/>
      <c r="DF18" s="532"/>
      <c r="DG18" s="532"/>
      <c r="DH18" s="532"/>
      <c r="DI18" s="532"/>
      <c r="DJ18" s="532"/>
      <c r="DK18" s="532"/>
      <c r="DL18" s="532"/>
      <c r="DM18" s="532"/>
      <c r="DN18" s="532"/>
      <c r="DO18" s="532"/>
      <c r="DP18" s="532"/>
      <c r="DQ18" s="532"/>
      <c r="DR18" s="532"/>
      <c r="DS18" s="532"/>
      <c r="DT18" s="532"/>
      <c r="DU18" s="532"/>
      <c r="DV18" s="532"/>
      <c r="DW18" s="532"/>
      <c r="DX18" s="532"/>
      <c r="DY18" s="532"/>
      <c r="DZ18" s="532"/>
      <c r="EA18" s="532"/>
      <c r="EB18" s="532"/>
      <c r="EC18" s="532"/>
      <c r="ED18" s="532"/>
      <c r="EE18" s="532"/>
      <c r="EF18" s="532"/>
      <c r="EG18" s="532"/>
      <c r="EH18" s="532"/>
      <c r="EI18" s="532"/>
      <c r="EJ18" s="532"/>
      <c r="EK18" s="532"/>
      <c r="EL18" s="532"/>
      <c r="EM18" s="532"/>
      <c r="EN18" s="532"/>
      <c r="EO18" s="532"/>
      <c r="EP18" s="532"/>
      <c r="EQ18" s="532"/>
      <c r="ER18" s="532"/>
      <c r="ES18" s="532"/>
      <c r="ET18" s="532"/>
      <c r="EU18" s="532"/>
      <c r="EV18" s="532"/>
      <c r="EW18" s="532"/>
      <c r="EX18" s="532"/>
      <c r="EY18" s="532"/>
      <c r="EZ18" s="532"/>
      <c r="FA18" s="532"/>
      <c r="FB18" s="532"/>
      <c r="FC18" s="532"/>
      <c r="FD18" s="532"/>
      <c r="FE18" s="532"/>
      <c r="FF18" s="532"/>
      <c r="FG18" s="532"/>
      <c r="FH18" s="532"/>
      <c r="FI18" s="532"/>
      <c r="FJ18" s="532"/>
      <c r="FK18" s="532"/>
      <c r="FL18" s="532"/>
      <c r="FM18" s="532"/>
      <c r="FN18" s="532"/>
      <c r="FO18" s="532"/>
      <c r="FP18" s="532"/>
      <c r="FQ18" s="532"/>
      <c r="FR18" s="532"/>
      <c r="FS18" s="532"/>
      <c r="FT18" s="532"/>
      <c r="FU18" s="532"/>
      <c r="FV18" s="532"/>
      <c r="FW18" s="532"/>
      <c r="FX18" s="532"/>
      <c r="FY18" s="532"/>
      <c r="FZ18" s="532"/>
      <c r="GA18" s="532"/>
      <c r="GB18" s="532"/>
      <c r="GC18" s="532"/>
      <c r="GD18" s="532"/>
      <c r="GE18" s="532"/>
      <c r="GF18" s="532"/>
      <c r="GG18" s="532"/>
      <c r="GH18" s="532"/>
      <c r="GI18" s="532"/>
      <c r="GJ18" s="532"/>
      <c r="GK18" s="532"/>
      <c r="GL18" s="532"/>
      <c r="GM18" s="532"/>
      <c r="GN18" s="532"/>
      <c r="GO18" s="532"/>
      <c r="GP18" s="532"/>
      <c r="GQ18" s="532"/>
      <c r="GR18" s="532"/>
      <c r="GS18" s="532"/>
      <c r="GT18" s="532"/>
      <c r="GU18" s="532"/>
      <c r="GV18" s="532"/>
      <c r="GW18" s="532"/>
      <c r="GX18" s="532"/>
      <c r="GY18" s="532"/>
      <c r="GZ18" s="532"/>
      <c r="HA18" s="532"/>
      <c r="HB18" s="532"/>
      <c r="HC18" s="532"/>
      <c r="HD18" s="532"/>
      <c r="HE18" s="532"/>
      <c r="HF18" s="532"/>
      <c r="HG18" s="532"/>
      <c r="HH18" s="532"/>
      <c r="HI18" s="532"/>
      <c r="HJ18" s="532"/>
      <c r="HK18" s="532"/>
      <c r="HL18" s="532"/>
      <c r="HM18" s="532"/>
      <c r="HN18" s="532"/>
      <c r="HO18" s="532"/>
      <c r="HP18" s="532"/>
      <c r="HQ18" s="532"/>
      <c r="HR18" s="532"/>
      <c r="HS18" s="532"/>
      <c r="HT18" s="532"/>
      <c r="HU18" s="532"/>
      <c r="HV18" s="532"/>
      <c r="HW18" s="532"/>
      <c r="HX18" s="532"/>
      <c r="HY18" s="532"/>
      <c r="HZ18" s="532"/>
      <c r="IA18" s="532"/>
      <c r="IB18" s="532"/>
      <c r="IC18" s="532"/>
      <c r="ID18" s="532"/>
      <c r="IE18" s="532"/>
      <c r="IF18" s="532"/>
      <c r="IG18" s="532"/>
      <c r="IH18" s="532"/>
      <c r="II18" s="532"/>
      <c r="IJ18" s="532"/>
      <c r="IK18" s="532"/>
      <c r="IL18" s="532"/>
      <c r="IM18" s="532"/>
      <c r="IN18" s="532"/>
      <c r="IO18" s="532"/>
      <c r="IP18" s="532"/>
      <c r="IQ18" s="532"/>
      <c r="IR18" s="532"/>
      <c r="IS18" s="532"/>
      <c r="IT18" s="532"/>
      <c r="IU18" s="532"/>
      <c r="IV18" s="532"/>
    </row>
    <row r="19" spans="1:64" s="517" customFormat="1" ht="89.25" customHeight="1">
      <c r="A19" s="3345"/>
      <c r="B19" s="3349"/>
      <c r="C19" s="3350"/>
      <c r="D19" s="3013"/>
      <c r="E19" s="3349"/>
      <c r="F19" s="3350"/>
      <c r="G19" s="3013"/>
      <c r="H19" s="3355"/>
      <c r="I19" s="3356"/>
      <c r="J19" s="606">
        <v>57</v>
      </c>
      <c r="K19" s="604" t="s">
        <v>428</v>
      </c>
      <c r="L19" s="243" t="s">
        <v>37</v>
      </c>
      <c r="M19" s="243">
        <v>12</v>
      </c>
      <c r="N19" s="495">
        <v>12</v>
      </c>
      <c r="O19" s="3359" t="s">
        <v>439</v>
      </c>
      <c r="P19" s="3012">
        <v>21</v>
      </c>
      <c r="Q19" s="3359" t="s">
        <v>440</v>
      </c>
      <c r="R19" s="535">
        <f>3475836000/5475836000*100</f>
        <v>63.47589664847523</v>
      </c>
      <c r="S19" s="536">
        <v>3478780888</v>
      </c>
      <c r="T19" s="3359" t="s">
        <v>441</v>
      </c>
      <c r="U19" s="3360" t="s">
        <v>442</v>
      </c>
      <c r="V19" s="516" t="s">
        <v>433</v>
      </c>
      <c r="W19" s="537">
        <v>3478780888</v>
      </c>
      <c r="X19" s="538">
        <v>2722588973.64</v>
      </c>
      <c r="Y19" s="538">
        <v>1676312976.74</v>
      </c>
      <c r="Z19" s="527" t="s">
        <v>443</v>
      </c>
      <c r="AA19" s="473" t="s">
        <v>435</v>
      </c>
      <c r="AB19" s="3365">
        <v>37199</v>
      </c>
      <c r="AC19" s="3236">
        <f>SUM(AB19*3%)</f>
        <v>1115.97</v>
      </c>
      <c r="AD19" s="3371" t="s">
        <v>415</v>
      </c>
      <c r="AE19" s="3236">
        <f>SUM(AD19*3%)</f>
        <v>2964.63</v>
      </c>
      <c r="AF19" s="3365">
        <v>50922</v>
      </c>
      <c r="AG19" s="3236">
        <f>SUM(AF19*3%)</f>
        <v>1527.6599999999999</v>
      </c>
      <c r="AH19" s="3365">
        <v>151591</v>
      </c>
      <c r="AI19" s="3236">
        <f>SUM(AH19*3%)</f>
        <v>4547.73</v>
      </c>
      <c r="AJ19" s="3365">
        <v>151591</v>
      </c>
      <c r="AK19" s="3236">
        <f>SUM(AJ19*3%)</f>
        <v>4547.73</v>
      </c>
      <c r="AL19" s="3365">
        <v>71991</v>
      </c>
      <c r="AM19" s="3236">
        <f>SUM(AL19*3%)</f>
        <v>2159.73</v>
      </c>
      <c r="AN19" s="3365">
        <v>12718</v>
      </c>
      <c r="AO19" s="3236">
        <f>SUM(AN19*3%)</f>
        <v>381.53999999999996</v>
      </c>
      <c r="AP19" s="3365">
        <v>2141</v>
      </c>
      <c r="AQ19" s="3236">
        <f>SUM(AP19*3%)</f>
        <v>64.23</v>
      </c>
      <c r="AR19" s="3365"/>
      <c r="AS19" s="3368"/>
      <c r="AT19" s="3365">
        <v>39704</v>
      </c>
      <c r="AU19" s="3236">
        <f>SUM(AT19*3%)</f>
        <v>1191.12</v>
      </c>
      <c r="AV19" s="3365">
        <v>41543</v>
      </c>
      <c r="AW19" s="3236">
        <f>SUM(AV19*3%)</f>
        <v>1246.29</v>
      </c>
      <c r="AX19" s="3365">
        <v>71991</v>
      </c>
      <c r="AY19" s="3236">
        <f>SUM(AX19*3%)</f>
        <v>2159.73</v>
      </c>
      <c r="AZ19" s="502">
        <v>42</v>
      </c>
      <c r="BA19" s="514">
        <f>SUM(X19)</f>
        <v>2722588973.64</v>
      </c>
      <c r="BB19" s="514">
        <f>SUM(Y19)</f>
        <v>1676312976.74</v>
      </c>
      <c r="BC19" s="504">
        <f>SUM(Y19*1)/W19</f>
        <v>0.4818679390019691</v>
      </c>
      <c r="BD19" s="3395" t="s">
        <v>444</v>
      </c>
      <c r="BE19" s="502" t="s">
        <v>445</v>
      </c>
      <c r="BF19" s="505">
        <v>42583</v>
      </c>
      <c r="BG19" s="506">
        <v>42712</v>
      </c>
      <c r="BH19" s="505">
        <v>42735</v>
      </c>
      <c r="BI19" s="506">
        <v>42735</v>
      </c>
      <c r="BJ19" s="539" t="s">
        <v>438</v>
      </c>
      <c r="BK19" s="3397"/>
      <c r="BL19" s="515"/>
    </row>
    <row r="20" spans="1:64" s="517" customFormat="1" ht="107.25" customHeight="1">
      <c r="A20" s="3345"/>
      <c r="B20" s="3349"/>
      <c r="C20" s="3350"/>
      <c r="D20" s="3013"/>
      <c r="E20" s="3349"/>
      <c r="F20" s="3350"/>
      <c r="G20" s="3013"/>
      <c r="H20" s="3355"/>
      <c r="I20" s="3356"/>
      <c r="J20" s="607">
        <v>59</v>
      </c>
      <c r="K20" s="242" t="s">
        <v>446</v>
      </c>
      <c r="L20" s="240" t="s">
        <v>37</v>
      </c>
      <c r="M20" s="2448">
        <v>12</v>
      </c>
      <c r="N20" s="2449">
        <v>10</v>
      </c>
      <c r="O20" s="3360"/>
      <c r="P20" s="3013"/>
      <c r="Q20" s="3360"/>
      <c r="R20" s="535">
        <f>1800000000/5475836000*100</f>
        <v>32.87169301637229</v>
      </c>
      <c r="S20" s="497">
        <f>1800000000+550000000</f>
        <v>2350000000</v>
      </c>
      <c r="T20" s="3360"/>
      <c r="U20" s="3360"/>
      <c r="V20" s="473" t="s">
        <v>447</v>
      </c>
      <c r="W20" s="537">
        <f>SUM(S20)</f>
        <v>2350000000</v>
      </c>
      <c r="X20" s="538">
        <v>1623000000</v>
      </c>
      <c r="Y20" s="538">
        <v>811500000</v>
      </c>
      <c r="Z20" s="527" t="s">
        <v>443</v>
      </c>
      <c r="AA20" s="473" t="s">
        <v>435</v>
      </c>
      <c r="AB20" s="3366"/>
      <c r="AC20" s="3244"/>
      <c r="AD20" s="3372"/>
      <c r="AE20" s="3244"/>
      <c r="AF20" s="3366"/>
      <c r="AG20" s="3244"/>
      <c r="AH20" s="3366"/>
      <c r="AI20" s="3244"/>
      <c r="AJ20" s="3366"/>
      <c r="AK20" s="3244"/>
      <c r="AL20" s="3366"/>
      <c r="AM20" s="3244"/>
      <c r="AN20" s="3366"/>
      <c r="AO20" s="3244"/>
      <c r="AP20" s="3366"/>
      <c r="AQ20" s="3244"/>
      <c r="AR20" s="3366"/>
      <c r="AS20" s="3369"/>
      <c r="AT20" s="3366"/>
      <c r="AU20" s="3244"/>
      <c r="AV20" s="3366"/>
      <c r="AW20" s="3244"/>
      <c r="AX20" s="3366"/>
      <c r="AY20" s="3244"/>
      <c r="AZ20" s="502">
        <v>1</v>
      </c>
      <c r="BA20" s="514">
        <f>SUM(X20)</f>
        <v>1623000000</v>
      </c>
      <c r="BB20" s="514">
        <f>SUM(Y20)</f>
        <v>811500000</v>
      </c>
      <c r="BC20" s="504">
        <f>SUM(Y20*1)/W20</f>
        <v>0.3453191489361702</v>
      </c>
      <c r="BD20" s="3396"/>
      <c r="BE20" s="502" t="s">
        <v>448</v>
      </c>
      <c r="BF20" s="505">
        <v>42583</v>
      </c>
      <c r="BG20" s="506">
        <v>42712</v>
      </c>
      <c r="BH20" s="505">
        <v>42735</v>
      </c>
      <c r="BI20" s="506">
        <v>42735</v>
      </c>
      <c r="BJ20" s="539" t="s">
        <v>438</v>
      </c>
      <c r="BK20" s="3397"/>
      <c r="BL20" s="515"/>
    </row>
    <row r="21" spans="1:64" s="223" customFormat="1" ht="130.5" customHeight="1">
      <c r="A21" s="3345"/>
      <c r="B21" s="3349"/>
      <c r="C21" s="3350"/>
      <c r="D21" s="3013"/>
      <c r="E21" s="3349"/>
      <c r="F21" s="3350"/>
      <c r="G21" s="3013"/>
      <c r="H21" s="3355"/>
      <c r="I21" s="3356"/>
      <c r="J21" s="606">
        <v>61</v>
      </c>
      <c r="K21" s="604" t="s">
        <v>449</v>
      </c>
      <c r="L21" s="243" t="s">
        <v>37</v>
      </c>
      <c r="M21" s="241">
        <v>1</v>
      </c>
      <c r="N21" s="2449">
        <v>2</v>
      </c>
      <c r="O21" s="3360"/>
      <c r="P21" s="3013"/>
      <c r="Q21" s="3360"/>
      <c r="R21" s="535">
        <f>170000000/5475836000*100</f>
        <v>3.1045487848796056</v>
      </c>
      <c r="S21" s="536">
        <v>438000000</v>
      </c>
      <c r="T21" s="3360"/>
      <c r="U21" s="3360"/>
      <c r="V21" s="516" t="s">
        <v>450</v>
      </c>
      <c r="W21" s="540">
        <f>SUM(S21)</f>
        <v>438000000</v>
      </c>
      <c r="X21" s="538">
        <v>77426192</v>
      </c>
      <c r="Y21" s="538">
        <f>55146259</f>
        <v>55146259</v>
      </c>
      <c r="Z21" s="502" t="s">
        <v>451</v>
      </c>
      <c r="AA21" s="511" t="s">
        <v>38</v>
      </c>
      <c r="AB21" s="3366"/>
      <c r="AC21" s="3244"/>
      <c r="AD21" s="3372"/>
      <c r="AE21" s="3244"/>
      <c r="AF21" s="3366"/>
      <c r="AG21" s="3244"/>
      <c r="AH21" s="3366"/>
      <c r="AI21" s="3244"/>
      <c r="AJ21" s="3366"/>
      <c r="AK21" s="3244"/>
      <c r="AL21" s="3366"/>
      <c r="AM21" s="3244"/>
      <c r="AN21" s="3366"/>
      <c r="AO21" s="3244"/>
      <c r="AP21" s="3366"/>
      <c r="AQ21" s="3244"/>
      <c r="AR21" s="3366"/>
      <c r="AS21" s="3369"/>
      <c r="AT21" s="3366"/>
      <c r="AU21" s="3244"/>
      <c r="AV21" s="3366"/>
      <c r="AW21" s="3244"/>
      <c r="AX21" s="3366"/>
      <c r="AY21" s="3244"/>
      <c r="AZ21" s="502">
        <v>4</v>
      </c>
      <c r="BA21" s="514">
        <v>77426000</v>
      </c>
      <c r="BB21" s="514">
        <v>55146000</v>
      </c>
      <c r="BC21" s="504">
        <f>SUM(Y21*1)/W21</f>
        <v>0.12590470091324202</v>
      </c>
      <c r="BD21" s="3395" t="s">
        <v>128</v>
      </c>
      <c r="BE21" s="3395" t="s">
        <v>452</v>
      </c>
      <c r="BF21" s="505">
        <v>42583</v>
      </c>
      <c r="BG21" s="506">
        <v>42712</v>
      </c>
      <c r="BH21" s="505">
        <v>42735</v>
      </c>
      <c r="BI21" s="506">
        <v>42735</v>
      </c>
      <c r="BJ21" s="539" t="s">
        <v>438</v>
      </c>
      <c r="BK21" s="541"/>
      <c r="BL21" s="515"/>
    </row>
    <row r="22" spans="1:64" s="223" customFormat="1" ht="118.5" customHeight="1">
      <c r="A22" s="3346"/>
      <c r="B22" s="3351"/>
      <c r="C22" s="3352"/>
      <c r="D22" s="3013"/>
      <c r="E22" s="3349"/>
      <c r="F22" s="3350"/>
      <c r="G22" s="3013"/>
      <c r="H22" s="3355"/>
      <c r="I22" s="3356"/>
      <c r="J22" s="606">
        <v>62</v>
      </c>
      <c r="K22" s="604" t="s">
        <v>453</v>
      </c>
      <c r="L22" s="243" t="s">
        <v>37</v>
      </c>
      <c r="M22" s="243">
        <v>2</v>
      </c>
      <c r="N22" s="495">
        <v>2</v>
      </c>
      <c r="O22" s="3361"/>
      <c r="P22" s="3014"/>
      <c r="Q22" s="3361"/>
      <c r="R22" s="542">
        <f>30000000/5475836000*100</f>
        <v>0.5478615502728715</v>
      </c>
      <c r="S22" s="536">
        <v>30000000</v>
      </c>
      <c r="T22" s="3361"/>
      <c r="U22" s="3361"/>
      <c r="V22" s="516" t="s">
        <v>453</v>
      </c>
      <c r="W22" s="540">
        <v>30000000</v>
      </c>
      <c r="X22" s="538">
        <v>0</v>
      </c>
      <c r="Y22" s="538">
        <v>0</v>
      </c>
      <c r="Z22" s="543">
        <v>20</v>
      </c>
      <c r="AA22" s="511" t="s">
        <v>38</v>
      </c>
      <c r="AB22" s="3367"/>
      <c r="AC22" s="3237"/>
      <c r="AD22" s="3373"/>
      <c r="AE22" s="3237"/>
      <c r="AF22" s="3367"/>
      <c r="AG22" s="3237"/>
      <c r="AH22" s="3367"/>
      <c r="AI22" s="3237"/>
      <c r="AJ22" s="3367"/>
      <c r="AK22" s="3237"/>
      <c r="AL22" s="3367"/>
      <c r="AM22" s="3237"/>
      <c r="AN22" s="3367"/>
      <c r="AO22" s="3237"/>
      <c r="AP22" s="3367"/>
      <c r="AQ22" s="3237"/>
      <c r="AR22" s="3367"/>
      <c r="AS22" s="3370"/>
      <c r="AT22" s="3367"/>
      <c r="AU22" s="3237"/>
      <c r="AV22" s="3367"/>
      <c r="AW22" s="3237"/>
      <c r="AX22" s="3367"/>
      <c r="AY22" s="3237"/>
      <c r="AZ22" s="502">
        <v>0</v>
      </c>
      <c r="BA22" s="514">
        <v>0</v>
      </c>
      <c r="BB22" s="514">
        <v>0</v>
      </c>
      <c r="BC22" s="504">
        <v>0</v>
      </c>
      <c r="BD22" s="3396"/>
      <c r="BE22" s="3396"/>
      <c r="BF22" s="505">
        <v>42583</v>
      </c>
      <c r="BG22" s="506">
        <v>42712</v>
      </c>
      <c r="BH22" s="505">
        <v>42735</v>
      </c>
      <c r="BI22" s="506">
        <v>42735</v>
      </c>
      <c r="BJ22" s="539" t="s">
        <v>438</v>
      </c>
      <c r="BK22" s="515"/>
      <c r="BL22" s="515"/>
    </row>
    <row r="23" spans="1:62" s="9" customFormat="1" ht="29.25" customHeight="1">
      <c r="A23" s="114" t="s">
        <v>454</v>
      </c>
      <c r="B23" s="61"/>
      <c r="C23" s="61" t="s">
        <v>455</v>
      </c>
      <c r="D23" s="61"/>
      <c r="E23" s="61"/>
      <c r="F23" s="61"/>
      <c r="G23" s="61"/>
      <c r="H23" s="61"/>
      <c r="I23" s="61"/>
      <c r="J23" s="61"/>
      <c r="K23" s="62"/>
      <c r="L23" s="61"/>
      <c r="M23" s="61"/>
      <c r="N23" s="169"/>
      <c r="O23" s="61"/>
      <c r="P23" s="61"/>
      <c r="Q23" s="61"/>
      <c r="R23" s="61"/>
      <c r="S23" s="61"/>
      <c r="T23" s="61"/>
      <c r="U23" s="61"/>
      <c r="V23" s="61"/>
      <c r="W23" s="61"/>
      <c r="X23" s="544"/>
      <c r="Y23" s="169"/>
      <c r="Z23" s="61"/>
      <c r="AA23" s="61"/>
      <c r="AB23" s="61"/>
      <c r="AC23" s="169"/>
      <c r="AD23" s="61"/>
      <c r="AE23" s="169"/>
      <c r="AF23" s="61"/>
      <c r="AG23" s="169"/>
      <c r="AH23" s="61"/>
      <c r="AI23" s="169"/>
      <c r="AJ23" s="61"/>
      <c r="AK23" s="169"/>
      <c r="AL23" s="61"/>
      <c r="AM23" s="169"/>
      <c r="AN23" s="61"/>
      <c r="AO23" s="169"/>
      <c r="AP23" s="61"/>
      <c r="AQ23" s="169"/>
      <c r="AR23" s="61"/>
      <c r="AS23" s="169"/>
      <c r="AT23" s="61"/>
      <c r="AU23" s="169"/>
      <c r="AV23" s="61"/>
      <c r="AW23" s="169"/>
      <c r="AX23" s="61"/>
      <c r="AY23" s="169"/>
      <c r="AZ23" s="169"/>
      <c r="BA23" s="61"/>
      <c r="BB23" s="61"/>
      <c r="BC23" s="61"/>
      <c r="BD23" s="61"/>
      <c r="BE23" s="61"/>
      <c r="BF23" s="61"/>
      <c r="BG23" s="169"/>
      <c r="BH23" s="61"/>
      <c r="BI23" s="169"/>
      <c r="BJ23" s="66"/>
    </row>
    <row r="24" spans="1:62" s="9" customFormat="1" ht="29.25" customHeight="1">
      <c r="A24" s="3401"/>
      <c r="B24" s="545"/>
      <c r="C24" s="546"/>
      <c r="D24" s="547" t="s">
        <v>456</v>
      </c>
      <c r="E24" s="3398" t="s">
        <v>457</v>
      </c>
      <c r="F24" s="3398"/>
      <c r="G24" s="3374"/>
      <c r="H24" s="3374"/>
      <c r="I24" s="3374"/>
      <c r="J24" s="3374"/>
      <c r="K24" s="3374"/>
      <c r="L24" s="3374"/>
      <c r="M24" s="48"/>
      <c r="N24" s="170"/>
      <c r="O24" s="48"/>
      <c r="P24" s="48"/>
      <c r="Q24" s="48"/>
      <c r="R24" s="48"/>
      <c r="S24" s="48"/>
      <c r="T24" s="48"/>
      <c r="U24" s="48"/>
      <c r="V24" s="48"/>
      <c r="W24" s="48"/>
      <c r="X24" s="170"/>
      <c r="Y24" s="170"/>
      <c r="Z24" s="48"/>
      <c r="AA24" s="48"/>
      <c r="AB24" s="48"/>
      <c r="AC24" s="170"/>
      <c r="AD24" s="48"/>
      <c r="AE24" s="170"/>
      <c r="AF24" s="48"/>
      <c r="AG24" s="170"/>
      <c r="AH24" s="48"/>
      <c r="AI24" s="170"/>
      <c r="AJ24" s="48"/>
      <c r="AK24" s="170"/>
      <c r="AL24" s="48"/>
      <c r="AM24" s="170"/>
      <c r="AN24" s="48"/>
      <c r="AO24" s="170"/>
      <c r="AP24" s="48"/>
      <c r="AQ24" s="170"/>
      <c r="AR24" s="48"/>
      <c r="AS24" s="170"/>
      <c r="AT24" s="48"/>
      <c r="AU24" s="170"/>
      <c r="AV24" s="48"/>
      <c r="AW24" s="170"/>
      <c r="AX24" s="48"/>
      <c r="AY24" s="170"/>
      <c r="AZ24" s="170"/>
      <c r="BA24" s="48"/>
      <c r="BB24" s="48"/>
      <c r="BC24" s="48"/>
      <c r="BD24" s="48"/>
      <c r="BE24" s="48"/>
      <c r="BF24" s="48"/>
      <c r="BG24" s="170"/>
      <c r="BH24" s="48"/>
      <c r="BI24" s="170"/>
      <c r="BJ24" s="104"/>
    </row>
    <row r="25" spans="1:62" s="9" customFormat="1" ht="29.25" customHeight="1">
      <c r="A25" s="3401"/>
      <c r="B25" s="545"/>
      <c r="C25" s="546"/>
      <c r="D25" s="548"/>
      <c r="E25" s="549"/>
      <c r="F25" s="549"/>
      <c r="G25" s="550" t="s">
        <v>395</v>
      </c>
      <c r="H25" s="3399" t="s">
        <v>458</v>
      </c>
      <c r="I25" s="3399"/>
      <c r="J25" s="3400"/>
      <c r="K25" s="3400"/>
      <c r="L25" s="3400"/>
      <c r="M25" s="67"/>
      <c r="N25" s="171"/>
      <c r="O25" s="67"/>
      <c r="P25" s="67"/>
      <c r="Q25" s="67"/>
      <c r="R25" s="67"/>
      <c r="S25" s="67"/>
      <c r="T25" s="67"/>
      <c r="U25" s="67"/>
      <c r="V25" s="67"/>
      <c r="W25" s="67"/>
      <c r="X25" s="171"/>
      <c r="Y25" s="171"/>
      <c r="Z25" s="67"/>
      <c r="AA25" s="67"/>
      <c r="AB25" s="67"/>
      <c r="AC25" s="171"/>
      <c r="AD25" s="67"/>
      <c r="AE25" s="171"/>
      <c r="AF25" s="67"/>
      <c r="AG25" s="171"/>
      <c r="AH25" s="67"/>
      <c r="AI25" s="171"/>
      <c r="AJ25" s="67"/>
      <c r="AK25" s="171"/>
      <c r="AL25" s="67"/>
      <c r="AM25" s="171"/>
      <c r="AN25" s="67"/>
      <c r="AO25" s="171"/>
      <c r="AP25" s="67"/>
      <c r="AQ25" s="171"/>
      <c r="AR25" s="67"/>
      <c r="AS25" s="171"/>
      <c r="AT25" s="67"/>
      <c r="AU25" s="171"/>
      <c r="AV25" s="67"/>
      <c r="AW25" s="171"/>
      <c r="AX25" s="67"/>
      <c r="AY25" s="171"/>
      <c r="AZ25" s="67"/>
      <c r="BA25" s="67"/>
      <c r="BB25" s="67"/>
      <c r="BC25" s="67"/>
      <c r="BD25" s="67"/>
      <c r="BE25" s="67"/>
      <c r="BF25" s="67"/>
      <c r="BG25" s="171"/>
      <c r="BH25" s="67"/>
      <c r="BI25" s="171"/>
      <c r="BJ25" s="115"/>
    </row>
    <row r="26" spans="1:62" ht="90.75" customHeight="1">
      <c r="A26" s="3401"/>
      <c r="B26" s="545"/>
      <c r="C26" s="546"/>
      <c r="D26" s="548"/>
      <c r="E26" s="3393"/>
      <c r="F26" s="3393"/>
      <c r="G26" s="239"/>
      <c r="H26" s="3394"/>
      <c r="I26" s="3394"/>
      <c r="J26" s="246">
        <v>9</v>
      </c>
      <c r="K26" s="242" t="s">
        <v>459</v>
      </c>
      <c r="L26" s="243" t="s">
        <v>460</v>
      </c>
      <c r="M26" s="551">
        <v>5</v>
      </c>
      <c r="N26" s="636">
        <v>0</v>
      </c>
      <c r="O26" s="552" t="s">
        <v>461</v>
      </c>
      <c r="P26" s="474">
        <v>22</v>
      </c>
      <c r="Q26" s="473" t="s">
        <v>462</v>
      </c>
      <c r="R26" s="523">
        <v>100</v>
      </c>
      <c r="S26" s="755">
        <v>315982283</v>
      </c>
      <c r="T26" s="516" t="s">
        <v>463</v>
      </c>
      <c r="U26" s="516" t="s">
        <v>463</v>
      </c>
      <c r="V26" s="511" t="s">
        <v>464</v>
      </c>
      <c r="W26" s="553">
        <v>315982283</v>
      </c>
      <c r="X26" s="554">
        <v>0</v>
      </c>
      <c r="Y26" s="554">
        <v>0</v>
      </c>
      <c r="Z26" s="543">
        <v>90</v>
      </c>
      <c r="AA26" s="511" t="s">
        <v>465</v>
      </c>
      <c r="AB26" s="555">
        <v>64149</v>
      </c>
      <c r="AC26" s="555"/>
      <c r="AD26" s="555" t="s">
        <v>137</v>
      </c>
      <c r="AE26" s="555"/>
      <c r="AF26" s="555">
        <v>27477</v>
      </c>
      <c r="AG26" s="555"/>
      <c r="AH26" s="555">
        <v>86846</v>
      </c>
      <c r="AI26" s="555"/>
      <c r="AJ26" s="555">
        <v>236429</v>
      </c>
      <c r="AK26" s="555"/>
      <c r="AL26" s="555">
        <v>81398</v>
      </c>
      <c r="AM26" s="555"/>
      <c r="AN26" s="555">
        <v>1817</v>
      </c>
      <c r="AO26" s="555"/>
      <c r="AP26" s="555">
        <v>13208</v>
      </c>
      <c r="AQ26" s="555"/>
      <c r="AR26" s="555">
        <v>31</v>
      </c>
      <c r="AS26" s="555"/>
      <c r="AT26" s="555">
        <v>520</v>
      </c>
      <c r="AU26" s="555"/>
      <c r="AV26" s="555">
        <v>16897</v>
      </c>
      <c r="AW26" s="555"/>
      <c r="AX26" s="556">
        <v>0.09</v>
      </c>
      <c r="AY26" s="557"/>
      <c r="AZ26" s="902">
        <v>0</v>
      </c>
      <c r="BA26" s="638">
        <v>0</v>
      </c>
      <c r="BB26" s="638">
        <v>0</v>
      </c>
      <c r="BC26" s="559">
        <v>0</v>
      </c>
      <c r="BD26" s="511" t="s">
        <v>465</v>
      </c>
      <c r="BE26" s="558" t="s">
        <v>844</v>
      </c>
      <c r="BF26" s="560">
        <v>42583</v>
      </c>
      <c r="BG26" s="561">
        <v>42735</v>
      </c>
      <c r="BH26" s="560">
        <v>42735</v>
      </c>
      <c r="BI26" s="561"/>
      <c r="BJ26" s="562" t="s">
        <v>438</v>
      </c>
    </row>
    <row r="27" spans="1:62" ht="105.75" customHeight="1">
      <c r="A27" s="3401"/>
      <c r="B27" s="545"/>
      <c r="C27" s="546"/>
      <c r="D27" s="548"/>
      <c r="E27" s="3393"/>
      <c r="F27" s="3393"/>
      <c r="G27" s="239"/>
      <c r="H27" s="3394"/>
      <c r="I27" s="3394"/>
      <c r="J27" s="246">
        <v>9</v>
      </c>
      <c r="K27" s="242" t="s">
        <v>459</v>
      </c>
      <c r="L27" s="243" t="s">
        <v>466</v>
      </c>
      <c r="M27" s="543">
        <v>5</v>
      </c>
      <c r="N27" s="636">
        <v>4</v>
      </c>
      <c r="O27" s="552" t="s">
        <v>467</v>
      </c>
      <c r="P27" s="474">
        <v>23</v>
      </c>
      <c r="Q27" s="473" t="s">
        <v>468</v>
      </c>
      <c r="R27" s="523">
        <v>100</v>
      </c>
      <c r="S27" s="474">
        <v>438933783.48</v>
      </c>
      <c r="T27" s="516" t="s">
        <v>469</v>
      </c>
      <c r="U27" s="511" t="s">
        <v>470</v>
      </c>
      <c r="V27" s="511" t="s">
        <v>471</v>
      </c>
      <c r="W27" s="552">
        <v>438933783.48</v>
      </c>
      <c r="X27" s="554">
        <v>438933783</v>
      </c>
      <c r="Y27" s="554">
        <v>438933783</v>
      </c>
      <c r="Z27" s="543">
        <v>27</v>
      </c>
      <c r="AA27" s="511" t="s">
        <v>465</v>
      </c>
      <c r="AB27" s="555">
        <v>64149</v>
      </c>
      <c r="AC27" s="555"/>
      <c r="AD27" s="555" t="s">
        <v>137</v>
      </c>
      <c r="AE27" s="555"/>
      <c r="AF27" s="555">
        <v>27477</v>
      </c>
      <c r="AG27" s="555"/>
      <c r="AH27" s="555">
        <v>86846</v>
      </c>
      <c r="AI27" s="555"/>
      <c r="AJ27" s="555">
        <v>236429</v>
      </c>
      <c r="AK27" s="555"/>
      <c r="AL27" s="555">
        <v>81398</v>
      </c>
      <c r="AM27" s="555"/>
      <c r="AN27" s="555">
        <v>1817</v>
      </c>
      <c r="AO27" s="555"/>
      <c r="AP27" s="555">
        <v>13208</v>
      </c>
      <c r="AQ27" s="555"/>
      <c r="AR27" s="555">
        <v>31</v>
      </c>
      <c r="AS27" s="555"/>
      <c r="AT27" s="555">
        <v>520</v>
      </c>
      <c r="AU27" s="555"/>
      <c r="AV27" s="555">
        <v>16897</v>
      </c>
      <c r="AW27" s="555"/>
      <c r="AX27" s="556">
        <v>0.09</v>
      </c>
      <c r="AY27" s="557"/>
      <c r="AZ27" s="903" t="s">
        <v>866</v>
      </c>
      <c r="BA27" s="638">
        <v>438933783.48</v>
      </c>
      <c r="BB27" s="638">
        <v>438933783.48</v>
      </c>
      <c r="BC27" s="559">
        <f>+X27/W27</f>
        <v>0.999999998906441</v>
      </c>
      <c r="BD27" s="511" t="s">
        <v>465</v>
      </c>
      <c r="BE27" s="558" t="s">
        <v>844</v>
      </c>
      <c r="BF27" s="560">
        <v>42583</v>
      </c>
      <c r="BG27" s="561">
        <v>42735</v>
      </c>
      <c r="BH27" s="560">
        <v>42735</v>
      </c>
      <c r="BI27" s="561"/>
      <c r="BJ27" s="562" t="s">
        <v>438</v>
      </c>
    </row>
    <row r="28" spans="1:62" ht="136.5" customHeight="1">
      <c r="A28" s="3401"/>
      <c r="B28" s="545"/>
      <c r="C28" s="546"/>
      <c r="D28" s="548"/>
      <c r="E28" s="3393"/>
      <c r="F28" s="3393"/>
      <c r="G28" s="239"/>
      <c r="H28" s="3394"/>
      <c r="I28" s="3394"/>
      <c r="J28" s="246">
        <v>10</v>
      </c>
      <c r="K28" s="242" t="s">
        <v>472</v>
      </c>
      <c r="L28" s="243" t="s">
        <v>473</v>
      </c>
      <c r="M28" s="543">
        <v>5</v>
      </c>
      <c r="N28" s="636">
        <v>5</v>
      </c>
      <c r="O28" s="552" t="s">
        <v>474</v>
      </c>
      <c r="P28" s="474">
        <v>24</v>
      </c>
      <c r="Q28" s="473" t="s">
        <v>475</v>
      </c>
      <c r="R28" s="523">
        <v>100</v>
      </c>
      <c r="S28" s="474">
        <v>50286511.96</v>
      </c>
      <c r="T28" s="516" t="s">
        <v>476</v>
      </c>
      <c r="U28" s="516" t="s">
        <v>477</v>
      </c>
      <c r="V28" s="511" t="s">
        <v>478</v>
      </c>
      <c r="W28" s="552">
        <v>50286511.96</v>
      </c>
      <c r="X28" s="563">
        <v>50286511</v>
      </c>
      <c r="Y28" s="563">
        <v>50286511</v>
      </c>
      <c r="Z28" s="543">
        <v>27</v>
      </c>
      <c r="AA28" s="511" t="s">
        <v>465</v>
      </c>
      <c r="AB28" s="555">
        <v>64149</v>
      </c>
      <c r="AC28" s="555"/>
      <c r="AD28" s="555" t="s">
        <v>137</v>
      </c>
      <c r="AE28" s="555"/>
      <c r="AF28" s="555">
        <v>27477</v>
      </c>
      <c r="AG28" s="555"/>
      <c r="AH28" s="555">
        <v>86846</v>
      </c>
      <c r="AI28" s="555"/>
      <c r="AJ28" s="555">
        <v>236429</v>
      </c>
      <c r="AK28" s="555"/>
      <c r="AL28" s="555">
        <v>81398</v>
      </c>
      <c r="AM28" s="555"/>
      <c r="AN28" s="555">
        <v>1817</v>
      </c>
      <c r="AO28" s="555"/>
      <c r="AP28" s="555">
        <v>13208</v>
      </c>
      <c r="AQ28" s="555"/>
      <c r="AR28" s="555">
        <v>31</v>
      </c>
      <c r="AS28" s="555"/>
      <c r="AT28" s="555">
        <v>520</v>
      </c>
      <c r="AU28" s="555"/>
      <c r="AV28" s="555">
        <v>16897</v>
      </c>
      <c r="AW28" s="555"/>
      <c r="AX28" s="556">
        <v>0.09</v>
      </c>
      <c r="AY28" s="557"/>
      <c r="AZ28" s="904" t="s">
        <v>867</v>
      </c>
      <c r="BA28" s="552">
        <v>50286511.96</v>
      </c>
      <c r="BB28" s="552">
        <v>50286511.96</v>
      </c>
      <c r="BC28" s="559">
        <f>+X28/W28</f>
        <v>0.9999999809093937</v>
      </c>
      <c r="BD28" s="511" t="s">
        <v>465</v>
      </c>
      <c r="BE28" s="558" t="s">
        <v>844</v>
      </c>
      <c r="BF28" s="560">
        <v>42583</v>
      </c>
      <c r="BG28" s="561">
        <v>42735</v>
      </c>
      <c r="BH28" s="560">
        <v>42735</v>
      </c>
      <c r="BI28" s="561"/>
      <c r="BJ28" s="562" t="s">
        <v>438</v>
      </c>
    </row>
    <row r="29" spans="1:62" ht="290.25" customHeight="1">
      <c r="A29" s="3401"/>
      <c r="B29" s="545"/>
      <c r="C29" s="546"/>
      <c r="D29" s="548"/>
      <c r="E29" s="3393"/>
      <c r="F29" s="3393"/>
      <c r="G29" s="239"/>
      <c r="H29" s="3394"/>
      <c r="I29" s="3394"/>
      <c r="J29" s="246">
        <v>11</v>
      </c>
      <c r="K29" s="242" t="s">
        <v>479</v>
      </c>
      <c r="L29" s="245" t="s">
        <v>480</v>
      </c>
      <c r="M29" s="543">
        <v>1</v>
      </c>
      <c r="N29" s="636">
        <v>0</v>
      </c>
      <c r="O29" s="552" t="s">
        <v>481</v>
      </c>
      <c r="P29" s="474">
        <v>25</v>
      </c>
      <c r="Q29" s="473" t="s">
        <v>482</v>
      </c>
      <c r="R29" s="523">
        <v>100</v>
      </c>
      <c r="S29" s="474">
        <v>330943049.29</v>
      </c>
      <c r="T29" s="516" t="s">
        <v>483</v>
      </c>
      <c r="U29" s="516" t="s">
        <v>484</v>
      </c>
      <c r="V29" s="511" t="s">
        <v>485</v>
      </c>
      <c r="W29" s="552">
        <v>330943049.29</v>
      </c>
      <c r="X29" s="554">
        <v>330943049</v>
      </c>
      <c r="Y29" s="554">
        <v>330943049</v>
      </c>
      <c r="Z29" s="543">
        <v>27</v>
      </c>
      <c r="AA29" s="511" t="s">
        <v>465</v>
      </c>
      <c r="AB29" s="555">
        <v>64149</v>
      </c>
      <c r="AC29" s="555"/>
      <c r="AD29" s="555" t="s">
        <v>137</v>
      </c>
      <c r="AE29" s="555"/>
      <c r="AF29" s="555">
        <v>27477</v>
      </c>
      <c r="AG29" s="555"/>
      <c r="AH29" s="555">
        <v>86846</v>
      </c>
      <c r="AI29" s="555"/>
      <c r="AJ29" s="555">
        <v>236429</v>
      </c>
      <c r="AK29" s="555"/>
      <c r="AL29" s="555">
        <v>81398</v>
      </c>
      <c r="AM29" s="555"/>
      <c r="AN29" s="555">
        <v>1817</v>
      </c>
      <c r="AO29" s="555"/>
      <c r="AP29" s="555">
        <v>13208</v>
      </c>
      <c r="AQ29" s="555"/>
      <c r="AR29" s="555">
        <v>31</v>
      </c>
      <c r="AS29" s="555"/>
      <c r="AT29" s="555">
        <v>520</v>
      </c>
      <c r="AU29" s="555"/>
      <c r="AV29" s="555">
        <v>16897</v>
      </c>
      <c r="AW29" s="555"/>
      <c r="AX29" s="556">
        <v>0.09</v>
      </c>
      <c r="AY29" s="557"/>
      <c r="AZ29" s="903" t="s">
        <v>866</v>
      </c>
      <c r="BA29" s="638">
        <v>330943049.29</v>
      </c>
      <c r="BB29" s="638">
        <v>330943049.29</v>
      </c>
      <c r="BC29" s="559">
        <f>+X29/W29</f>
        <v>0.9999999991237163</v>
      </c>
      <c r="BD29" s="511" t="s">
        <v>465</v>
      </c>
      <c r="BE29" s="558" t="s">
        <v>844</v>
      </c>
      <c r="BF29" s="560">
        <v>42583</v>
      </c>
      <c r="BG29" s="561">
        <v>42735</v>
      </c>
      <c r="BH29" s="560">
        <v>42735</v>
      </c>
      <c r="BI29" s="561"/>
      <c r="BJ29" s="562" t="s">
        <v>438</v>
      </c>
    </row>
    <row r="30" spans="1:62" ht="46.5" customHeight="1">
      <c r="A30" s="3401"/>
      <c r="B30" s="545"/>
      <c r="C30" s="546"/>
      <c r="D30" s="3350"/>
      <c r="E30" s="3393"/>
      <c r="F30" s="3393"/>
      <c r="G30" s="3013"/>
      <c r="H30" s="3394"/>
      <c r="I30" s="3394"/>
      <c r="J30" s="2929">
        <v>12</v>
      </c>
      <c r="K30" s="2910" t="s">
        <v>486</v>
      </c>
      <c r="L30" s="2905" t="s">
        <v>487</v>
      </c>
      <c r="M30" s="3395">
        <v>3</v>
      </c>
      <c r="N30" s="3131">
        <v>1</v>
      </c>
      <c r="O30" s="3407" t="s">
        <v>488</v>
      </c>
      <c r="P30" s="3409">
        <v>26</v>
      </c>
      <c r="Q30" s="3359" t="s">
        <v>489</v>
      </c>
      <c r="R30" s="3012">
        <v>100</v>
      </c>
      <c r="S30" s="3407">
        <v>1051663049.29</v>
      </c>
      <c r="T30" s="3359" t="s">
        <v>490</v>
      </c>
      <c r="U30" s="3359" t="s">
        <v>491</v>
      </c>
      <c r="V30" s="511" t="s">
        <v>492</v>
      </c>
      <c r="W30" s="552">
        <v>720720000</v>
      </c>
      <c r="X30" s="563">
        <v>720720000</v>
      </c>
      <c r="Y30" s="563">
        <v>720720000</v>
      </c>
      <c r="Z30" s="3395">
        <v>27</v>
      </c>
      <c r="AA30" s="3359" t="s">
        <v>465</v>
      </c>
      <c r="AB30" s="3395">
        <v>64149</v>
      </c>
      <c r="AC30" s="3395"/>
      <c r="AD30" s="3395" t="s">
        <v>137</v>
      </c>
      <c r="AE30" s="3395"/>
      <c r="AF30" s="3395">
        <v>27477</v>
      </c>
      <c r="AG30" s="3395"/>
      <c r="AH30" s="3395">
        <v>86846</v>
      </c>
      <c r="AI30" s="3395"/>
      <c r="AJ30" s="3395">
        <v>236429</v>
      </c>
      <c r="AK30" s="3395"/>
      <c r="AL30" s="3395">
        <v>81398</v>
      </c>
      <c r="AM30" s="3395"/>
      <c r="AN30" s="3395">
        <v>1817</v>
      </c>
      <c r="AO30" s="3395"/>
      <c r="AP30" s="3395">
        <v>13208</v>
      </c>
      <c r="AQ30" s="3395"/>
      <c r="AR30" s="3395">
        <v>31</v>
      </c>
      <c r="AS30" s="3395"/>
      <c r="AT30" s="3395">
        <v>520</v>
      </c>
      <c r="AU30" s="3395"/>
      <c r="AV30" s="3395">
        <v>16897</v>
      </c>
      <c r="AW30" s="3395"/>
      <c r="AX30" s="3403">
        <v>0.09</v>
      </c>
      <c r="AY30" s="3405"/>
      <c r="AZ30" s="905" t="str">
        <f>+V30</f>
        <v>Grupo gestor del PAP-PDA </v>
      </c>
      <c r="BA30" s="552">
        <v>720720000</v>
      </c>
      <c r="BB30" s="552">
        <v>720720000</v>
      </c>
      <c r="BC30" s="3413">
        <v>1</v>
      </c>
      <c r="BD30" s="3359" t="s">
        <v>465</v>
      </c>
      <c r="BE30" s="558" t="s">
        <v>844</v>
      </c>
      <c r="BF30" s="3385">
        <v>42583</v>
      </c>
      <c r="BG30" s="561">
        <v>42735</v>
      </c>
      <c r="BH30" s="3385">
        <v>42735</v>
      </c>
      <c r="BI30" s="564"/>
      <c r="BJ30" s="3388" t="s">
        <v>438</v>
      </c>
    </row>
    <row r="31" spans="1:62" ht="83.25" customHeight="1">
      <c r="A31" s="3401"/>
      <c r="B31" s="545"/>
      <c r="C31" s="546"/>
      <c r="D31" s="3350"/>
      <c r="E31" s="3393"/>
      <c r="F31" s="3393"/>
      <c r="G31" s="3013"/>
      <c r="H31" s="3394"/>
      <c r="I31" s="3394"/>
      <c r="J31" s="2929"/>
      <c r="K31" s="3293"/>
      <c r="L31" s="2941"/>
      <c r="M31" s="3396"/>
      <c r="N31" s="3167"/>
      <c r="O31" s="3408"/>
      <c r="P31" s="3410"/>
      <c r="Q31" s="3361"/>
      <c r="R31" s="3014"/>
      <c r="S31" s="3408"/>
      <c r="T31" s="3361"/>
      <c r="U31" s="3361"/>
      <c r="V31" s="511" t="s">
        <v>493</v>
      </c>
      <c r="W31" s="552">
        <v>330943049</v>
      </c>
      <c r="X31" s="554">
        <v>330943049</v>
      </c>
      <c r="Y31" s="554">
        <v>330943049</v>
      </c>
      <c r="Z31" s="3396"/>
      <c r="AA31" s="3361"/>
      <c r="AB31" s="3396"/>
      <c r="AC31" s="3396"/>
      <c r="AD31" s="3396"/>
      <c r="AE31" s="3396"/>
      <c r="AF31" s="3396"/>
      <c r="AG31" s="3396"/>
      <c r="AH31" s="3396"/>
      <c r="AI31" s="3396"/>
      <c r="AJ31" s="3396"/>
      <c r="AK31" s="3396"/>
      <c r="AL31" s="3396"/>
      <c r="AM31" s="3396"/>
      <c r="AN31" s="3396"/>
      <c r="AO31" s="3396"/>
      <c r="AP31" s="3396"/>
      <c r="AQ31" s="3396"/>
      <c r="AR31" s="3396"/>
      <c r="AS31" s="3396"/>
      <c r="AT31" s="3396"/>
      <c r="AU31" s="3396"/>
      <c r="AV31" s="3396"/>
      <c r="AW31" s="3396"/>
      <c r="AX31" s="3404"/>
      <c r="AY31" s="3406"/>
      <c r="AZ31" s="906" t="str">
        <f>+V31</f>
        <v>Promover esquemas empresariales sostenibles en el corto, mediano y largo plazo. </v>
      </c>
      <c r="BA31" s="638">
        <v>330943049</v>
      </c>
      <c r="BB31" s="638">
        <v>330943049</v>
      </c>
      <c r="BC31" s="3414"/>
      <c r="BD31" s="3361"/>
      <c r="BE31" s="558" t="s">
        <v>844</v>
      </c>
      <c r="BF31" s="3387"/>
      <c r="BG31" s="561">
        <v>42735</v>
      </c>
      <c r="BH31" s="3387"/>
      <c r="BI31" s="561"/>
      <c r="BJ31" s="3390"/>
    </row>
    <row r="32" spans="1:62" ht="159.75" customHeight="1">
      <c r="A32" s="3402"/>
      <c r="B32" s="565"/>
      <c r="C32" s="566"/>
      <c r="D32" s="567"/>
      <c r="E32" s="3411"/>
      <c r="F32" s="3411"/>
      <c r="G32" s="238"/>
      <c r="H32" s="3412"/>
      <c r="I32" s="3412"/>
      <c r="J32" s="246">
        <v>13</v>
      </c>
      <c r="K32" s="242" t="s">
        <v>494</v>
      </c>
      <c r="L32" s="243" t="s">
        <v>495</v>
      </c>
      <c r="M32" s="551">
        <v>1</v>
      </c>
      <c r="N32" s="636">
        <v>0</v>
      </c>
      <c r="O32" s="552" t="s">
        <v>496</v>
      </c>
      <c r="P32" s="474">
        <v>27</v>
      </c>
      <c r="Q32" s="473" t="s">
        <v>497</v>
      </c>
      <c r="R32" s="523">
        <v>100</v>
      </c>
      <c r="S32" s="552">
        <v>270132263.98</v>
      </c>
      <c r="T32" s="516" t="s">
        <v>498</v>
      </c>
      <c r="U32" s="516" t="s">
        <v>499</v>
      </c>
      <c r="V32" s="511" t="s">
        <v>500</v>
      </c>
      <c r="W32" s="552">
        <v>270132263.98</v>
      </c>
      <c r="X32" s="554">
        <v>270132263</v>
      </c>
      <c r="Y32" s="554">
        <v>270132263</v>
      </c>
      <c r="Z32" s="543">
        <v>27</v>
      </c>
      <c r="AA32" s="511" t="s">
        <v>465</v>
      </c>
      <c r="AB32" s="555">
        <v>64149</v>
      </c>
      <c r="AC32" s="555"/>
      <c r="AD32" s="555" t="s">
        <v>137</v>
      </c>
      <c r="AE32" s="555"/>
      <c r="AF32" s="555">
        <v>27477</v>
      </c>
      <c r="AG32" s="555"/>
      <c r="AH32" s="555">
        <v>86846</v>
      </c>
      <c r="AI32" s="555"/>
      <c r="AJ32" s="555">
        <v>236429</v>
      </c>
      <c r="AK32" s="555"/>
      <c r="AL32" s="555">
        <v>81398</v>
      </c>
      <c r="AM32" s="555"/>
      <c r="AN32" s="555">
        <v>1817</v>
      </c>
      <c r="AO32" s="555"/>
      <c r="AP32" s="555">
        <v>13208</v>
      </c>
      <c r="AQ32" s="555"/>
      <c r="AR32" s="555">
        <v>31</v>
      </c>
      <c r="AS32" s="555"/>
      <c r="AT32" s="555">
        <v>520</v>
      </c>
      <c r="AU32" s="555"/>
      <c r="AV32" s="555">
        <v>16897</v>
      </c>
      <c r="AW32" s="555"/>
      <c r="AX32" s="556">
        <v>0.09</v>
      </c>
      <c r="AY32" s="557"/>
      <c r="AZ32" s="905" t="str">
        <f>+V32</f>
        <v>Desarrollo de planes de inversión para el fortalecimiento de los procesos de gestión de riesgo en la prestación de sercivicios públicos de APSB </v>
      </c>
      <c r="BA32" s="638">
        <v>270132263.98</v>
      </c>
      <c r="BB32" s="638">
        <v>270132263.98</v>
      </c>
      <c r="BC32" s="559">
        <f>+X32/W32</f>
        <v>0.9999999963721474</v>
      </c>
      <c r="BD32" s="511" t="s">
        <v>465</v>
      </c>
      <c r="BE32" s="558" t="s">
        <v>844</v>
      </c>
      <c r="BF32" s="560">
        <v>42583</v>
      </c>
      <c r="BG32" s="561">
        <v>42735</v>
      </c>
      <c r="BH32" s="560">
        <v>42735</v>
      </c>
      <c r="BI32" s="561"/>
      <c r="BJ32" s="562" t="s">
        <v>438</v>
      </c>
    </row>
    <row r="33" spans="1:62" ht="15" thickBot="1">
      <c r="A33" s="568"/>
      <c r="B33" s="2"/>
      <c r="C33" s="2"/>
      <c r="D33" s="2"/>
      <c r="E33" s="2"/>
      <c r="F33" s="2"/>
      <c r="G33" s="2"/>
      <c r="H33" s="569"/>
      <c r="I33" s="569"/>
      <c r="J33" s="570"/>
      <c r="K33" s="480"/>
      <c r="L33" s="481"/>
      <c r="M33" s="481"/>
      <c r="N33" s="571"/>
      <c r="O33" s="480"/>
      <c r="P33" s="481"/>
      <c r="Q33" s="480"/>
      <c r="R33" s="481"/>
      <c r="S33" s="480"/>
      <c r="T33" s="480"/>
      <c r="U33" s="480"/>
      <c r="V33" s="480"/>
      <c r="W33" s="480"/>
      <c r="X33" s="572"/>
      <c r="Y33" s="572"/>
      <c r="Z33" s="573"/>
      <c r="AA33" s="480"/>
      <c r="AB33" s="2"/>
      <c r="AC33" s="574"/>
      <c r="AD33" s="2"/>
      <c r="AE33" s="574"/>
      <c r="AF33" s="2"/>
      <c r="AG33" s="574"/>
      <c r="AH33" s="2"/>
      <c r="AI33" s="574"/>
      <c r="AJ33" s="2"/>
      <c r="AK33" s="574"/>
      <c r="AL33" s="2"/>
      <c r="AM33" s="574"/>
      <c r="AN33" s="2"/>
      <c r="AO33" s="574"/>
      <c r="AP33" s="2"/>
      <c r="AQ33" s="574"/>
      <c r="AR33" s="2"/>
      <c r="AS33" s="574"/>
      <c r="AT33" s="2"/>
      <c r="AU33" s="574"/>
      <c r="AV33" s="2"/>
      <c r="AW33" s="574"/>
      <c r="AX33" s="2"/>
      <c r="AY33" s="574"/>
      <c r="AZ33" s="575"/>
      <c r="BA33" s="576"/>
      <c r="BB33" s="576"/>
      <c r="BC33" s="575"/>
      <c r="BD33" s="575"/>
      <c r="BE33" s="575"/>
      <c r="BF33" s="577"/>
      <c r="BG33" s="578"/>
      <c r="BH33" s="579"/>
      <c r="BI33" s="580"/>
      <c r="BJ33" s="581"/>
    </row>
    <row r="34" spans="1:64" s="597" customFormat="1" ht="24" customHeight="1" thickBot="1">
      <c r="A34" s="3265" t="s">
        <v>96</v>
      </c>
      <c r="B34" s="3266"/>
      <c r="C34" s="3266"/>
      <c r="D34" s="3266"/>
      <c r="E34" s="3266"/>
      <c r="F34" s="3266"/>
      <c r="G34" s="3266"/>
      <c r="H34" s="3266"/>
      <c r="I34" s="3266"/>
      <c r="J34" s="3266"/>
      <c r="K34" s="3266"/>
      <c r="L34" s="3266"/>
      <c r="M34" s="3266"/>
      <c r="N34" s="3266"/>
      <c r="O34" s="3266"/>
      <c r="P34" s="3266"/>
      <c r="Q34" s="3266"/>
      <c r="R34" s="3267"/>
      <c r="S34" s="582">
        <f>SUM(S13:S32)</f>
        <v>9794955963</v>
      </c>
      <c r="T34" s="583"/>
      <c r="U34" s="584"/>
      <c r="V34" s="585"/>
      <c r="W34" s="582">
        <f>SUM(W13:W32)</f>
        <v>9794955962.71</v>
      </c>
      <c r="X34" s="586">
        <f>SUM(X13:X32)</f>
        <v>7202801675.639999</v>
      </c>
      <c r="Y34" s="586">
        <f>SUM(Y13:Y32)</f>
        <v>5302225841.74</v>
      </c>
      <c r="Z34" s="587"/>
      <c r="AA34" s="584"/>
      <c r="AB34" s="588"/>
      <c r="AC34" s="447"/>
      <c r="AD34" s="588"/>
      <c r="AE34" s="447"/>
      <c r="AF34" s="588"/>
      <c r="AG34" s="447"/>
      <c r="AH34" s="588"/>
      <c r="AI34" s="447"/>
      <c r="AJ34" s="588"/>
      <c r="AK34" s="447"/>
      <c r="AL34" s="588"/>
      <c r="AM34" s="447"/>
      <c r="AN34" s="588"/>
      <c r="AO34" s="447"/>
      <c r="AP34" s="588"/>
      <c r="AQ34" s="447"/>
      <c r="AR34" s="588"/>
      <c r="AS34" s="447"/>
      <c r="AT34" s="588"/>
      <c r="AU34" s="447"/>
      <c r="AV34" s="588"/>
      <c r="AW34" s="447"/>
      <c r="AX34" s="588"/>
      <c r="AY34" s="447"/>
      <c r="AZ34" s="589"/>
      <c r="BA34" s="590">
        <f>SUM(BA13:BA33)</f>
        <v>7202801486.349998</v>
      </c>
      <c r="BB34" s="590">
        <f>SUM(BB13:BB33)</f>
        <v>5302225585.449999</v>
      </c>
      <c r="BC34" s="589"/>
      <c r="BD34" s="589"/>
      <c r="BE34" s="589"/>
      <c r="BF34" s="591"/>
      <c r="BG34" s="592"/>
      <c r="BH34" s="593"/>
      <c r="BI34" s="594"/>
      <c r="BJ34" s="595"/>
      <c r="BK34" s="596"/>
      <c r="BL34" s="596"/>
    </row>
    <row r="35" spans="23:25" ht="14.25">
      <c r="W35" s="1948"/>
      <c r="X35" s="2645"/>
      <c r="Y35" s="2645"/>
    </row>
    <row r="36" spans="19:55" ht="72" customHeight="1">
      <c r="S36" s="599"/>
      <c r="W36" s="2646"/>
      <c r="X36" s="2647"/>
      <c r="Y36" s="2647"/>
      <c r="BA36" s="164"/>
      <c r="BB36" s="856"/>
      <c r="BC36" s="575"/>
    </row>
    <row r="37" spans="3:55" ht="15">
      <c r="C37" s="3268" t="s">
        <v>501</v>
      </c>
      <c r="D37" s="3268"/>
      <c r="E37" s="3268"/>
      <c r="F37" s="3268"/>
      <c r="G37" s="3268"/>
      <c r="H37" s="3268"/>
      <c r="S37" s="603"/>
      <c r="W37" s="857"/>
      <c r="X37" s="858"/>
      <c r="Y37" s="859"/>
      <c r="BA37" s="576"/>
      <c r="BB37" s="576"/>
      <c r="BC37" s="575"/>
    </row>
    <row r="38" spans="3:55" ht="14.25">
      <c r="C38" s="3269" t="s">
        <v>502</v>
      </c>
      <c r="D38" s="3269"/>
      <c r="E38" s="3269"/>
      <c r="F38" s="3269"/>
      <c r="G38" s="3269"/>
      <c r="H38" s="3269"/>
      <c r="W38" s="860"/>
      <c r="X38" s="861"/>
      <c r="Y38" s="861"/>
      <c r="BA38" s="575"/>
      <c r="BB38" s="575"/>
      <c r="BC38" s="575"/>
    </row>
    <row r="39" spans="23:55" ht="14.25">
      <c r="W39" s="480"/>
      <c r="X39" s="572"/>
      <c r="Y39" s="572"/>
      <c r="BA39" s="575"/>
      <c r="BB39" s="575"/>
      <c r="BC39" s="575"/>
    </row>
    <row r="40" spans="23:55" ht="14.25">
      <c r="W40" s="480"/>
      <c r="X40" s="572"/>
      <c r="Y40" s="572"/>
      <c r="BA40" s="575"/>
      <c r="BB40" s="575"/>
      <c r="BC40" s="575"/>
    </row>
    <row r="41" spans="23:55" ht="14.25">
      <c r="W41" s="480"/>
      <c r="X41" s="572"/>
      <c r="Y41" s="572"/>
      <c r="BA41" s="575"/>
      <c r="BB41" s="575"/>
      <c r="BC41" s="575"/>
    </row>
    <row r="42" spans="23:25" ht="14.25">
      <c r="W42" s="480"/>
      <c r="X42" s="572"/>
      <c r="Y42" s="572"/>
    </row>
    <row r="43" spans="23:25" ht="14.25">
      <c r="W43" s="480"/>
      <c r="X43" s="572"/>
      <c r="Y43" s="572"/>
    </row>
  </sheetData>
  <sheetProtection/>
  <mergeCells count="191">
    <mergeCell ref="Q6:AA6"/>
    <mergeCell ref="BF6:BJ6"/>
    <mergeCell ref="E32:F32"/>
    <mergeCell ref="H32:I32"/>
    <mergeCell ref="A34:R34"/>
    <mergeCell ref="C37:H37"/>
    <mergeCell ref="C38:H38"/>
    <mergeCell ref="BC30:BC31"/>
    <mergeCell ref="BD30:BD31"/>
    <mergeCell ref="BF30:BF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S30:S31"/>
    <mergeCell ref="T30:T31"/>
    <mergeCell ref="A24:A32"/>
    <mergeCell ref="BH30:BH31"/>
    <mergeCell ref="BJ30:BJ31"/>
    <mergeCell ref="AU30:AU31"/>
    <mergeCell ref="AV30:AV31"/>
    <mergeCell ref="AW30:AW31"/>
    <mergeCell ref="AX30:AX31"/>
    <mergeCell ref="AY30:AY31"/>
    <mergeCell ref="AO30:AO31"/>
    <mergeCell ref="AP30:AP31"/>
    <mergeCell ref="AQ30:AQ31"/>
    <mergeCell ref="AR30:AR31"/>
    <mergeCell ref="AS30:AS31"/>
    <mergeCell ref="AT30:AT31"/>
    <mergeCell ref="Z30:Z31"/>
    <mergeCell ref="AA30:AA31"/>
    <mergeCell ref="AB30:AB31"/>
    <mergeCell ref="L30:L31"/>
    <mergeCell ref="M30:M31"/>
    <mergeCell ref="O30:O31"/>
    <mergeCell ref="P30:P31"/>
    <mergeCell ref="Q30:Q31"/>
    <mergeCell ref="R30:R31"/>
    <mergeCell ref="N30:N31"/>
    <mergeCell ref="BK19:BK20"/>
    <mergeCell ref="BD21:BD22"/>
    <mergeCell ref="BE21:BE22"/>
    <mergeCell ref="AW19:AW22"/>
    <mergeCell ref="AX19:AX22"/>
    <mergeCell ref="AK19:AK22"/>
    <mergeCell ref="U30:U31"/>
    <mergeCell ref="D30:D31"/>
    <mergeCell ref="E30:F31"/>
    <mergeCell ref="G30:G31"/>
    <mergeCell ref="H30:I31"/>
    <mergeCell ref="J30:J31"/>
    <mergeCell ref="K30:K31"/>
    <mergeCell ref="E27:F27"/>
    <mergeCell ref="U19:U22"/>
    <mergeCell ref="AB19:AB22"/>
    <mergeCell ref="G18:G22"/>
    <mergeCell ref="H18:I22"/>
    <mergeCell ref="O19:O22"/>
    <mergeCell ref="P19:P22"/>
    <mergeCell ref="Q19:Q22"/>
    <mergeCell ref="T19:T22"/>
    <mergeCell ref="E24:L24"/>
    <mergeCell ref="H25:L25"/>
    <mergeCell ref="AQ14:AQ16"/>
    <mergeCell ref="AR14:AR16"/>
    <mergeCell ref="BD8:BD9"/>
    <mergeCell ref="BE8:BE9"/>
    <mergeCell ref="AT14:AT16"/>
    <mergeCell ref="AU14:AU16"/>
    <mergeCell ref="E29:F29"/>
    <mergeCell ref="H29:I29"/>
    <mergeCell ref="AY19:AY22"/>
    <mergeCell ref="BD19:BD20"/>
    <mergeCell ref="E26:F26"/>
    <mergeCell ref="H26:I26"/>
    <mergeCell ref="H27:I27"/>
    <mergeCell ref="E28:F28"/>
    <mergeCell ref="H28:I28"/>
    <mergeCell ref="AT19:AT22"/>
    <mergeCell ref="AU19:AU22"/>
    <mergeCell ref="AV19:AV22"/>
    <mergeCell ref="AM19:AM22"/>
    <mergeCell ref="AN19:AN22"/>
    <mergeCell ref="AO19:AO22"/>
    <mergeCell ref="AP19:AP22"/>
    <mergeCell ref="AQ19:AQ22"/>
    <mergeCell ref="AR19:AR22"/>
    <mergeCell ref="BG14:BG16"/>
    <mergeCell ref="BH14:BH16"/>
    <mergeCell ref="BI14:BI16"/>
    <mergeCell ref="BJ14:BJ16"/>
    <mergeCell ref="AV14:AV16"/>
    <mergeCell ref="AW14:AW16"/>
    <mergeCell ref="AX14:AX16"/>
    <mergeCell ref="AY14:AY16"/>
    <mergeCell ref="BE14:BE16"/>
    <mergeCell ref="BF14:BF16"/>
    <mergeCell ref="AZ8:AZ9"/>
    <mergeCell ref="BA8:BA9"/>
    <mergeCell ref="BB8:BB9"/>
    <mergeCell ref="BC8:BC9"/>
    <mergeCell ref="O7:O9"/>
    <mergeCell ref="AL14:AL16"/>
    <mergeCell ref="AM14:AM16"/>
    <mergeCell ref="AN14:AN16"/>
    <mergeCell ref="AO14:AO16"/>
    <mergeCell ref="AD14:AD16"/>
    <mergeCell ref="AE14:AE16"/>
    <mergeCell ref="AF14:AF16"/>
    <mergeCell ref="AG14:AG16"/>
    <mergeCell ref="AH14:AH16"/>
    <mergeCell ref="AI14:AI16"/>
    <mergeCell ref="AV8:AW8"/>
    <mergeCell ref="AP8:AQ8"/>
    <mergeCell ref="AB14:AB16"/>
    <mergeCell ref="AC14:AC16"/>
    <mergeCell ref="P7:P9"/>
    <mergeCell ref="Q7:Q9"/>
    <mergeCell ref="U13:U15"/>
    <mergeCell ref="O14:O16"/>
    <mergeCell ref="V7:V9"/>
    <mergeCell ref="AB7:AM7"/>
    <mergeCell ref="AN7:AY7"/>
    <mergeCell ref="AN8:AO8"/>
    <mergeCell ref="AR8:AS8"/>
    <mergeCell ref="AT8:AU8"/>
    <mergeCell ref="AI19:AI22"/>
    <mergeCell ref="AJ19:AJ22"/>
    <mergeCell ref="AS14:AS16"/>
    <mergeCell ref="P14:P16"/>
    <mergeCell ref="Q14:Q16"/>
    <mergeCell ref="AS19:AS22"/>
    <mergeCell ref="AG19:AG22"/>
    <mergeCell ref="AH19:AH22"/>
    <mergeCell ref="AC19:AC22"/>
    <mergeCell ref="AD19:AD22"/>
    <mergeCell ref="AE19:AE22"/>
    <mergeCell ref="AF19:AF22"/>
    <mergeCell ref="AL19:AL22"/>
    <mergeCell ref="AJ14:AJ16"/>
    <mergeCell ref="AK14:AK16"/>
    <mergeCell ref="W7:Y8"/>
    <mergeCell ref="Z7:Z9"/>
    <mergeCell ref="AA7:AA9"/>
    <mergeCell ref="AP14:AP16"/>
    <mergeCell ref="A13:A22"/>
    <mergeCell ref="B13:C22"/>
    <mergeCell ref="D13:D22"/>
    <mergeCell ref="E13:F22"/>
    <mergeCell ref="G13:G16"/>
    <mergeCell ref="H13:I16"/>
    <mergeCell ref="T13:T16"/>
    <mergeCell ref="H7:I9"/>
    <mergeCell ref="J7:J9"/>
    <mergeCell ref="K7:K9"/>
    <mergeCell ref="L7:L9"/>
    <mergeCell ref="M7:N8"/>
    <mergeCell ref="E11:L11"/>
    <mergeCell ref="A1:BF4"/>
    <mergeCell ref="A5:M6"/>
    <mergeCell ref="Q5:BJ5"/>
    <mergeCell ref="AB6:AY6"/>
    <mergeCell ref="A7:A9"/>
    <mergeCell ref="B7:C9"/>
    <mergeCell ref="D7:D9"/>
    <mergeCell ref="E7:F9"/>
    <mergeCell ref="G7:G9"/>
    <mergeCell ref="AZ7:BE7"/>
    <mergeCell ref="BF7:BG8"/>
    <mergeCell ref="BH7:BI8"/>
    <mergeCell ref="BJ7:BJ9"/>
    <mergeCell ref="AB8:AC8"/>
    <mergeCell ref="AD8:AE8"/>
    <mergeCell ref="AF8:AG8"/>
    <mergeCell ref="AH8:AI8"/>
    <mergeCell ref="R7:R9"/>
    <mergeCell ref="S7:S9"/>
    <mergeCell ref="T7:T9"/>
    <mergeCell ref="U7:U9"/>
    <mergeCell ref="AX8:AY8"/>
    <mergeCell ref="AJ8:AK8"/>
    <mergeCell ref="AL8:AM8"/>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BL130"/>
  <sheetViews>
    <sheetView zoomScale="60" zoomScaleNormal="60" zoomScalePageLayoutView="0" workbookViewId="0" topLeftCell="BA1">
      <selection activeCell="BK1" sqref="BK1"/>
    </sheetView>
  </sheetViews>
  <sheetFormatPr defaultColWidth="11.421875" defaultRowHeight="15"/>
  <cols>
    <col min="1" max="1" width="12.57421875" style="941" customWidth="1"/>
    <col min="2" max="2" width="4.00390625" style="941" customWidth="1"/>
    <col min="3" max="3" width="14.421875" style="941" customWidth="1"/>
    <col min="4" max="4" width="15.00390625" style="941" customWidth="1"/>
    <col min="5" max="5" width="7.00390625" style="941" customWidth="1"/>
    <col min="6" max="6" width="11.421875" style="941" customWidth="1"/>
    <col min="7" max="7" width="12.28125" style="941" customWidth="1"/>
    <col min="8" max="8" width="8.57421875" style="941" customWidth="1"/>
    <col min="9" max="9" width="17.421875" style="941" customWidth="1"/>
    <col min="10" max="10" width="11.57421875" style="941" customWidth="1"/>
    <col min="11" max="11" width="33.8515625" style="941" customWidth="1"/>
    <col min="12" max="12" width="18.8515625" style="1108" customWidth="1"/>
    <col min="13" max="13" width="10.421875" style="941" customWidth="1"/>
    <col min="14" max="14" width="10.140625" style="2590" customWidth="1"/>
    <col min="15" max="15" width="28.00390625" style="941" customWidth="1"/>
    <col min="16" max="16" width="13.421875" style="1109" customWidth="1"/>
    <col min="17" max="17" width="21.421875" style="1110" customWidth="1"/>
    <col min="18" max="18" width="21.00390625" style="1111" customWidth="1"/>
    <col min="19" max="19" width="21.421875" style="1102" customWidth="1"/>
    <col min="20" max="20" width="27.57421875" style="941" customWidth="1"/>
    <col min="21" max="21" width="30.421875" style="941" customWidth="1"/>
    <col min="22" max="22" width="28.00390625" style="1103" customWidth="1"/>
    <col min="23" max="23" width="30.00390625" style="1656" customWidth="1"/>
    <col min="24" max="24" width="25.8515625" style="1657" customWidth="1"/>
    <col min="25" max="25" width="27.140625" style="1657" customWidth="1"/>
    <col min="26" max="26" width="12.140625" style="1104" customWidth="1"/>
    <col min="27" max="27" width="17.140625" style="1103" customWidth="1"/>
    <col min="28" max="28" width="8.7109375" style="909" bestFit="1" customWidth="1"/>
    <col min="29" max="29" width="8.7109375" style="1105" customWidth="1"/>
    <col min="30" max="30" width="10.421875" style="909" customWidth="1"/>
    <col min="31" max="31" width="10.421875" style="1105" customWidth="1"/>
    <col min="32" max="32" width="10.421875" style="909" customWidth="1"/>
    <col min="33" max="33" width="10.421875" style="1105" customWidth="1"/>
    <col min="34" max="34" width="10.421875" style="909" customWidth="1"/>
    <col min="35" max="35" width="10.421875" style="1105" customWidth="1"/>
    <col min="36" max="36" width="10.421875" style="909" customWidth="1"/>
    <col min="37" max="37" width="10.421875" style="1105" customWidth="1"/>
    <col min="38" max="38" width="10.421875" style="909" customWidth="1"/>
    <col min="39" max="39" width="10.421875" style="1105" customWidth="1"/>
    <col min="40" max="40" width="10.140625" style="909" customWidth="1"/>
    <col min="41" max="41" width="10.140625" style="1105" customWidth="1"/>
    <col min="42" max="42" width="11.421875" style="909" customWidth="1"/>
    <col min="43" max="43" width="11.421875" style="1105" customWidth="1"/>
    <col min="44" max="44" width="11.421875" style="909" customWidth="1"/>
    <col min="45" max="45" width="11.421875" style="1105" customWidth="1"/>
    <col min="46" max="46" width="12.8515625" style="909" customWidth="1"/>
    <col min="47" max="47" width="12.8515625" style="1105" customWidth="1"/>
    <col min="48" max="48" width="12.8515625" style="909" customWidth="1"/>
    <col min="49" max="49" width="12.8515625" style="1105" customWidth="1"/>
    <col min="50" max="50" width="12.8515625" style="909" customWidth="1"/>
    <col min="51" max="51" width="12.8515625" style="1105" customWidth="1"/>
    <col min="52" max="57" width="31.00390625" style="909" customWidth="1"/>
    <col min="58" max="58" width="22.7109375" style="1112" customWidth="1"/>
    <col min="59" max="59" width="22.7109375" style="1113" customWidth="1"/>
    <col min="60" max="60" width="22.7109375" style="1114" customWidth="1"/>
    <col min="61" max="61" width="22.7109375" style="1115" customWidth="1"/>
    <col min="62" max="62" width="28.7109375" style="1116" customWidth="1"/>
    <col min="63" max="63" width="21.421875" style="908" customWidth="1"/>
    <col min="64" max="64" width="15.7109375" style="908" bestFit="1" customWidth="1"/>
    <col min="65" max="16384" width="11.421875" style="909" customWidth="1"/>
  </cols>
  <sheetData>
    <row r="1" spans="1:62" ht="21" customHeight="1">
      <c r="A1" s="3415" t="s">
        <v>869</v>
      </c>
      <c r="B1" s="3415"/>
      <c r="C1" s="3415"/>
      <c r="D1" s="3415"/>
      <c r="E1" s="3415"/>
      <c r="F1" s="3415"/>
      <c r="G1" s="3415"/>
      <c r="H1" s="3415"/>
      <c r="I1" s="3415"/>
      <c r="J1" s="3415"/>
      <c r="K1" s="3415"/>
      <c r="L1" s="3415"/>
      <c r="M1" s="3415"/>
      <c r="N1" s="3415"/>
      <c r="O1" s="3415"/>
      <c r="P1" s="3415"/>
      <c r="Q1" s="3415"/>
      <c r="R1" s="3415"/>
      <c r="S1" s="3415"/>
      <c r="T1" s="3415"/>
      <c r="U1" s="3415"/>
      <c r="V1" s="3415"/>
      <c r="W1" s="3415"/>
      <c r="X1" s="3415"/>
      <c r="Y1" s="3415"/>
      <c r="Z1" s="3415"/>
      <c r="AA1" s="3415"/>
      <c r="AB1" s="3415"/>
      <c r="AC1" s="3415"/>
      <c r="AD1" s="3415"/>
      <c r="AE1" s="3415"/>
      <c r="AF1" s="3415"/>
      <c r="AG1" s="3415"/>
      <c r="AH1" s="3415"/>
      <c r="AI1" s="3415"/>
      <c r="AJ1" s="3415"/>
      <c r="AK1" s="3415"/>
      <c r="AL1" s="3415"/>
      <c r="AM1" s="3415"/>
      <c r="AN1" s="3415"/>
      <c r="AO1" s="3415"/>
      <c r="AP1" s="3415"/>
      <c r="AQ1" s="3415"/>
      <c r="AR1" s="3415"/>
      <c r="AS1" s="3415"/>
      <c r="AT1" s="3415"/>
      <c r="AU1" s="3415"/>
      <c r="AV1" s="3415"/>
      <c r="AW1" s="3415"/>
      <c r="AX1" s="3415"/>
      <c r="AY1" s="3415"/>
      <c r="AZ1" s="3415"/>
      <c r="BA1" s="3415"/>
      <c r="BB1" s="3415"/>
      <c r="BC1" s="3415"/>
      <c r="BD1" s="3415"/>
      <c r="BE1" s="3415"/>
      <c r="BF1" s="3415"/>
      <c r="BG1" s="907"/>
      <c r="BI1" s="2633" t="s">
        <v>97</v>
      </c>
      <c r="BJ1" s="2633" t="s">
        <v>112</v>
      </c>
    </row>
    <row r="2" spans="1:62" ht="21" customHeight="1">
      <c r="A2" s="3416"/>
      <c r="B2" s="3416"/>
      <c r="C2" s="3416"/>
      <c r="D2" s="3416"/>
      <c r="E2" s="3416"/>
      <c r="F2" s="3416"/>
      <c r="G2" s="3416"/>
      <c r="H2" s="3416"/>
      <c r="I2" s="3416"/>
      <c r="J2" s="3416"/>
      <c r="K2" s="3416"/>
      <c r="L2" s="3416"/>
      <c r="M2" s="3416"/>
      <c r="N2" s="3416"/>
      <c r="O2" s="3416"/>
      <c r="P2" s="3416"/>
      <c r="Q2" s="3416"/>
      <c r="R2" s="3416"/>
      <c r="S2" s="3416"/>
      <c r="T2" s="3416"/>
      <c r="U2" s="3416"/>
      <c r="V2" s="3416"/>
      <c r="W2" s="3416"/>
      <c r="X2" s="3416"/>
      <c r="Y2" s="3416"/>
      <c r="Z2" s="3416"/>
      <c r="AA2" s="3416"/>
      <c r="AB2" s="3416"/>
      <c r="AC2" s="3416"/>
      <c r="AD2" s="3416"/>
      <c r="AE2" s="3416"/>
      <c r="AF2" s="3416"/>
      <c r="AG2" s="3416"/>
      <c r="AH2" s="3416"/>
      <c r="AI2" s="3416"/>
      <c r="AJ2" s="3416"/>
      <c r="AK2" s="3416"/>
      <c r="AL2" s="3416"/>
      <c r="AM2" s="3416"/>
      <c r="AN2" s="3416"/>
      <c r="AO2" s="3416"/>
      <c r="AP2" s="3416"/>
      <c r="AQ2" s="3416"/>
      <c r="AR2" s="3416"/>
      <c r="AS2" s="3416"/>
      <c r="AT2" s="3416"/>
      <c r="AU2" s="3416"/>
      <c r="AV2" s="3416"/>
      <c r="AW2" s="3416"/>
      <c r="AX2" s="3416"/>
      <c r="AY2" s="3416"/>
      <c r="AZ2" s="3416"/>
      <c r="BA2" s="3416"/>
      <c r="BB2" s="3416"/>
      <c r="BC2" s="3416"/>
      <c r="BD2" s="3416"/>
      <c r="BE2" s="3416"/>
      <c r="BF2" s="3416"/>
      <c r="BG2" s="910"/>
      <c r="BI2" s="2634" t="s">
        <v>98</v>
      </c>
      <c r="BJ2" s="2635">
        <v>5</v>
      </c>
    </row>
    <row r="3" spans="1:62" ht="21" customHeight="1">
      <c r="A3" s="3416"/>
      <c r="B3" s="3416"/>
      <c r="C3" s="3416"/>
      <c r="D3" s="3416"/>
      <c r="E3" s="3416"/>
      <c r="F3" s="3416"/>
      <c r="G3" s="3416"/>
      <c r="H3" s="3416"/>
      <c r="I3" s="3416"/>
      <c r="J3" s="3416"/>
      <c r="K3" s="3416"/>
      <c r="L3" s="3416"/>
      <c r="M3" s="3416"/>
      <c r="N3" s="3416"/>
      <c r="O3" s="3416"/>
      <c r="P3" s="3416"/>
      <c r="Q3" s="3416"/>
      <c r="R3" s="3416"/>
      <c r="S3" s="3416"/>
      <c r="T3" s="3416"/>
      <c r="U3" s="3416"/>
      <c r="V3" s="3416"/>
      <c r="W3" s="3416"/>
      <c r="X3" s="3416"/>
      <c r="Y3" s="3416"/>
      <c r="Z3" s="3416"/>
      <c r="AA3" s="3416"/>
      <c r="AB3" s="3416"/>
      <c r="AC3" s="3416"/>
      <c r="AD3" s="3416"/>
      <c r="AE3" s="3416"/>
      <c r="AF3" s="3416"/>
      <c r="AG3" s="3416"/>
      <c r="AH3" s="3416"/>
      <c r="AI3" s="3416"/>
      <c r="AJ3" s="3416"/>
      <c r="AK3" s="3416"/>
      <c r="AL3" s="3416"/>
      <c r="AM3" s="3416"/>
      <c r="AN3" s="3416"/>
      <c r="AO3" s="3416"/>
      <c r="AP3" s="3416"/>
      <c r="AQ3" s="3416"/>
      <c r="AR3" s="3416"/>
      <c r="AS3" s="3416"/>
      <c r="AT3" s="3416"/>
      <c r="AU3" s="3416"/>
      <c r="AV3" s="3416"/>
      <c r="AW3" s="3416"/>
      <c r="AX3" s="3416"/>
      <c r="AY3" s="3416"/>
      <c r="AZ3" s="3416"/>
      <c r="BA3" s="3416"/>
      <c r="BB3" s="3416"/>
      <c r="BC3" s="3416"/>
      <c r="BD3" s="3416"/>
      <c r="BE3" s="3416"/>
      <c r="BF3" s="3416"/>
      <c r="BG3" s="910"/>
      <c r="BI3" s="2633" t="s">
        <v>99</v>
      </c>
      <c r="BJ3" s="2636" t="s">
        <v>2149</v>
      </c>
    </row>
    <row r="4" spans="1:62" ht="21" customHeight="1">
      <c r="A4" s="3417"/>
      <c r="B4" s="3417"/>
      <c r="C4" s="3417"/>
      <c r="D4" s="3417"/>
      <c r="E4" s="3417"/>
      <c r="F4" s="3417"/>
      <c r="G4" s="3417"/>
      <c r="H4" s="3417"/>
      <c r="I4" s="3417"/>
      <c r="J4" s="3417"/>
      <c r="K4" s="3417"/>
      <c r="L4" s="3417"/>
      <c r="M4" s="3417"/>
      <c r="N4" s="3417"/>
      <c r="O4" s="3417"/>
      <c r="P4" s="3417"/>
      <c r="Q4" s="3417"/>
      <c r="R4" s="3417"/>
      <c r="S4" s="3417"/>
      <c r="T4" s="3417"/>
      <c r="U4" s="3417"/>
      <c r="V4" s="3417"/>
      <c r="W4" s="3417"/>
      <c r="X4" s="3417"/>
      <c r="Y4" s="3417"/>
      <c r="Z4" s="3417"/>
      <c r="AA4" s="3417"/>
      <c r="AB4" s="3417"/>
      <c r="AC4" s="3417"/>
      <c r="AD4" s="3417"/>
      <c r="AE4" s="3417"/>
      <c r="AF4" s="3417"/>
      <c r="AG4" s="3417"/>
      <c r="AH4" s="3417"/>
      <c r="AI4" s="3417"/>
      <c r="AJ4" s="3417"/>
      <c r="AK4" s="3417"/>
      <c r="AL4" s="3417"/>
      <c r="AM4" s="3417"/>
      <c r="AN4" s="3417"/>
      <c r="AO4" s="3417"/>
      <c r="AP4" s="3417"/>
      <c r="AQ4" s="3417"/>
      <c r="AR4" s="3417"/>
      <c r="AS4" s="3417"/>
      <c r="AT4" s="3417"/>
      <c r="AU4" s="3417"/>
      <c r="AV4" s="3417"/>
      <c r="AW4" s="3417"/>
      <c r="AX4" s="3417"/>
      <c r="AY4" s="3417"/>
      <c r="AZ4" s="3417"/>
      <c r="BA4" s="3417"/>
      <c r="BB4" s="3417"/>
      <c r="BC4" s="3417"/>
      <c r="BD4" s="3417"/>
      <c r="BE4" s="3417"/>
      <c r="BF4" s="3417"/>
      <c r="BG4" s="911"/>
      <c r="BI4" s="842" t="s">
        <v>100</v>
      </c>
      <c r="BJ4" s="2637" t="s">
        <v>113</v>
      </c>
    </row>
    <row r="5" spans="1:62" s="4" customFormat="1" ht="15">
      <c r="A5" s="3049" t="s">
        <v>0</v>
      </c>
      <c r="B5" s="3049"/>
      <c r="C5" s="3049"/>
      <c r="D5" s="3049"/>
      <c r="E5" s="3049"/>
      <c r="F5" s="3049"/>
      <c r="G5" s="3049"/>
      <c r="H5" s="3049"/>
      <c r="I5" s="3049"/>
      <c r="J5" s="3049"/>
      <c r="K5" s="3049"/>
      <c r="L5" s="3049"/>
      <c r="M5" s="3049"/>
      <c r="N5" s="2834"/>
      <c r="O5" s="2834"/>
      <c r="P5" s="2834"/>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c r="BH5" s="3049"/>
      <c r="BI5" s="3049"/>
      <c r="BJ5" s="3049"/>
    </row>
    <row r="6" spans="1:62" s="4" customFormat="1" ht="14.25" customHeight="1" thickBot="1">
      <c r="A6" s="3049"/>
      <c r="B6" s="3049"/>
      <c r="C6" s="3049"/>
      <c r="D6" s="3049"/>
      <c r="E6" s="3049"/>
      <c r="F6" s="3049"/>
      <c r="G6" s="3049"/>
      <c r="H6" s="3049"/>
      <c r="I6" s="3049"/>
      <c r="J6" s="3049"/>
      <c r="K6" s="3049"/>
      <c r="L6" s="3049"/>
      <c r="M6" s="3049"/>
      <c r="N6" s="2834"/>
      <c r="O6" s="2834"/>
      <c r="P6" s="2835"/>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2836"/>
      <c r="BA6" s="2836"/>
      <c r="BB6" s="2836"/>
      <c r="BC6" s="2836"/>
      <c r="BD6" s="2836"/>
      <c r="BE6" s="2836"/>
      <c r="BF6" s="3050"/>
      <c r="BG6" s="3051"/>
      <c r="BH6" s="3051"/>
      <c r="BI6" s="3051"/>
      <c r="BJ6" s="3052"/>
    </row>
    <row r="7" spans="1:64" s="913" customFormat="1" ht="22.5" customHeight="1">
      <c r="A7" s="3428" t="s">
        <v>3</v>
      </c>
      <c r="B7" s="3421" t="s">
        <v>4</v>
      </c>
      <c r="C7" s="3422"/>
      <c r="D7" s="3418" t="s">
        <v>3</v>
      </c>
      <c r="E7" s="3421" t="s">
        <v>5</v>
      </c>
      <c r="F7" s="3422"/>
      <c r="G7" s="3418" t="s">
        <v>3</v>
      </c>
      <c r="H7" s="3421" t="s">
        <v>6</v>
      </c>
      <c r="I7" s="3422"/>
      <c r="J7" s="3418" t="s">
        <v>3</v>
      </c>
      <c r="K7" s="3418" t="s">
        <v>7</v>
      </c>
      <c r="L7" s="3418" t="s">
        <v>8</v>
      </c>
      <c r="M7" s="3421" t="s">
        <v>9</v>
      </c>
      <c r="N7" s="3422"/>
      <c r="O7" s="3418" t="s">
        <v>10</v>
      </c>
      <c r="P7" s="3425" t="s">
        <v>37</v>
      </c>
      <c r="Q7" s="3418" t="s">
        <v>1</v>
      </c>
      <c r="R7" s="3418" t="s">
        <v>11</v>
      </c>
      <c r="S7" s="3485" t="s">
        <v>12</v>
      </c>
      <c r="T7" s="3418" t="s">
        <v>13</v>
      </c>
      <c r="U7" s="3418" t="s">
        <v>14</v>
      </c>
      <c r="V7" s="3418" t="s">
        <v>15</v>
      </c>
      <c r="W7" s="3480" t="s">
        <v>12</v>
      </c>
      <c r="X7" s="3481"/>
      <c r="Y7" s="3481"/>
      <c r="Z7" s="3484" t="s">
        <v>3</v>
      </c>
      <c r="AA7" s="3418" t="s">
        <v>16</v>
      </c>
      <c r="AB7" s="3060" t="s">
        <v>17</v>
      </c>
      <c r="AC7" s="3061"/>
      <c r="AD7" s="3061"/>
      <c r="AE7" s="3061"/>
      <c r="AF7" s="3061"/>
      <c r="AG7" s="3061"/>
      <c r="AH7" s="3061"/>
      <c r="AI7" s="3061"/>
      <c r="AJ7" s="3061"/>
      <c r="AK7" s="3061"/>
      <c r="AL7" s="3061"/>
      <c r="AM7" s="3062"/>
      <c r="AN7" s="3060" t="s">
        <v>18</v>
      </c>
      <c r="AO7" s="3061"/>
      <c r="AP7" s="3061"/>
      <c r="AQ7" s="3061"/>
      <c r="AR7" s="3061"/>
      <c r="AS7" s="3061"/>
      <c r="AT7" s="3061"/>
      <c r="AU7" s="3061"/>
      <c r="AV7" s="3061"/>
      <c r="AW7" s="3061"/>
      <c r="AX7" s="3061"/>
      <c r="AY7" s="3062"/>
      <c r="AZ7" s="3060" t="s">
        <v>119</v>
      </c>
      <c r="BA7" s="3061"/>
      <c r="BB7" s="3061"/>
      <c r="BC7" s="3061"/>
      <c r="BD7" s="3061"/>
      <c r="BE7" s="3062"/>
      <c r="BF7" s="3432" t="s">
        <v>19</v>
      </c>
      <c r="BG7" s="3432"/>
      <c r="BH7" s="3432" t="s">
        <v>20</v>
      </c>
      <c r="BI7" s="3432"/>
      <c r="BJ7" s="3433" t="s">
        <v>21</v>
      </c>
      <c r="BK7" s="912"/>
      <c r="BL7" s="912"/>
    </row>
    <row r="8" spans="1:64" s="913" customFormat="1" ht="33.75" customHeight="1">
      <c r="A8" s="3429"/>
      <c r="B8" s="3423"/>
      <c r="C8" s="3424"/>
      <c r="D8" s="3419"/>
      <c r="E8" s="3423"/>
      <c r="F8" s="3424"/>
      <c r="G8" s="3419"/>
      <c r="H8" s="3423"/>
      <c r="I8" s="3424"/>
      <c r="J8" s="3419"/>
      <c r="K8" s="3419"/>
      <c r="L8" s="3419"/>
      <c r="M8" s="3423"/>
      <c r="N8" s="3424"/>
      <c r="O8" s="3419"/>
      <c r="P8" s="3426"/>
      <c r="Q8" s="3419"/>
      <c r="R8" s="3419"/>
      <c r="S8" s="3486"/>
      <c r="T8" s="3419"/>
      <c r="U8" s="3419"/>
      <c r="V8" s="3419"/>
      <c r="W8" s="3482"/>
      <c r="X8" s="3483"/>
      <c r="Y8" s="3483"/>
      <c r="Z8" s="3484"/>
      <c r="AA8" s="3419"/>
      <c r="AB8" s="3436" t="s">
        <v>22</v>
      </c>
      <c r="AC8" s="3437"/>
      <c r="AD8" s="3438" t="s">
        <v>23</v>
      </c>
      <c r="AE8" s="3439"/>
      <c r="AF8" s="3436" t="s">
        <v>24</v>
      </c>
      <c r="AG8" s="3437"/>
      <c r="AH8" s="3436" t="s">
        <v>25</v>
      </c>
      <c r="AI8" s="3437"/>
      <c r="AJ8" s="3436" t="s">
        <v>26</v>
      </c>
      <c r="AK8" s="3437"/>
      <c r="AL8" s="3436" t="s">
        <v>27</v>
      </c>
      <c r="AM8" s="3437"/>
      <c r="AN8" s="3436" t="s">
        <v>28</v>
      </c>
      <c r="AO8" s="3437"/>
      <c r="AP8" s="3436" t="s">
        <v>29</v>
      </c>
      <c r="AQ8" s="3437"/>
      <c r="AR8" s="3440" t="s">
        <v>30</v>
      </c>
      <c r="AS8" s="3441"/>
      <c r="AT8" s="3442" t="s">
        <v>31</v>
      </c>
      <c r="AU8" s="3442"/>
      <c r="AV8" s="3440" t="s">
        <v>32</v>
      </c>
      <c r="AW8" s="3441"/>
      <c r="AX8" s="3443" t="s">
        <v>33</v>
      </c>
      <c r="AY8" s="3443"/>
      <c r="AZ8" s="3031" t="s">
        <v>116</v>
      </c>
      <c r="BA8" s="3032" t="s">
        <v>120</v>
      </c>
      <c r="BB8" s="3031" t="s">
        <v>121</v>
      </c>
      <c r="BC8" s="3033" t="s">
        <v>117</v>
      </c>
      <c r="BD8" s="3031" t="s">
        <v>118</v>
      </c>
      <c r="BE8" s="3026" t="s">
        <v>122</v>
      </c>
      <c r="BF8" s="3432"/>
      <c r="BG8" s="3432"/>
      <c r="BH8" s="3432"/>
      <c r="BI8" s="3432"/>
      <c r="BJ8" s="3434"/>
      <c r="BK8" s="912"/>
      <c r="BL8" s="912"/>
    </row>
    <row r="9" spans="1:64" s="913" customFormat="1" ht="24.75" customHeight="1">
      <c r="A9" s="3429"/>
      <c r="B9" s="3430"/>
      <c r="C9" s="3431"/>
      <c r="D9" s="3420"/>
      <c r="E9" s="3430"/>
      <c r="F9" s="3431"/>
      <c r="G9" s="3420"/>
      <c r="H9" s="3430"/>
      <c r="I9" s="3431"/>
      <c r="J9" s="3420"/>
      <c r="K9" s="3420"/>
      <c r="L9" s="3420"/>
      <c r="M9" s="914" t="s">
        <v>108</v>
      </c>
      <c r="N9" s="2574" t="s">
        <v>107</v>
      </c>
      <c r="O9" s="3420"/>
      <c r="P9" s="3427"/>
      <c r="Q9" s="3420"/>
      <c r="R9" s="3420"/>
      <c r="S9" s="3487"/>
      <c r="T9" s="3420"/>
      <c r="U9" s="3420"/>
      <c r="V9" s="3420"/>
      <c r="W9" s="1631" t="s">
        <v>105</v>
      </c>
      <c r="X9" s="1632" t="s">
        <v>115</v>
      </c>
      <c r="Y9" s="1632" t="s">
        <v>114</v>
      </c>
      <c r="Z9" s="3484"/>
      <c r="AA9" s="3420"/>
      <c r="AB9" s="915" t="s">
        <v>106</v>
      </c>
      <c r="AC9" s="916" t="s">
        <v>107</v>
      </c>
      <c r="AD9" s="915" t="s">
        <v>106</v>
      </c>
      <c r="AE9" s="916" t="s">
        <v>107</v>
      </c>
      <c r="AF9" s="915" t="s">
        <v>106</v>
      </c>
      <c r="AG9" s="916" t="s">
        <v>107</v>
      </c>
      <c r="AH9" s="915" t="s">
        <v>106</v>
      </c>
      <c r="AI9" s="916" t="s">
        <v>107</v>
      </c>
      <c r="AJ9" s="915" t="s">
        <v>106</v>
      </c>
      <c r="AK9" s="916" t="s">
        <v>107</v>
      </c>
      <c r="AL9" s="915" t="s">
        <v>106</v>
      </c>
      <c r="AM9" s="916" t="s">
        <v>107</v>
      </c>
      <c r="AN9" s="915" t="s">
        <v>106</v>
      </c>
      <c r="AO9" s="916" t="s">
        <v>107</v>
      </c>
      <c r="AP9" s="915" t="s">
        <v>106</v>
      </c>
      <c r="AQ9" s="916" t="s">
        <v>107</v>
      </c>
      <c r="AR9" s="917" t="s">
        <v>109</v>
      </c>
      <c r="AS9" s="918" t="s">
        <v>107</v>
      </c>
      <c r="AT9" s="915" t="s">
        <v>106</v>
      </c>
      <c r="AU9" s="916" t="s">
        <v>107</v>
      </c>
      <c r="AV9" s="917" t="s">
        <v>109</v>
      </c>
      <c r="AW9" s="918" t="s">
        <v>107</v>
      </c>
      <c r="AX9" s="917" t="s">
        <v>109</v>
      </c>
      <c r="AY9" s="918" t="s">
        <v>107</v>
      </c>
      <c r="AZ9" s="3031"/>
      <c r="BA9" s="3032"/>
      <c r="BB9" s="3031"/>
      <c r="BC9" s="3033"/>
      <c r="BD9" s="3031"/>
      <c r="BE9" s="3027"/>
      <c r="BF9" s="919" t="s">
        <v>106</v>
      </c>
      <c r="BG9" s="920" t="s">
        <v>107</v>
      </c>
      <c r="BH9" s="919" t="s">
        <v>106</v>
      </c>
      <c r="BI9" s="920" t="s">
        <v>107</v>
      </c>
      <c r="BJ9" s="3435"/>
      <c r="BK9" s="912"/>
      <c r="BL9" s="912"/>
    </row>
    <row r="10" spans="1:62" s="908" customFormat="1" ht="12.75" customHeight="1">
      <c r="A10" s="921">
        <v>4</v>
      </c>
      <c r="B10" s="922" t="s">
        <v>845</v>
      </c>
      <c r="C10" s="923"/>
      <c r="D10" s="923"/>
      <c r="E10" s="923"/>
      <c r="F10" s="923"/>
      <c r="G10" s="923"/>
      <c r="H10" s="923"/>
      <c r="I10" s="923"/>
      <c r="J10" s="923"/>
      <c r="K10" s="923"/>
      <c r="L10" s="923"/>
      <c r="M10" s="923"/>
      <c r="N10" s="2575"/>
      <c r="O10" s="923"/>
      <c r="P10" s="923"/>
      <c r="Q10" s="923"/>
      <c r="R10" s="923"/>
      <c r="S10" s="923"/>
      <c r="T10" s="923"/>
      <c r="U10" s="923"/>
      <c r="V10" s="923"/>
      <c r="W10" s="923"/>
      <c r="X10" s="924"/>
      <c r="Y10" s="924"/>
      <c r="Z10" s="923"/>
      <c r="AA10" s="923"/>
      <c r="AB10" s="923"/>
      <c r="AC10" s="924"/>
      <c r="AD10" s="923"/>
      <c r="AE10" s="924"/>
      <c r="AF10" s="923"/>
      <c r="AG10" s="924"/>
      <c r="AH10" s="923"/>
      <c r="AI10" s="924"/>
      <c r="AJ10" s="923"/>
      <c r="AK10" s="924"/>
      <c r="AL10" s="923"/>
      <c r="AM10" s="924"/>
      <c r="AN10" s="923"/>
      <c r="AO10" s="924"/>
      <c r="AP10" s="923"/>
      <c r="AQ10" s="924"/>
      <c r="AR10" s="923"/>
      <c r="AS10" s="924"/>
      <c r="AT10" s="923"/>
      <c r="AU10" s="924"/>
      <c r="AV10" s="923"/>
      <c r="AW10" s="924"/>
      <c r="AX10" s="923"/>
      <c r="AY10" s="924"/>
      <c r="AZ10" s="923"/>
      <c r="BA10" s="923"/>
      <c r="BB10" s="923"/>
      <c r="BC10" s="923"/>
      <c r="BD10" s="923"/>
      <c r="BE10" s="923"/>
      <c r="BF10" s="923"/>
      <c r="BG10" s="924"/>
      <c r="BH10" s="923"/>
      <c r="BI10" s="924"/>
      <c r="BJ10" s="925"/>
    </row>
    <row r="11" spans="1:62" s="908" customFormat="1" ht="24" customHeight="1">
      <c r="A11" s="3444"/>
      <c r="B11" s="3445"/>
      <c r="C11" s="3446"/>
      <c r="D11" s="926">
        <v>23</v>
      </c>
      <c r="E11" s="927" t="s">
        <v>870</v>
      </c>
      <c r="F11" s="928"/>
      <c r="G11" s="928"/>
      <c r="H11" s="928"/>
      <c r="I11" s="928"/>
      <c r="J11" s="928"/>
      <c r="K11" s="928"/>
      <c r="L11" s="928"/>
      <c r="M11" s="928"/>
      <c r="N11" s="2576"/>
      <c r="O11" s="928"/>
      <c r="P11" s="928"/>
      <c r="Q11" s="928"/>
      <c r="R11" s="928"/>
      <c r="S11" s="928"/>
      <c r="T11" s="928"/>
      <c r="U11" s="928"/>
      <c r="V11" s="928"/>
      <c r="W11" s="928"/>
      <c r="X11" s="929"/>
      <c r="Y11" s="929"/>
      <c r="Z11" s="928"/>
      <c r="AA11" s="928"/>
      <c r="AB11" s="928"/>
      <c r="AC11" s="929"/>
      <c r="AD11" s="928"/>
      <c r="AE11" s="929"/>
      <c r="AF11" s="928"/>
      <c r="AG11" s="929"/>
      <c r="AH11" s="928"/>
      <c r="AI11" s="929"/>
      <c r="AJ11" s="928"/>
      <c r="AK11" s="929"/>
      <c r="AL11" s="928"/>
      <c r="AM11" s="929"/>
      <c r="AN11" s="928"/>
      <c r="AO11" s="929"/>
      <c r="AP11" s="928"/>
      <c r="AQ11" s="929"/>
      <c r="AR11" s="928"/>
      <c r="AS11" s="929"/>
      <c r="AT11" s="928"/>
      <c r="AU11" s="929"/>
      <c r="AV11" s="928"/>
      <c r="AW11" s="929"/>
      <c r="AX11" s="928"/>
      <c r="AY11" s="929"/>
      <c r="AZ11" s="928"/>
      <c r="BA11" s="928"/>
      <c r="BB11" s="928"/>
      <c r="BC11" s="928"/>
      <c r="BD11" s="928"/>
      <c r="BE11" s="928"/>
      <c r="BF11" s="928"/>
      <c r="BG11" s="929"/>
      <c r="BH11" s="928"/>
      <c r="BI11" s="929"/>
      <c r="BJ11" s="930"/>
    </row>
    <row r="12" spans="1:62" s="908" customFormat="1" ht="24" customHeight="1">
      <c r="A12" s="3444"/>
      <c r="B12" s="3445"/>
      <c r="C12" s="3446"/>
      <c r="D12" s="3448"/>
      <c r="E12" s="3445"/>
      <c r="F12" s="3446"/>
      <c r="G12" s="931">
        <v>75</v>
      </c>
      <c r="H12" s="932" t="s">
        <v>871</v>
      </c>
      <c r="I12" s="933"/>
      <c r="J12" s="933"/>
      <c r="K12" s="933"/>
      <c r="L12" s="933"/>
      <c r="M12" s="933"/>
      <c r="N12" s="2577"/>
      <c r="O12" s="933"/>
      <c r="P12" s="933"/>
      <c r="Q12" s="933"/>
      <c r="R12" s="933"/>
      <c r="S12" s="933"/>
      <c r="T12" s="933"/>
      <c r="U12" s="933"/>
      <c r="V12" s="933"/>
      <c r="W12" s="933"/>
      <c r="X12" s="934"/>
      <c r="Y12" s="934"/>
      <c r="Z12" s="935"/>
      <c r="AA12" s="933"/>
      <c r="AB12" s="933"/>
      <c r="AC12" s="934"/>
      <c r="AD12" s="933"/>
      <c r="AE12" s="934"/>
      <c r="AF12" s="933"/>
      <c r="AG12" s="934"/>
      <c r="AH12" s="933"/>
      <c r="AI12" s="934"/>
      <c r="AJ12" s="933"/>
      <c r="AK12" s="934"/>
      <c r="AL12" s="933"/>
      <c r="AM12" s="934"/>
      <c r="AN12" s="933"/>
      <c r="AO12" s="934"/>
      <c r="AP12" s="933"/>
      <c r="AQ12" s="934"/>
      <c r="AR12" s="933"/>
      <c r="AS12" s="934"/>
      <c r="AT12" s="933"/>
      <c r="AU12" s="934"/>
      <c r="AV12" s="933"/>
      <c r="AW12" s="934"/>
      <c r="AX12" s="933"/>
      <c r="AY12" s="934"/>
      <c r="AZ12" s="933"/>
      <c r="BA12" s="933"/>
      <c r="BB12" s="933"/>
      <c r="BC12" s="933"/>
      <c r="BD12" s="933"/>
      <c r="BE12" s="933"/>
      <c r="BF12" s="933"/>
      <c r="BG12" s="934"/>
      <c r="BH12" s="933"/>
      <c r="BI12" s="934"/>
      <c r="BJ12" s="936"/>
    </row>
    <row r="13" spans="1:62" s="941" customFormat="1" ht="78.75" customHeight="1">
      <c r="A13" s="3444"/>
      <c r="B13" s="3445"/>
      <c r="C13" s="3446"/>
      <c r="D13" s="3448"/>
      <c r="E13" s="3445"/>
      <c r="F13" s="3446"/>
      <c r="G13" s="3452"/>
      <c r="H13" s="3453"/>
      <c r="I13" s="3454"/>
      <c r="J13" s="3455">
        <v>214</v>
      </c>
      <c r="K13" s="3457" t="s">
        <v>872</v>
      </c>
      <c r="L13" s="3459" t="s">
        <v>873</v>
      </c>
      <c r="M13" s="3460">
        <v>1</v>
      </c>
      <c r="N13" s="3461">
        <v>1</v>
      </c>
      <c r="O13" s="3462"/>
      <c r="P13" s="3491">
        <v>28</v>
      </c>
      <c r="Q13" s="3493" t="s">
        <v>874</v>
      </c>
      <c r="R13" s="3495">
        <f>SUM(W13:W14)/S13</f>
        <v>0.05094216339542786</v>
      </c>
      <c r="S13" s="3496">
        <v>6049924915</v>
      </c>
      <c r="T13" s="3499" t="s">
        <v>875</v>
      </c>
      <c r="U13" s="3457" t="s">
        <v>876</v>
      </c>
      <c r="V13" s="937" t="s">
        <v>877</v>
      </c>
      <c r="W13" s="1633">
        <v>10000000</v>
      </c>
      <c r="X13" s="1634">
        <v>10000000</v>
      </c>
      <c r="Y13" s="1635">
        <v>10000000</v>
      </c>
      <c r="Z13" s="938"/>
      <c r="AA13" s="939"/>
      <c r="AB13" s="3455">
        <v>64149</v>
      </c>
      <c r="AC13" s="3488">
        <v>5162</v>
      </c>
      <c r="AD13" s="3455">
        <v>72224</v>
      </c>
      <c r="AE13" s="3488">
        <v>5812</v>
      </c>
      <c r="AF13" s="3455">
        <v>27477</v>
      </c>
      <c r="AG13" s="3488">
        <v>2211</v>
      </c>
      <c r="AH13" s="3455">
        <v>86843</v>
      </c>
      <c r="AI13" s="3488">
        <v>6988</v>
      </c>
      <c r="AJ13" s="3455">
        <v>236429</v>
      </c>
      <c r="AK13" s="3488">
        <v>19026</v>
      </c>
      <c r="AL13" s="3455">
        <v>81384</v>
      </c>
      <c r="AM13" s="3488">
        <v>6549</v>
      </c>
      <c r="AN13" s="3501"/>
      <c r="AO13" s="3504"/>
      <c r="AP13" s="3501"/>
      <c r="AQ13" s="3504"/>
      <c r="AR13" s="3501"/>
      <c r="AS13" s="3504"/>
      <c r="AT13" s="3501"/>
      <c r="AU13" s="3504"/>
      <c r="AV13" s="3501"/>
      <c r="AW13" s="3504"/>
      <c r="AX13" s="3501"/>
      <c r="AY13" s="3504"/>
      <c r="AZ13" s="3501">
        <v>23</v>
      </c>
      <c r="BA13" s="3513">
        <f>SUM(X13:$X$25)</f>
        <v>486801995</v>
      </c>
      <c r="BB13" s="3513">
        <f>SUM(Y13:$Y$25)</f>
        <v>463825365</v>
      </c>
      <c r="BC13" s="3516">
        <f>BB13/BA13</f>
        <v>0.9528008713275713</v>
      </c>
      <c r="BD13" s="3519" t="s">
        <v>878</v>
      </c>
      <c r="BE13" s="3501" t="s">
        <v>879</v>
      </c>
      <c r="BF13" s="940">
        <v>42592</v>
      </c>
      <c r="BG13" s="940">
        <v>42593</v>
      </c>
      <c r="BH13" s="940">
        <v>42719</v>
      </c>
      <c r="BI13" s="940">
        <v>42720</v>
      </c>
      <c r="BJ13" s="3507" t="s">
        <v>2146</v>
      </c>
    </row>
    <row r="14" spans="1:62" s="941" customFormat="1" ht="81" customHeight="1">
      <c r="A14" s="3444"/>
      <c r="B14" s="3445"/>
      <c r="C14" s="3446"/>
      <c r="D14" s="3448"/>
      <c r="E14" s="3445"/>
      <c r="F14" s="3446"/>
      <c r="G14" s="3448"/>
      <c r="H14" s="3445"/>
      <c r="I14" s="3446"/>
      <c r="J14" s="3456"/>
      <c r="K14" s="3458"/>
      <c r="L14" s="3459"/>
      <c r="M14" s="3460"/>
      <c r="N14" s="3461"/>
      <c r="O14" s="3463"/>
      <c r="P14" s="3492"/>
      <c r="Q14" s="3493"/>
      <c r="R14" s="3495"/>
      <c r="S14" s="3497"/>
      <c r="T14" s="3499"/>
      <c r="U14" s="3500"/>
      <c r="V14" s="937" t="s">
        <v>880</v>
      </c>
      <c r="W14" s="1633">
        <v>298196263.55</v>
      </c>
      <c r="X14" s="1634">
        <v>14117720</v>
      </c>
      <c r="Y14" s="1635">
        <v>14117720</v>
      </c>
      <c r="Z14" s="942"/>
      <c r="AA14" s="943"/>
      <c r="AB14" s="3465"/>
      <c r="AC14" s="3489"/>
      <c r="AD14" s="3465"/>
      <c r="AE14" s="3489"/>
      <c r="AF14" s="3465"/>
      <c r="AG14" s="3489"/>
      <c r="AH14" s="3465"/>
      <c r="AI14" s="3489"/>
      <c r="AJ14" s="3465"/>
      <c r="AK14" s="3489"/>
      <c r="AL14" s="3465"/>
      <c r="AM14" s="3489"/>
      <c r="AN14" s="3502"/>
      <c r="AO14" s="3505"/>
      <c r="AP14" s="3502"/>
      <c r="AQ14" s="3505"/>
      <c r="AR14" s="3502"/>
      <c r="AS14" s="3505"/>
      <c r="AT14" s="3502"/>
      <c r="AU14" s="3505"/>
      <c r="AV14" s="3502"/>
      <c r="AW14" s="3505"/>
      <c r="AX14" s="3502"/>
      <c r="AY14" s="3505"/>
      <c r="AZ14" s="3502"/>
      <c r="BA14" s="3514"/>
      <c r="BB14" s="3514"/>
      <c r="BC14" s="3517"/>
      <c r="BD14" s="3520"/>
      <c r="BE14" s="3502"/>
      <c r="BF14" s="940">
        <v>42628</v>
      </c>
      <c r="BG14" s="940">
        <v>42629</v>
      </c>
      <c r="BH14" s="940">
        <v>42724</v>
      </c>
      <c r="BI14" s="940">
        <v>42725</v>
      </c>
      <c r="BJ14" s="3508"/>
    </row>
    <row r="15" spans="1:62" s="941" customFormat="1" ht="117.75" customHeight="1">
      <c r="A15" s="3444"/>
      <c r="B15" s="3445"/>
      <c r="C15" s="3446"/>
      <c r="D15" s="3448"/>
      <c r="E15" s="3445"/>
      <c r="F15" s="3446"/>
      <c r="G15" s="3448"/>
      <c r="H15" s="3445"/>
      <c r="I15" s="3446"/>
      <c r="J15" s="944">
        <v>215</v>
      </c>
      <c r="K15" s="945" t="s">
        <v>881</v>
      </c>
      <c r="L15" s="946" t="s">
        <v>873</v>
      </c>
      <c r="M15" s="947">
        <v>2</v>
      </c>
      <c r="N15" s="2578">
        <v>2</v>
      </c>
      <c r="O15" s="3463"/>
      <c r="P15" s="3492"/>
      <c r="Q15" s="3493"/>
      <c r="R15" s="1662">
        <f>W15/S13</f>
        <v>0.0033058261517283642</v>
      </c>
      <c r="S15" s="3497"/>
      <c r="T15" s="3499"/>
      <c r="U15" s="3500"/>
      <c r="V15" s="937" t="s">
        <v>882</v>
      </c>
      <c r="W15" s="1633">
        <v>20000000</v>
      </c>
      <c r="X15" s="1634">
        <v>20000000</v>
      </c>
      <c r="Y15" s="1635">
        <v>20000000</v>
      </c>
      <c r="Z15" s="942"/>
      <c r="AA15" s="943"/>
      <c r="AB15" s="3465"/>
      <c r="AC15" s="3489"/>
      <c r="AD15" s="3465"/>
      <c r="AE15" s="3489"/>
      <c r="AF15" s="3465"/>
      <c r="AG15" s="3489"/>
      <c r="AH15" s="3465"/>
      <c r="AI15" s="3489"/>
      <c r="AJ15" s="3465"/>
      <c r="AK15" s="3489"/>
      <c r="AL15" s="3465"/>
      <c r="AM15" s="3489"/>
      <c r="AN15" s="3502"/>
      <c r="AO15" s="3505"/>
      <c r="AP15" s="3502"/>
      <c r="AQ15" s="3505"/>
      <c r="AR15" s="3502"/>
      <c r="AS15" s="3505"/>
      <c r="AT15" s="3502"/>
      <c r="AU15" s="3505"/>
      <c r="AV15" s="3502"/>
      <c r="AW15" s="3505"/>
      <c r="AX15" s="3502"/>
      <c r="AY15" s="3505"/>
      <c r="AZ15" s="3502"/>
      <c r="BA15" s="3514"/>
      <c r="BB15" s="3514"/>
      <c r="BC15" s="3517"/>
      <c r="BD15" s="3520"/>
      <c r="BE15" s="3502"/>
      <c r="BF15" s="940">
        <v>42592</v>
      </c>
      <c r="BG15" s="940">
        <v>42593</v>
      </c>
      <c r="BH15" s="940">
        <v>42719</v>
      </c>
      <c r="BI15" s="940">
        <v>42720</v>
      </c>
      <c r="BJ15" s="3508"/>
    </row>
    <row r="16" spans="1:62" s="941" customFormat="1" ht="117.75" customHeight="1">
      <c r="A16" s="3444"/>
      <c r="B16" s="3445"/>
      <c r="C16" s="3446"/>
      <c r="D16" s="3448"/>
      <c r="E16" s="3445"/>
      <c r="F16" s="3446"/>
      <c r="G16" s="3448"/>
      <c r="H16" s="3445"/>
      <c r="I16" s="3446"/>
      <c r="J16" s="3455">
        <v>216</v>
      </c>
      <c r="K16" s="3457" t="s">
        <v>883</v>
      </c>
      <c r="L16" s="3466" t="s">
        <v>873</v>
      </c>
      <c r="M16" s="3467">
        <v>1</v>
      </c>
      <c r="N16" s="3510">
        <v>0.006</v>
      </c>
      <c r="O16" s="948"/>
      <c r="P16" s="3492"/>
      <c r="Q16" s="3493"/>
      <c r="R16" s="3403">
        <f>(W16+W17)/S13</f>
        <v>0.5016529131585098</v>
      </c>
      <c r="S16" s="3497"/>
      <c r="T16" s="3499"/>
      <c r="U16" s="3500"/>
      <c r="V16" s="937" t="s">
        <v>884</v>
      </c>
      <c r="W16" s="1633">
        <v>50000000</v>
      </c>
      <c r="X16" s="1634">
        <v>0</v>
      </c>
      <c r="Y16" s="1635">
        <v>0</v>
      </c>
      <c r="Z16" s="942"/>
      <c r="AA16" s="943"/>
      <c r="AB16" s="3465"/>
      <c r="AC16" s="3489"/>
      <c r="AD16" s="3465"/>
      <c r="AE16" s="3489"/>
      <c r="AF16" s="3465"/>
      <c r="AG16" s="3489"/>
      <c r="AH16" s="3465"/>
      <c r="AI16" s="3489"/>
      <c r="AJ16" s="3465"/>
      <c r="AK16" s="3489"/>
      <c r="AL16" s="3465"/>
      <c r="AM16" s="3489"/>
      <c r="AN16" s="3502"/>
      <c r="AO16" s="3505"/>
      <c r="AP16" s="3502"/>
      <c r="AQ16" s="3505"/>
      <c r="AR16" s="3502"/>
      <c r="AS16" s="3505"/>
      <c r="AT16" s="3502"/>
      <c r="AU16" s="3505"/>
      <c r="AV16" s="3502"/>
      <c r="AW16" s="3505"/>
      <c r="AX16" s="3502"/>
      <c r="AY16" s="3505"/>
      <c r="AZ16" s="3502"/>
      <c r="BA16" s="3514"/>
      <c r="BB16" s="3514"/>
      <c r="BC16" s="3517"/>
      <c r="BD16" s="3520"/>
      <c r="BE16" s="3502"/>
      <c r="BF16" s="940"/>
      <c r="BG16" s="949"/>
      <c r="BH16" s="940"/>
      <c r="BI16" s="949"/>
      <c r="BJ16" s="3508"/>
    </row>
    <row r="17" spans="1:62" s="941" customFormat="1" ht="78.75" customHeight="1">
      <c r="A17" s="3444"/>
      <c r="B17" s="3445"/>
      <c r="C17" s="3446"/>
      <c r="D17" s="3448"/>
      <c r="E17" s="3445"/>
      <c r="F17" s="3446"/>
      <c r="G17" s="3448"/>
      <c r="H17" s="3445"/>
      <c r="I17" s="3446"/>
      <c r="J17" s="3456"/>
      <c r="K17" s="3458"/>
      <c r="L17" s="3472"/>
      <c r="M17" s="3475"/>
      <c r="N17" s="3511"/>
      <c r="O17" s="950" t="s">
        <v>885</v>
      </c>
      <c r="P17" s="3492"/>
      <c r="Q17" s="3493"/>
      <c r="R17" s="3404"/>
      <c r="S17" s="3497"/>
      <c r="T17" s="3499"/>
      <c r="U17" s="3500"/>
      <c r="V17" s="937" t="s">
        <v>886</v>
      </c>
      <c r="W17" s="1636">
        <f>2981962636+2999822</f>
        <v>2984962458</v>
      </c>
      <c r="X17" s="1634">
        <v>19116666</v>
      </c>
      <c r="Y17" s="1635">
        <v>19116666</v>
      </c>
      <c r="Z17" s="952">
        <v>20</v>
      </c>
      <c r="AA17" s="943" t="s">
        <v>232</v>
      </c>
      <c r="AB17" s="3465"/>
      <c r="AC17" s="3489"/>
      <c r="AD17" s="3465"/>
      <c r="AE17" s="3489"/>
      <c r="AF17" s="3465"/>
      <c r="AG17" s="3489"/>
      <c r="AH17" s="3465"/>
      <c r="AI17" s="3489"/>
      <c r="AJ17" s="3465"/>
      <c r="AK17" s="3489"/>
      <c r="AL17" s="3465"/>
      <c r="AM17" s="3489"/>
      <c r="AN17" s="3502"/>
      <c r="AO17" s="3505"/>
      <c r="AP17" s="3502"/>
      <c r="AQ17" s="3505"/>
      <c r="AR17" s="3502"/>
      <c r="AS17" s="3505"/>
      <c r="AT17" s="3502"/>
      <c r="AU17" s="3505"/>
      <c r="AV17" s="3502"/>
      <c r="AW17" s="3505"/>
      <c r="AX17" s="3502"/>
      <c r="AY17" s="3505"/>
      <c r="AZ17" s="3502"/>
      <c r="BA17" s="3514"/>
      <c r="BB17" s="3514"/>
      <c r="BC17" s="3517"/>
      <c r="BD17" s="3520"/>
      <c r="BE17" s="3502"/>
      <c r="BF17" s="940">
        <v>42628</v>
      </c>
      <c r="BG17" s="949">
        <v>42592</v>
      </c>
      <c r="BH17" s="940">
        <v>42724</v>
      </c>
      <c r="BI17" s="949">
        <v>42724</v>
      </c>
      <c r="BJ17" s="3508"/>
    </row>
    <row r="18" spans="1:62" s="941" customFormat="1" ht="114" customHeight="1">
      <c r="A18" s="3444"/>
      <c r="B18" s="3445"/>
      <c r="C18" s="3446"/>
      <c r="D18" s="3448"/>
      <c r="E18" s="3445"/>
      <c r="F18" s="3446"/>
      <c r="G18" s="3448"/>
      <c r="H18" s="3445"/>
      <c r="I18" s="3446"/>
      <c r="J18" s="3455">
        <v>217</v>
      </c>
      <c r="K18" s="3457" t="s">
        <v>887</v>
      </c>
      <c r="L18" s="3466" t="s">
        <v>873</v>
      </c>
      <c r="M18" s="3460">
        <v>5</v>
      </c>
      <c r="N18" s="3461">
        <v>4</v>
      </c>
      <c r="O18" s="950" t="s">
        <v>888</v>
      </c>
      <c r="P18" s="3492"/>
      <c r="Q18" s="3493"/>
      <c r="R18" s="3495">
        <f>SUM(W18:W23)/S13</f>
        <v>0.2962313464182886</v>
      </c>
      <c r="S18" s="3497"/>
      <c r="T18" s="3499"/>
      <c r="U18" s="3500"/>
      <c r="V18" s="953" t="s">
        <v>889</v>
      </c>
      <c r="W18" s="1636">
        <v>16500000</v>
      </c>
      <c r="X18" s="1637">
        <f>7200000+5183333</f>
        <v>12383333</v>
      </c>
      <c r="Y18" s="1638">
        <f>7200000+5183333</f>
        <v>12383333</v>
      </c>
      <c r="Z18" s="954">
        <v>42</v>
      </c>
      <c r="AA18" s="955" t="s">
        <v>890</v>
      </c>
      <c r="AB18" s="3465"/>
      <c r="AC18" s="3489"/>
      <c r="AD18" s="3465"/>
      <c r="AE18" s="3489"/>
      <c r="AF18" s="3465"/>
      <c r="AG18" s="3489"/>
      <c r="AH18" s="3465"/>
      <c r="AI18" s="3489"/>
      <c r="AJ18" s="3465"/>
      <c r="AK18" s="3489"/>
      <c r="AL18" s="3465"/>
      <c r="AM18" s="3489"/>
      <c r="AN18" s="3502"/>
      <c r="AO18" s="3505"/>
      <c r="AP18" s="3502"/>
      <c r="AQ18" s="3505"/>
      <c r="AR18" s="3502"/>
      <c r="AS18" s="3505"/>
      <c r="AT18" s="3502"/>
      <c r="AU18" s="3505"/>
      <c r="AV18" s="3502"/>
      <c r="AW18" s="3505"/>
      <c r="AX18" s="3502"/>
      <c r="AY18" s="3505"/>
      <c r="AZ18" s="3502"/>
      <c r="BA18" s="3514"/>
      <c r="BB18" s="3514"/>
      <c r="BC18" s="3517"/>
      <c r="BD18" s="3520"/>
      <c r="BE18" s="3502"/>
      <c r="BF18" s="940">
        <v>42592</v>
      </c>
      <c r="BG18" s="949">
        <v>42592</v>
      </c>
      <c r="BH18" s="940">
        <v>42719</v>
      </c>
      <c r="BI18" s="956">
        <v>42724</v>
      </c>
      <c r="BJ18" s="3508"/>
    </row>
    <row r="19" spans="1:62" s="941" customFormat="1" ht="120.75" customHeight="1">
      <c r="A19" s="3444"/>
      <c r="B19" s="3445"/>
      <c r="C19" s="3446"/>
      <c r="D19" s="3448"/>
      <c r="E19" s="3445"/>
      <c r="F19" s="3446"/>
      <c r="G19" s="3448"/>
      <c r="H19" s="3445"/>
      <c r="I19" s="3446"/>
      <c r="J19" s="3465"/>
      <c r="K19" s="3500"/>
      <c r="L19" s="3512"/>
      <c r="M19" s="3460"/>
      <c r="N19" s="3461"/>
      <c r="O19" s="950" t="s">
        <v>891</v>
      </c>
      <c r="P19" s="3492"/>
      <c r="Q19" s="3493"/>
      <c r="R19" s="3495"/>
      <c r="S19" s="3497"/>
      <c r="T19" s="3499"/>
      <c r="U19" s="3500"/>
      <c r="V19" s="953" t="s">
        <v>892</v>
      </c>
      <c r="W19" s="1636">
        <v>12500000</v>
      </c>
      <c r="X19" s="1637">
        <v>4000000</v>
      </c>
      <c r="Y19" s="1638">
        <v>4000000</v>
      </c>
      <c r="Z19" s="954">
        <v>92</v>
      </c>
      <c r="AA19" s="955" t="s">
        <v>893</v>
      </c>
      <c r="AB19" s="3465"/>
      <c r="AC19" s="3489"/>
      <c r="AD19" s="3465"/>
      <c r="AE19" s="3489"/>
      <c r="AF19" s="3465"/>
      <c r="AG19" s="3489"/>
      <c r="AH19" s="3465"/>
      <c r="AI19" s="3489"/>
      <c r="AJ19" s="3465"/>
      <c r="AK19" s="3489"/>
      <c r="AL19" s="3465"/>
      <c r="AM19" s="3489"/>
      <c r="AN19" s="3502"/>
      <c r="AO19" s="3505"/>
      <c r="AP19" s="3502"/>
      <c r="AQ19" s="3505"/>
      <c r="AR19" s="3502"/>
      <c r="AS19" s="3505"/>
      <c r="AT19" s="3502"/>
      <c r="AU19" s="3505"/>
      <c r="AV19" s="3502"/>
      <c r="AW19" s="3505"/>
      <c r="AX19" s="3502"/>
      <c r="AY19" s="3505"/>
      <c r="AZ19" s="3502"/>
      <c r="BA19" s="3514"/>
      <c r="BB19" s="3514"/>
      <c r="BC19" s="3517"/>
      <c r="BD19" s="3520"/>
      <c r="BE19" s="3502"/>
      <c r="BF19" s="940">
        <v>42592</v>
      </c>
      <c r="BG19" s="949">
        <v>42592</v>
      </c>
      <c r="BH19" s="940">
        <v>42719</v>
      </c>
      <c r="BI19" s="956">
        <v>42724</v>
      </c>
      <c r="BJ19" s="3508"/>
    </row>
    <row r="20" spans="1:62" s="941" customFormat="1" ht="71.25">
      <c r="A20" s="3444"/>
      <c r="B20" s="3445"/>
      <c r="C20" s="3446"/>
      <c r="D20" s="3448"/>
      <c r="E20" s="3445"/>
      <c r="F20" s="3446"/>
      <c r="G20" s="3448"/>
      <c r="H20" s="3445"/>
      <c r="I20" s="3446"/>
      <c r="J20" s="3465"/>
      <c r="K20" s="3500"/>
      <c r="L20" s="3512"/>
      <c r="M20" s="3460"/>
      <c r="N20" s="3461"/>
      <c r="O20" s="3463"/>
      <c r="P20" s="3492"/>
      <c r="Q20" s="3493"/>
      <c r="R20" s="3495"/>
      <c r="S20" s="3497"/>
      <c r="T20" s="3499"/>
      <c r="U20" s="3500"/>
      <c r="V20" s="957" t="s">
        <v>894</v>
      </c>
      <c r="W20" s="1636">
        <v>12500000</v>
      </c>
      <c r="X20" s="1637">
        <v>4458333</v>
      </c>
      <c r="Y20" s="1638">
        <v>4458333</v>
      </c>
      <c r="Z20" s="958"/>
      <c r="AA20" s="955"/>
      <c r="AB20" s="3465"/>
      <c r="AC20" s="3489"/>
      <c r="AD20" s="3465"/>
      <c r="AE20" s="3489"/>
      <c r="AF20" s="3465"/>
      <c r="AG20" s="3489"/>
      <c r="AH20" s="3465"/>
      <c r="AI20" s="3489"/>
      <c r="AJ20" s="3465"/>
      <c r="AK20" s="3489"/>
      <c r="AL20" s="3465"/>
      <c r="AM20" s="3489"/>
      <c r="AN20" s="3502"/>
      <c r="AO20" s="3505"/>
      <c r="AP20" s="3502"/>
      <c r="AQ20" s="3505"/>
      <c r="AR20" s="3502"/>
      <c r="AS20" s="3505"/>
      <c r="AT20" s="3502"/>
      <c r="AU20" s="3505"/>
      <c r="AV20" s="3502"/>
      <c r="AW20" s="3505"/>
      <c r="AX20" s="3502"/>
      <c r="AY20" s="3505"/>
      <c r="AZ20" s="3502"/>
      <c r="BA20" s="3514"/>
      <c r="BB20" s="3514"/>
      <c r="BC20" s="3517"/>
      <c r="BD20" s="3520"/>
      <c r="BE20" s="3502"/>
      <c r="BF20" s="959">
        <v>42592</v>
      </c>
      <c r="BG20" s="960">
        <v>42592</v>
      </c>
      <c r="BH20" s="959">
        <v>42719</v>
      </c>
      <c r="BI20" s="961">
        <v>42724</v>
      </c>
      <c r="BJ20" s="3508"/>
    </row>
    <row r="21" spans="1:62" s="941" customFormat="1" ht="78.75" customHeight="1">
      <c r="A21" s="3444"/>
      <c r="B21" s="3445"/>
      <c r="C21" s="3446"/>
      <c r="D21" s="3448"/>
      <c r="E21" s="3445"/>
      <c r="F21" s="3446"/>
      <c r="G21" s="3448"/>
      <c r="H21" s="3445"/>
      <c r="I21" s="3446"/>
      <c r="J21" s="3465"/>
      <c r="K21" s="3500"/>
      <c r="L21" s="3512"/>
      <c r="M21" s="3460"/>
      <c r="N21" s="3461"/>
      <c r="O21" s="3463"/>
      <c r="P21" s="3492"/>
      <c r="Q21" s="3493"/>
      <c r="R21" s="3495"/>
      <c r="S21" s="3497"/>
      <c r="T21" s="3499"/>
      <c r="U21" s="3500"/>
      <c r="V21" s="957" t="s">
        <v>895</v>
      </c>
      <c r="W21" s="1639">
        <v>36000000</v>
      </c>
      <c r="X21" s="1637">
        <f>3458333+4350000+19040000+8000000</f>
        <v>34848333</v>
      </c>
      <c r="Y21" s="1638">
        <f>3458333+4350000+19040000+8000000</f>
        <v>34848333</v>
      </c>
      <c r="Z21" s="958"/>
      <c r="AA21" s="955"/>
      <c r="AB21" s="3465"/>
      <c r="AC21" s="3489"/>
      <c r="AD21" s="3465"/>
      <c r="AE21" s="3489"/>
      <c r="AF21" s="3465"/>
      <c r="AG21" s="3489"/>
      <c r="AH21" s="3465"/>
      <c r="AI21" s="3489"/>
      <c r="AJ21" s="3465"/>
      <c r="AK21" s="3489"/>
      <c r="AL21" s="3465"/>
      <c r="AM21" s="3489"/>
      <c r="AN21" s="3502"/>
      <c r="AO21" s="3505"/>
      <c r="AP21" s="3502"/>
      <c r="AQ21" s="3505"/>
      <c r="AR21" s="3502"/>
      <c r="AS21" s="3505"/>
      <c r="AT21" s="3502"/>
      <c r="AU21" s="3505"/>
      <c r="AV21" s="3502"/>
      <c r="AW21" s="3505"/>
      <c r="AX21" s="3502"/>
      <c r="AY21" s="3505"/>
      <c r="AZ21" s="3502"/>
      <c r="BA21" s="3514"/>
      <c r="BB21" s="3514"/>
      <c r="BC21" s="3517"/>
      <c r="BD21" s="3520"/>
      <c r="BE21" s="3502"/>
      <c r="BF21" s="959">
        <v>42628</v>
      </c>
      <c r="BG21" s="960">
        <v>42628</v>
      </c>
      <c r="BH21" s="959">
        <v>42724</v>
      </c>
      <c r="BI21" s="961">
        <v>42722</v>
      </c>
      <c r="BJ21" s="3508"/>
    </row>
    <row r="22" spans="1:62" s="941" customFormat="1" ht="110.25" customHeight="1">
      <c r="A22" s="3444"/>
      <c r="B22" s="3445"/>
      <c r="C22" s="3446"/>
      <c r="D22" s="3448"/>
      <c r="E22" s="3445"/>
      <c r="F22" s="3446"/>
      <c r="G22" s="3448"/>
      <c r="H22" s="3445"/>
      <c r="I22" s="3446"/>
      <c r="J22" s="3465"/>
      <c r="K22" s="3500"/>
      <c r="L22" s="3512"/>
      <c r="M22" s="3460"/>
      <c r="N22" s="3461"/>
      <c r="O22" s="3463"/>
      <c r="P22" s="3492"/>
      <c r="Q22" s="3493"/>
      <c r="R22" s="3495"/>
      <c r="S22" s="3497"/>
      <c r="T22" s="3499"/>
      <c r="U22" s="3500"/>
      <c r="V22" s="957" t="s">
        <v>896</v>
      </c>
      <c r="W22" s="1639">
        <v>1009873845</v>
      </c>
      <c r="X22" s="1637">
        <f>112419928+7252464</f>
        <v>119672392</v>
      </c>
      <c r="Y22" s="1638">
        <f>112419928+7252464</f>
        <v>119672392</v>
      </c>
      <c r="Z22" s="958"/>
      <c r="AA22" s="955"/>
      <c r="AB22" s="3465"/>
      <c r="AC22" s="3489"/>
      <c r="AD22" s="3465"/>
      <c r="AE22" s="3489"/>
      <c r="AF22" s="3465"/>
      <c r="AG22" s="3489"/>
      <c r="AH22" s="3465"/>
      <c r="AI22" s="3489"/>
      <c r="AJ22" s="3465"/>
      <c r="AK22" s="3489"/>
      <c r="AL22" s="3465"/>
      <c r="AM22" s="3489"/>
      <c r="AN22" s="3502"/>
      <c r="AO22" s="3505"/>
      <c r="AP22" s="3502"/>
      <c r="AQ22" s="3505"/>
      <c r="AR22" s="3502"/>
      <c r="AS22" s="3505"/>
      <c r="AT22" s="3502"/>
      <c r="AU22" s="3505"/>
      <c r="AV22" s="3502"/>
      <c r="AW22" s="3505"/>
      <c r="AX22" s="3502"/>
      <c r="AY22" s="3505"/>
      <c r="AZ22" s="3502"/>
      <c r="BA22" s="3514"/>
      <c r="BB22" s="3514"/>
      <c r="BC22" s="3517"/>
      <c r="BD22" s="3520"/>
      <c r="BE22" s="3502"/>
      <c r="BF22" s="959">
        <v>42628</v>
      </c>
      <c r="BG22" s="959">
        <v>42629</v>
      </c>
      <c r="BH22" s="959">
        <v>42724</v>
      </c>
      <c r="BI22" s="959">
        <v>42725</v>
      </c>
      <c r="BJ22" s="3508"/>
    </row>
    <row r="23" spans="1:62" s="941" customFormat="1" ht="70.5" customHeight="1">
      <c r="A23" s="3444"/>
      <c r="B23" s="3445"/>
      <c r="C23" s="3446"/>
      <c r="D23" s="3448"/>
      <c r="E23" s="3445"/>
      <c r="F23" s="3446"/>
      <c r="G23" s="3448"/>
      <c r="H23" s="3445"/>
      <c r="I23" s="3446"/>
      <c r="J23" s="3456"/>
      <c r="K23" s="3458"/>
      <c r="L23" s="3472"/>
      <c r="M23" s="3460"/>
      <c r="N23" s="3461"/>
      <c r="O23" s="3463"/>
      <c r="P23" s="3492"/>
      <c r="Q23" s="3493"/>
      <c r="R23" s="3495"/>
      <c r="S23" s="3497"/>
      <c r="T23" s="3499"/>
      <c r="U23" s="3500"/>
      <c r="V23" s="953" t="s">
        <v>880</v>
      </c>
      <c r="W23" s="1636">
        <f>701803736.3+2999822</f>
        <v>704803558.3</v>
      </c>
      <c r="X23" s="1637">
        <f>70000000+13965514+4926420+19590400+64539551</f>
        <v>173021885</v>
      </c>
      <c r="Y23" s="1640">
        <f>47023370+13965514+4926420+19590400+64539551</f>
        <v>150045255</v>
      </c>
      <c r="Z23" s="958"/>
      <c r="AA23" s="955"/>
      <c r="AB23" s="3465"/>
      <c r="AC23" s="3489"/>
      <c r="AD23" s="3465"/>
      <c r="AE23" s="3489"/>
      <c r="AF23" s="3465"/>
      <c r="AG23" s="3489"/>
      <c r="AH23" s="3465"/>
      <c r="AI23" s="3489"/>
      <c r="AJ23" s="3465"/>
      <c r="AK23" s="3489"/>
      <c r="AL23" s="3465"/>
      <c r="AM23" s="3489"/>
      <c r="AN23" s="3502"/>
      <c r="AO23" s="3505"/>
      <c r="AP23" s="3502"/>
      <c r="AQ23" s="3505"/>
      <c r="AR23" s="3502"/>
      <c r="AS23" s="3505"/>
      <c r="AT23" s="3502"/>
      <c r="AU23" s="3505"/>
      <c r="AV23" s="3502"/>
      <c r="AW23" s="3505"/>
      <c r="AX23" s="3502"/>
      <c r="AY23" s="3505"/>
      <c r="AZ23" s="3502"/>
      <c r="BA23" s="3514"/>
      <c r="BB23" s="3514"/>
      <c r="BC23" s="3517"/>
      <c r="BD23" s="3520"/>
      <c r="BE23" s="3502"/>
      <c r="BF23" s="959">
        <v>42628</v>
      </c>
      <c r="BG23" s="960">
        <v>42642</v>
      </c>
      <c r="BH23" s="959">
        <v>42724</v>
      </c>
      <c r="BI23" s="961">
        <v>42724</v>
      </c>
      <c r="BJ23" s="3508"/>
    </row>
    <row r="24" spans="1:62" s="941" customFormat="1" ht="92.25" customHeight="1">
      <c r="A24" s="3444"/>
      <c r="B24" s="3445"/>
      <c r="C24" s="3446"/>
      <c r="D24" s="3448"/>
      <c r="E24" s="3445"/>
      <c r="F24" s="3446"/>
      <c r="G24" s="3448"/>
      <c r="H24" s="3445"/>
      <c r="I24" s="3446"/>
      <c r="J24" s="3455">
        <v>218</v>
      </c>
      <c r="K24" s="3462" t="s">
        <v>897</v>
      </c>
      <c r="L24" s="3459" t="s">
        <v>873</v>
      </c>
      <c r="M24" s="3460">
        <v>3</v>
      </c>
      <c r="N24" s="3468">
        <v>2</v>
      </c>
      <c r="O24" s="3463"/>
      <c r="P24" s="3492"/>
      <c r="Q24" s="3493"/>
      <c r="R24" s="3495">
        <f>SUM(W24:W25)/S13</f>
        <v>0.14786775085125167</v>
      </c>
      <c r="S24" s="3497"/>
      <c r="T24" s="3499"/>
      <c r="U24" s="3500"/>
      <c r="V24" s="963" t="s">
        <v>898</v>
      </c>
      <c r="W24" s="1636">
        <v>12500000</v>
      </c>
      <c r="X24" s="1637">
        <v>5183333</v>
      </c>
      <c r="Y24" s="1638">
        <v>5183333</v>
      </c>
      <c r="Z24" s="958"/>
      <c r="AA24" s="955"/>
      <c r="AB24" s="3465"/>
      <c r="AC24" s="3489"/>
      <c r="AD24" s="3465"/>
      <c r="AE24" s="3489"/>
      <c r="AF24" s="3465"/>
      <c r="AG24" s="3489"/>
      <c r="AH24" s="3465"/>
      <c r="AI24" s="3489"/>
      <c r="AJ24" s="3465"/>
      <c r="AK24" s="3489"/>
      <c r="AL24" s="3465"/>
      <c r="AM24" s="3489"/>
      <c r="AN24" s="3502"/>
      <c r="AO24" s="3505"/>
      <c r="AP24" s="3502"/>
      <c r="AQ24" s="3505"/>
      <c r="AR24" s="3502"/>
      <c r="AS24" s="3505"/>
      <c r="AT24" s="3502"/>
      <c r="AU24" s="3505"/>
      <c r="AV24" s="3502"/>
      <c r="AW24" s="3505"/>
      <c r="AX24" s="3502"/>
      <c r="AY24" s="3505"/>
      <c r="AZ24" s="3502"/>
      <c r="BA24" s="3514"/>
      <c r="BB24" s="3514"/>
      <c r="BC24" s="3517"/>
      <c r="BD24" s="3520"/>
      <c r="BE24" s="3502"/>
      <c r="BF24" s="959">
        <v>42592</v>
      </c>
      <c r="BG24" s="960">
        <v>42592</v>
      </c>
      <c r="BH24" s="959">
        <v>42719</v>
      </c>
      <c r="BI24" s="961">
        <v>42724</v>
      </c>
      <c r="BJ24" s="3508"/>
    </row>
    <row r="25" spans="1:62" s="941" customFormat="1" ht="104.25" customHeight="1">
      <c r="A25" s="3444"/>
      <c r="B25" s="3445"/>
      <c r="C25" s="3446"/>
      <c r="D25" s="3448"/>
      <c r="E25" s="3445"/>
      <c r="F25" s="3446"/>
      <c r="G25" s="3449"/>
      <c r="H25" s="3445"/>
      <c r="I25" s="3446"/>
      <c r="J25" s="3465"/>
      <c r="K25" s="3463"/>
      <c r="L25" s="3466"/>
      <c r="M25" s="3467"/>
      <c r="N25" s="3469"/>
      <c r="O25" s="3464"/>
      <c r="P25" s="3492"/>
      <c r="Q25" s="3494"/>
      <c r="R25" s="3403"/>
      <c r="S25" s="3498"/>
      <c r="T25" s="3457"/>
      <c r="U25" s="3500"/>
      <c r="V25" s="964" t="s">
        <v>899</v>
      </c>
      <c r="W25" s="1658">
        <v>882088790</v>
      </c>
      <c r="X25" s="1641">
        <v>70000000</v>
      </c>
      <c r="Y25" s="1642">
        <v>70000000</v>
      </c>
      <c r="Z25" s="942"/>
      <c r="AA25" s="955"/>
      <c r="AB25" s="3465"/>
      <c r="AC25" s="3490"/>
      <c r="AD25" s="3465"/>
      <c r="AE25" s="3490"/>
      <c r="AF25" s="3465"/>
      <c r="AG25" s="3490"/>
      <c r="AH25" s="3465"/>
      <c r="AI25" s="3490"/>
      <c r="AJ25" s="3465"/>
      <c r="AK25" s="3490"/>
      <c r="AL25" s="3465"/>
      <c r="AM25" s="3490"/>
      <c r="AN25" s="3503"/>
      <c r="AO25" s="3506"/>
      <c r="AP25" s="3503"/>
      <c r="AQ25" s="3506"/>
      <c r="AR25" s="3503"/>
      <c r="AS25" s="3506"/>
      <c r="AT25" s="3503"/>
      <c r="AU25" s="3506"/>
      <c r="AV25" s="3503"/>
      <c r="AW25" s="3506"/>
      <c r="AX25" s="3503"/>
      <c r="AY25" s="3506"/>
      <c r="AZ25" s="3503"/>
      <c r="BA25" s="3515"/>
      <c r="BB25" s="3515"/>
      <c r="BC25" s="3518"/>
      <c r="BD25" s="3521"/>
      <c r="BE25" s="3503"/>
      <c r="BF25" s="965">
        <v>42628</v>
      </c>
      <c r="BG25" s="965">
        <v>42629</v>
      </c>
      <c r="BH25" s="965">
        <v>42724</v>
      </c>
      <c r="BI25" s="965">
        <v>42725</v>
      </c>
      <c r="BJ25" s="3509"/>
    </row>
    <row r="26" spans="1:62" s="941" customFormat="1" ht="30.75" customHeight="1">
      <c r="A26" s="3444"/>
      <c r="B26" s="3445"/>
      <c r="C26" s="3446"/>
      <c r="D26" s="3448"/>
      <c r="E26" s="3445"/>
      <c r="F26" s="3446"/>
      <c r="G26" s="966">
        <v>76</v>
      </c>
      <c r="H26" s="967" t="s">
        <v>900</v>
      </c>
      <c r="I26" s="967"/>
      <c r="J26" s="967"/>
      <c r="K26" s="967"/>
      <c r="L26" s="967"/>
      <c r="M26" s="967"/>
      <c r="N26" s="2579"/>
      <c r="O26" s="967"/>
      <c r="P26" s="967"/>
      <c r="Q26" s="967"/>
      <c r="R26" s="967"/>
      <c r="S26" s="967"/>
      <c r="T26" s="967"/>
      <c r="U26" s="967"/>
      <c r="V26" s="967"/>
      <c r="W26" s="967"/>
      <c r="X26" s="968"/>
      <c r="Y26" s="968"/>
      <c r="Z26" s="967"/>
      <c r="AA26" s="967"/>
      <c r="AB26" s="967"/>
      <c r="AC26" s="968"/>
      <c r="AD26" s="967"/>
      <c r="AE26" s="968"/>
      <c r="AF26" s="967"/>
      <c r="AG26" s="968"/>
      <c r="AH26" s="967"/>
      <c r="AI26" s="968"/>
      <c r="AJ26" s="967"/>
      <c r="AK26" s="968"/>
      <c r="AL26" s="967"/>
      <c r="AM26" s="968"/>
      <c r="AN26" s="967"/>
      <c r="AO26" s="968"/>
      <c r="AP26" s="967"/>
      <c r="AQ26" s="968"/>
      <c r="AR26" s="967"/>
      <c r="AS26" s="968"/>
      <c r="AT26" s="967"/>
      <c r="AU26" s="968"/>
      <c r="AV26" s="967"/>
      <c r="AW26" s="968"/>
      <c r="AX26" s="967"/>
      <c r="AY26" s="968"/>
      <c r="AZ26" s="967"/>
      <c r="BA26" s="967"/>
      <c r="BB26" s="967"/>
      <c r="BC26" s="967"/>
      <c r="BD26" s="967"/>
      <c r="BE26" s="967"/>
      <c r="BF26" s="967"/>
      <c r="BG26" s="968"/>
      <c r="BH26" s="967"/>
      <c r="BI26" s="968"/>
      <c r="BJ26" s="969"/>
    </row>
    <row r="27" spans="1:62" s="941" customFormat="1" ht="71.25">
      <c r="A27" s="3444"/>
      <c r="B27" s="3445"/>
      <c r="C27" s="3446"/>
      <c r="D27" s="3448"/>
      <c r="E27" s="3445"/>
      <c r="F27" s="3446"/>
      <c r="G27" s="3452"/>
      <c r="H27" s="3453"/>
      <c r="I27" s="3454"/>
      <c r="J27" s="970">
        <v>219</v>
      </c>
      <c r="K27" s="971" t="s">
        <v>901</v>
      </c>
      <c r="L27" s="972" t="s">
        <v>873</v>
      </c>
      <c r="M27" s="973">
        <v>3</v>
      </c>
      <c r="N27" s="2580">
        <v>3</v>
      </c>
      <c r="O27" s="3522" t="s">
        <v>902</v>
      </c>
      <c r="P27" s="3491">
        <v>29</v>
      </c>
      <c r="Q27" s="3493" t="s">
        <v>903</v>
      </c>
      <c r="R27" s="1173">
        <f>W27/S27*100</f>
        <v>5</v>
      </c>
      <c r="S27" s="3513">
        <v>250000000</v>
      </c>
      <c r="T27" s="3499" t="s">
        <v>904</v>
      </c>
      <c r="U27" s="3457" t="s">
        <v>905</v>
      </c>
      <c r="V27" s="974" t="s">
        <v>906</v>
      </c>
      <c r="W27" s="1643">
        <v>12500000</v>
      </c>
      <c r="X27" s="1644">
        <v>9664000</v>
      </c>
      <c r="Y27" s="1644">
        <v>9664000</v>
      </c>
      <c r="Z27" s="3455">
        <v>20</v>
      </c>
      <c r="AA27" s="3455" t="s">
        <v>232</v>
      </c>
      <c r="AB27" s="3455">
        <v>1195</v>
      </c>
      <c r="AC27" s="3488">
        <v>886</v>
      </c>
      <c r="AD27" s="3455">
        <v>1324</v>
      </c>
      <c r="AE27" s="3488">
        <v>997</v>
      </c>
      <c r="AF27" s="3455">
        <v>507</v>
      </c>
      <c r="AG27" s="3488">
        <v>379</v>
      </c>
      <c r="AH27" s="3455">
        <v>1598</v>
      </c>
      <c r="AI27" s="3488">
        <v>1199</v>
      </c>
      <c r="AJ27" s="3455">
        <v>4203</v>
      </c>
      <c r="AK27" s="3488">
        <v>3265</v>
      </c>
      <c r="AL27" s="3455">
        <v>1421</v>
      </c>
      <c r="AM27" s="3488">
        <v>1124</v>
      </c>
      <c r="AN27" s="3524"/>
      <c r="AO27" s="3527"/>
      <c r="AP27" s="3524"/>
      <c r="AQ27" s="3527"/>
      <c r="AR27" s="3524"/>
      <c r="AS27" s="3527"/>
      <c r="AT27" s="3524"/>
      <c r="AU27" s="3527"/>
      <c r="AV27" s="3524"/>
      <c r="AW27" s="3527"/>
      <c r="AX27" s="3524"/>
      <c r="AY27" s="3527"/>
      <c r="AZ27" s="3524">
        <v>11</v>
      </c>
      <c r="BA27" s="3513">
        <f>SUM(X27:$X$30)</f>
        <v>191527329</v>
      </c>
      <c r="BB27" s="3513">
        <f>SUM(Y27:$Y$30)</f>
        <v>166027329</v>
      </c>
      <c r="BC27" s="3530">
        <f>BA27/BB27</f>
        <v>1.1535891720573304</v>
      </c>
      <c r="BD27" s="3524">
        <v>20</v>
      </c>
      <c r="BE27" s="3524" t="s">
        <v>907</v>
      </c>
      <c r="BF27" s="940">
        <v>42592</v>
      </c>
      <c r="BG27" s="940">
        <v>42593</v>
      </c>
      <c r="BH27" s="940">
        <v>42719</v>
      </c>
      <c r="BI27" s="940">
        <v>42720</v>
      </c>
      <c r="BJ27" s="3507" t="s">
        <v>2146</v>
      </c>
    </row>
    <row r="28" spans="1:62" s="941" customFormat="1" ht="62.25" customHeight="1">
      <c r="A28" s="3444"/>
      <c r="B28" s="3445"/>
      <c r="C28" s="3446"/>
      <c r="D28" s="3448"/>
      <c r="E28" s="3445"/>
      <c r="F28" s="3446"/>
      <c r="G28" s="3448"/>
      <c r="H28" s="3445"/>
      <c r="I28" s="3446"/>
      <c r="J28" s="970">
        <v>220</v>
      </c>
      <c r="K28" s="975" t="s">
        <v>908</v>
      </c>
      <c r="L28" s="972" t="s">
        <v>873</v>
      </c>
      <c r="M28" s="992">
        <v>5</v>
      </c>
      <c r="N28" s="2627">
        <v>5</v>
      </c>
      <c r="O28" s="3522"/>
      <c r="P28" s="3492"/>
      <c r="Q28" s="3493"/>
      <c r="R28" s="1173">
        <f>W28/S27*100</f>
        <v>93</v>
      </c>
      <c r="S28" s="3514"/>
      <c r="T28" s="3499"/>
      <c r="U28" s="3500"/>
      <c r="V28" s="974" t="s">
        <v>909</v>
      </c>
      <c r="W28" s="1643">
        <v>232500000</v>
      </c>
      <c r="X28" s="1644">
        <v>176863329</v>
      </c>
      <c r="Y28" s="1644">
        <v>151363329</v>
      </c>
      <c r="Z28" s="3465"/>
      <c r="AA28" s="3465"/>
      <c r="AB28" s="3465"/>
      <c r="AC28" s="3489"/>
      <c r="AD28" s="3465"/>
      <c r="AE28" s="3489"/>
      <c r="AF28" s="3465"/>
      <c r="AG28" s="3489"/>
      <c r="AH28" s="3465"/>
      <c r="AI28" s="3489"/>
      <c r="AJ28" s="3465"/>
      <c r="AK28" s="3489"/>
      <c r="AL28" s="3465"/>
      <c r="AM28" s="3489"/>
      <c r="AN28" s="3525"/>
      <c r="AO28" s="3528"/>
      <c r="AP28" s="3525"/>
      <c r="AQ28" s="3528"/>
      <c r="AR28" s="3525"/>
      <c r="AS28" s="3528"/>
      <c r="AT28" s="3525"/>
      <c r="AU28" s="3528"/>
      <c r="AV28" s="3525"/>
      <c r="AW28" s="3528"/>
      <c r="AX28" s="3525"/>
      <c r="AY28" s="3528"/>
      <c r="AZ28" s="3525"/>
      <c r="BA28" s="3514"/>
      <c r="BB28" s="3514"/>
      <c r="BC28" s="3531"/>
      <c r="BD28" s="3525"/>
      <c r="BE28" s="3525"/>
      <c r="BF28" s="940">
        <v>42592</v>
      </c>
      <c r="BG28" s="949">
        <v>42592</v>
      </c>
      <c r="BH28" s="940">
        <v>42719</v>
      </c>
      <c r="BI28" s="956">
        <v>42724</v>
      </c>
      <c r="BJ28" s="3508"/>
    </row>
    <row r="29" spans="1:62" ht="40.5" customHeight="1">
      <c r="A29" s="3444"/>
      <c r="B29" s="3445"/>
      <c r="C29" s="3446"/>
      <c r="D29" s="3448"/>
      <c r="E29" s="3445"/>
      <c r="F29" s="3446"/>
      <c r="G29" s="3448"/>
      <c r="H29" s="3445"/>
      <c r="I29" s="3446"/>
      <c r="J29" s="970">
        <v>221</v>
      </c>
      <c r="K29" s="975" t="s">
        <v>910</v>
      </c>
      <c r="L29" s="972" t="s">
        <v>873</v>
      </c>
      <c r="M29" s="976">
        <v>1</v>
      </c>
      <c r="N29" s="2580">
        <v>0.5</v>
      </c>
      <c r="O29" s="3522"/>
      <c r="P29" s="3492"/>
      <c r="Q29" s="3493"/>
      <c r="R29" s="1173">
        <f>W29/S27*100</f>
        <v>1.2</v>
      </c>
      <c r="S29" s="3514"/>
      <c r="T29" s="3499"/>
      <c r="U29" s="3500"/>
      <c r="V29" s="3457" t="s">
        <v>911</v>
      </c>
      <c r="W29" s="1643">
        <v>3000000</v>
      </c>
      <c r="X29" s="1644">
        <v>3000000</v>
      </c>
      <c r="Y29" s="1644">
        <v>3000000</v>
      </c>
      <c r="Z29" s="3465"/>
      <c r="AA29" s="3465"/>
      <c r="AB29" s="3465"/>
      <c r="AC29" s="3489"/>
      <c r="AD29" s="3465"/>
      <c r="AE29" s="3489"/>
      <c r="AF29" s="3465"/>
      <c r="AG29" s="3489"/>
      <c r="AH29" s="3465"/>
      <c r="AI29" s="3489"/>
      <c r="AJ29" s="3465"/>
      <c r="AK29" s="3489"/>
      <c r="AL29" s="3465"/>
      <c r="AM29" s="3489"/>
      <c r="AN29" s="3525"/>
      <c r="AO29" s="3528"/>
      <c r="AP29" s="3525"/>
      <c r="AQ29" s="3528"/>
      <c r="AR29" s="3525"/>
      <c r="AS29" s="3528"/>
      <c r="AT29" s="3525"/>
      <c r="AU29" s="3528"/>
      <c r="AV29" s="3525"/>
      <c r="AW29" s="3528"/>
      <c r="AX29" s="3525"/>
      <c r="AY29" s="3528"/>
      <c r="AZ29" s="3525"/>
      <c r="BA29" s="3514"/>
      <c r="BB29" s="3514"/>
      <c r="BC29" s="3531"/>
      <c r="BD29" s="3525"/>
      <c r="BE29" s="3525"/>
      <c r="BF29" s="977">
        <v>42597</v>
      </c>
      <c r="BG29" s="977">
        <v>42598</v>
      </c>
      <c r="BH29" s="978">
        <v>42724</v>
      </c>
      <c r="BI29" s="978">
        <v>42725</v>
      </c>
      <c r="BJ29" s="3508"/>
    </row>
    <row r="30" spans="1:62" ht="48" customHeight="1">
      <c r="A30" s="3444"/>
      <c r="B30" s="3445"/>
      <c r="C30" s="3446"/>
      <c r="D30" s="3449"/>
      <c r="E30" s="3450"/>
      <c r="F30" s="3451"/>
      <c r="G30" s="3449"/>
      <c r="H30" s="3450"/>
      <c r="I30" s="3451"/>
      <c r="J30" s="970">
        <v>222</v>
      </c>
      <c r="K30" s="971" t="s">
        <v>912</v>
      </c>
      <c r="L30" s="972" t="s">
        <v>873</v>
      </c>
      <c r="M30" s="976">
        <v>1</v>
      </c>
      <c r="N30" s="2580">
        <v>1</v>
      </c>
      <c r="O30" s="3522"/>
      <c r="P30" s="3523"/>
      <c r="Q30" s="3493"/>
      <c r="R30" s="1173">
        <f>W30/S27*100</f>
        <v>0.8</v>
      </c>
      <c r="S30" s="3515"/>
      <c r="T30" s="3499"/>
      <c r="U30" s="3458"/>
      <c r="V30" s="3458"/>
      <c r="W30" s="1633">
        <v>2000000</v>
      </c>
      <c r="X30" s="1644">
        <v>2000000</v>
      </c>
      <c r="Y30" s="1644">
        <v>2000000</v>
      </c>
      <c r="Z30" s="3456"/>
      <c r="AA30" s="3456"/>
      <c r="AB30" s="3456"/>
      <c r="AC30" s="3490"/>
      <c r="AD30" s="3456"/>
      <c r="AE30" s="3490"/>
      <c r="AF30" s="3456"/>
      <c r="AG30" s="3490"/>
      <c r="AH30" s="3456"/>
      <c r="AI30" s="3490"/>
      <c r="AJ30" s="3456"/>
      <c r="AK30" s="3490"/>
      <c r="AL30" s="3456"/>
      <c r="AM30" s="3490"/>
      <c r="AN30" s="3526"/>
      <c r="AO30" s="3529"/>
      <c r="AP30" s="3526"/>
      <c r="AQ30" s="3529"/>
      <c r="AR30" s="3526"/>
      <c r="AS30" s="3529"/>
      <c r="AT30" s="3526"/>
      <c r="AU30" s="3529"/>
      <c r="AV30" s="3526"/>
      <c r="AW30" s="3529"/>
      <c r="AX30" s="3526"/>
      <c r="AY30" s="3529"/>
      <c r="AZ30" s="3526"/>
      <c r="BA30" s="3515"/>
      <c r="BB30" s="3515"/>
      <c r="BC30" s="3532"/>
      <c r="BD30" s="3526"/>
      <c r="BE30" s="3526"/>
      <c r="BF30" s="977" t="s">
        <v>913</v>
      </c>
      <c r="BG30" s="979">
        <v>42602</v>
      </c>
      <c r="BH30" s="977">
        <v>42724</v>
      </c>
      <c r="BI30" s="956">
        <v>42724</v>
      </c>
      <c r="BJ30" s="3509"/>
    </row>
    <row r="31" spans="1:62" ht="33" customHeight="1">
      <c r="A31" s="3444"/>
      <c r="B31" s="3445"/>
      <c r="C31" s="3446"/>
      <c r="D31" s="980">
        <v>24</v>
      </c>
      <c r="E31" s="981" t="s">
        <v>914</v>
      </c>
      <c r="F31" s="981"/>
      <c r="G31" s="981"/>
      <c r="H31" s="981"/>
      <c r="I31" s="981"/>
      <c r="J31" s="981"/>
      <c r="K31" s="981"/>
      <c r="L31" s="981"/>
      <c r="M31" s="981"/>
      <c r="N31" s="2581"/>
      <c r="O31" s="982"/>
      <c r="P31" s="982"/>
      <c r="Q31" s="982"/>
      <c r="R31" s="982"/>
      <c r="S31" s="982"/>
      <c r="T31" s="982"/>
      <c r="U31" s="982"/>
      <c r="V31" s="982"/>
      <c r="W31" s="982"/>
      <c r="X31" s="983"/>
      <c r="Y31" s="983"/>
      <c r="Z31" s="982"/>
      <c r="AA31" s="982"/>
      <c r="AB31" s="982"/>
      <c r="AC31" s="983"/>
      <c r="AD31" s="982"/>
      <c r="AE31" s="983"/>
      <c r="AF31" s="982"/>
      <c r="AG31" s="983"/>
      <c r="AH31" s="982"/>
      <c r="AI31" s="983"/>
      <c r="AJ31" s="982"/>
      <c r="AK31" s="983"/>
      <c r="AL31" s="982"/>
      <c r="AM31" s="983"/>
      <c r="AN31" s="982"/>
      <c r="AO31" s="983"/>
      <c r="AP31" s="982"/>
      <c r="AQ31" s="983"/>
      <c r="AR31" s="982"/>
      <c r="AS31" s="983"/>
      <c r="AT31" s="982"/>
      <c r="AU31" s="983"/>
      <c r="AV31" s="982"/>
      <c r="AW31" s="983"/>
      <c r="AX31" s="982"/>
      <c r="AY31" s="983"/>
      <c r="AZ31" s="982"/>
      <c r="BA31" s="982"/>
      <c r="BB31" s="982"/>
      <c r="BC31" s="982"/>
      <c r="BD31" s="982"/>
      <c r="BE31" s="982"/>
      <c r="BF31" s="982"/>
      <c r="BG31" s="983"/>
      <c r="BH31" s="982"/>
      <c r="BI31" s="983"/>
      <c r="BJ31" s="984"/>
    </row>
    <row r="32" spans="1:62" ht="27.75" customHeight="1">
      <c r="A32" s="3444"/>
      <c r="B32" s="3445"/>
      <c r="C32" s="3446"/>
      <c r="D32" s="3448"/>
      <c r="E32" s="3445"/>
      <c r="F32" s="3446"/>
      <c r="G32" s="985">
        <v>78</v>
      </c>
      <c r="H32" s="932" t="s">
        <v>915</v>
      </c>
      <c r="I32" s="933"/>
      <c r="J32" s="933"/>
      <c r="K32" s="933"/>
      <c r="L32" s="933"/>
      <c r="M32" s="933"/>
      <c r="N32" s="2582"/>
      <c r="O32" s="933"/>
      <c r="P32" s="933"/>
      <c r="Q32" s="933"/>
      <c r="R32" s="1659"/>
      <c r="S32" s="933"/>
      <c r="T32" s="933"/>
      <c r="U32" s="933"/>
      <c r="V32" s="933"/>
      <c r="W32" s="933"/>
      <c r="X32" s="934"/>
      <c r="Y32" s="934"/>
      <c r="Z32" s="933"/>
      <c r="AA32" s="933"/>
      <c r="AB32" s="933"/>
      <c r="AC32" s="934"/>
      <c r="AD32" s="933"/>
      <c r="AE32" s="934"/>
      <c r="AF32" s="933"/>
      <c r="AG32" s="934"/>
      <c r="AH32" s="933"/>
      <c r="AI32" s="934"/>
      <c r="AJ32" s="933"/>
      <c r="AK32" s="934"/>
      <c r="AL32" s="933"/>
      <c r="AM32" s="934"/>
      <c r="AN32" s="933"/>
      <c r="AO32" s="934"/>
      <c r="AP32" s="933"/>
      <c r="AQ32" s="934"/>
      <c r="AR32" s="933"/>
      <c r="AS32" s="934"/>
      <c r="AT32" s="933"/>
      <c r="AU32" s="934"/>
      <c r="AV32" s="933"/>
      <c r="AW32" s="934"/>
      <c r="AX32" s="933"/>
      <c r="AY32" s="934"/>
      <c r="AZ32" s="933"/>
      <c r="BA32" s="933"/>
      <c r="BB32" s="933"/>
      <c r="BC32" s="933"/>
      <c r="BD32" s="933"/>
      <c r="BE32" s="933"/>
      <c r="BF32" s="933"/>
      <c r="BG32" s="934"/>
      <c r="BH32" s="986"/>
      <c r="BI32" s="987"/>
      <c r="BJ32" s="988"/>
    </row>
    <row r="33" spans="1:62" ht="71.25">
      <c r="A33" s="3444"/>
      <c r="B33" s="3445"/>
      <c r="C33" s="3446"/>
      <c r="D33" s="3448"/>
      <c r="E33" s="3445"/>
      <c r="F33" s="3446"/>
      <c r="G33" s="3452"/>
      <c r="H33" s="3453"/>
      <c r="I33" s="3454"/>
      <c r="J33" s="3533">
        <v>226</v>
      </c>
      <c r="K33" s="3476" t="s">
        <v>916</v>
      </c>
      <c r="L33" s="3512" t="s">
        <v>873</v>
      </c>
      <c r="M33" s="3542">
        <v>12</v>
      </c>
      <c r="N33" s="3461">
        <v>12</v>
      </c>
      <c r="O33" s="989"/>
      <c r="P33" s="3491">
        <v>30</v>
      </c>
      <c r="Q33" s="3457" t="s">
        <v>917</v>
      </c>
      <c r="R33" s="3403">
        <f>+(W33+W34+W35+W36+W37+W38+W39)/S33</f>
        <v>0.4152123692856334</v>
      </c>
      <c r="S33" s="3513">
        <v>406038000</v>
      </c>
      <c r="T33" s="3457" t="s">
        <v>918</v>
      </c>
      <c r="U33" s="3457" t="s">
        <v>919</v>
      </c>
      <c r="V33" s="953" t="s">
        <v>920</v>
      </c>
      <c r="W33" s="1633">
        <v>6100000</v>
      </c>
      <c r="X33" s="1644">
        <v>6100000</v>
      </c>
      <c r="Y33" s="1644">
        <v>6100000</v>
      </c>
      <c r="Z33" s="3491">
        <v>20</v>
      </c>
      <c r="AA33" s="3455" t="s">
        <v>232</v>
      </c>
      <c r="AB33" s="3537">
        <v>363</v>
      </c>
      <c r="AC33" s="3539">
        <v>221</v>
      </c>
      <c r="AD33" s="3537">
        <v>705</v>
      </c>
      <c r="AE33" s="3539">
        <v>248</v>
      </c>
      <c r="AF33" s="3537">
        <v>553</v>
      </c>
      <c r="AG33" s="3539">
        <v>94</v>
      </c>
      <c r="AH33" s="3537">
        <v>835</v>
      </c>
      <c r="AI33" s="3539">
        <v>299</v>
      </c>
      <c r="AJ33" s="3537">
        <v>1717</v>
      </c>
      <c r="AK33" s="3539">
        <v>813</v>
      </c>
      <c r="AL33" s="3537">
        <v>282</v>
      </c>
      <c r="AM33" s="3539">
        <v>280</v>
      </c>
      <c r="AN33" s="3537">
        <v>141</v>
      </c>
      <c r="AO33" s="3539">
        <v>35</v>
      </c>
      <c r="AP33" s="3537">
        <v>112</v>
      </c>
      <c r="AQ33" s="3539">
        <v>53</v>
      </c>
      <c r="AR33" s="3537"/>
      <c r="AS33" s="3539"/>
      <c r="AT33" s="3537">
        <f>AB33+AD33+AF33+AH33+AJ33+AL33+AN33+AP33</f>
        <v>4708</v>
      </c>
      <c r="AU33" s="3539">
        <f>+AC33+AE33+AG33+AI33+AK33+AM33+AO33+AQ33</f>
        <v>2043</v>
      </c>
      <c r="AV33" s="3537"/>
      <c r="AW33" s="3539"/>
      <c r="AX33" s="3537"/>
      <c r="AY33" s="3539"/>
      <c r="AZ33" s="3537">
        <v>21</v>
      </c>
      <c r="BA33" s="3513">
        <f>SUM(X33:$X$44)</f>
        <v>176126445</v>
      </c>
      <c r="BB33" s="3513">
        <f>SUM(Y33:Y44)</f>
        <v>160585645</v>
      </c>
      <c r="BC33" s="3516">
        <f>BB33/BA33</f>
        <v>0.9117633924877097</v>
      </c>
      <c r="BD33" s="3547" t="s">
        <v>921</v>
      </c>
      <c r="BE33" s="3537" t="s">
        <v>922</v>
      </c>
      <c r="BF33" s="940">
        <v>42592</v>
      </c>
      <c r="BG33" s="949">
        <v>42592</v>
      </c>
      <c r="BH33" s="940">
        <v>42719</v>
      </c>
      <c r="BI33" s="949">
        <v>42724</v>
      </c>
      <c r="BJ33" s="3551" t="s">
        <v>2146</v>
      </c>
    </row>
    <row r="34" spans="1:62" ht="71.25">
      <c r="A34" s="3444"/>
      <c r="B34" s="3445"/>
      <c r="C34" s="3446"/>
      <c r="D34" s="3448"/>
      <c r="E34" s="3445"/>
      <c r="F34" s="3446"/>
      <c r="G34" s="3448"/>
      <c r="H34" s="3445"/>
      <c r="I34" s="3446"/>
      <c r="J34" s="3534"/>
      <c r="K34" s="3536"/>
      <c r="L34" s="3512"/>
      <c r="M34" s="3542"/>
      <c r="N34" s="3461"/>
      <c r="O34" s="990"/>
      <c r="P34" s="3492"/>
      <c r="Q34" s="3500"/>
      <c r="R34" s="3544"/>
      <c r="S34" s="3514"/>
      <c r="T34" s="3500"/>
      <c r="U34" s="3500"/>
      <c r="V34" s="953" t="s">
        <v>923</v>
      </c>
      <c r="W34" s="1633">
        <v>6100000</v>
      </c>
      <c r="X34" s="1644">
        <v>6100000</v>
      </c>
      <c r="Y34" s="1644">
        <v>6100000</v>
      </c>
      <c r="Z34" s="3492"/>
      <c r="AA34" s="3465"/>
      <c r="AB34" s="3538"/>
      <c r="AC34" s="3540"/>
      <c r="AD34" s="3538"/>
      <c r="AE34" s="3540"/>
      <c r="AF34" s="3538"/>
      <c r="AG34" s="3540"/>
      <c r="AH34" s="3538"/>
      <c r="AI34" s="3540"/>
      <c r="AJ34" s="3538"/>
      <c r="AK34" s="3540"/>
      <c r="AL34" s="3538"/>
      <c r="AM34" s="3540"/>
      <c r="AN34" s="3538"/>
      <c r="AO34" s="3540"/>
      <c r="AP34" s="3538"/>
      <c r="AQ34" s="3540"/>
      <c r="AR34" s="3538"/>
      <c r="AS34" s="3540"/>
      <c r="AT34" s="3538"/>
      <c r="AU34" s="3540"/>
      <c r="AV34" s="3538"/>
      <c r="AW34" s="3540"/>
      <c r="AX34" s="3538"/>
      <c r="AY34" s="3540"/>
      <c r="AZ34" s="3538"/>
      <c r="BA34" s="3545"/>
      <c r="BB34" s="3545"/>
      <c r="BC34" s="3517"/>
      <c r="BD34" s="3548"/>
      <c r="BE34" s="3538"/>
      <c r="BF34" s="940">
        <v>42593</v>
      </c>
      <c r="BG34" s="949">
        <v>42592</v>
      </c>
      <c r="BH34" s="940">
        <v>42720</v>
      </c>
      <c r="BI34" s="949">
        <v>42724</v>
      </c>
      <c r="BJ34" s="3551"/>
    </row>
    <row r="35" spans="1:62" ht="71.25">
      <c r="A35" s="3444"/>
      <c r="B35" s="3445"/>
      <c r="C35" s="3446"/>
      <c r="D35" s="3448"/>
      <c r="E35" s="3445"/>
      <c r="F35" s="3446"/>
      <c r="G35" s="3448"/>
      <c r="H35" s="3445"/>
      <c r="I35" s="3446"/>
      <c r="J35" s="3534"/>
      <c r="K35" s="3536"/>
      <c r="L35" s="3512"/>
      <c r="M35" s="3542"/>
      <c r="N35" s="3461"/>
      <c r="O35" s="990"/>
      <c r="P35" s="3492"/>
      <c r="Q35" s="3500"/>
      <c r="R35" s="3544"/>
      <c r="S35" s="3514"/>
      <c r="T35" s="3500"/>
      <c r="U35" s="3500"/>
      <c r="V35" s="953" t="s">
        <v>924</v>
      </c>
      <c r="W35" s="1633">
        <v>6100000</v>
      </c>
      <c r="X35" s="1644">
        <v>6100000</v>
      </c>
      <c r="Y35" s="1644">
        <v>6100000</v>
      </c>
      <c r="Z35" s="3492"/>
      <c r="AA35" s="3465"/>
      <c r="AB35" s="3538"/>
      <c r="AC35" s="3540"/>
      <c r="AD35" s="3538"/>
      <c r="AE35" s="3540"/>
      <c r="AF35" s="3538"/>
      <c r="AG35" s="3540"/>
      <c r="AH35" s="3538"/>
      <c r="AI35" s="3540"/>
      <c r="AJ35" s="3538"/>
      <c r="AK35" s="3540"/>
      <c r="AL35" s="3538"/>
      <c r="AM35" s="3540"/>
      <c r="AN35" s="3538"/>
      <c r="AO35" s="3540"/>
      <c r="AP35" s="3538"/>
      <c r="AQ35" s="3540"/>
      <c r="AR35" s="3538"/>
      <c r="AS35" s="3540"/>
      <c r="AT35" s="3538"/>
      <c r="AU35" s="3540"/>
      <c r="AV35" s="3538"/>
      <c r="AW35" s="3540"/>
      <c r="AX35" s="3538"/>
      <c r="AY35" s="3540"/>
      <c r="AZ35" s="3538"/>
      <c r="BA35" s="3545"/>
      <c r="BB35" s="3545"/>
      <c r="BC35" s="3517"/>
      <c r="BD35" s="3548"/>
      <c r="BE35" s="3538"/>
      <c r="BF35" s="940">
        <v>42594</v>
      </c>
      <c r="BG35" s="949">
        <v>42592</v>
      </c>
      <c r="BH35" s="940">
        <v>42721</v>
      </c>
      <c r="BI35" s="949">
        <v>42724</v>
      </c>
      <c r="BJ35" s="3551"/>
    </row>
    <row r="36" spans="1:62" ht="39" customHeight="1">
      <c r="A36" s="3444"/>
      <c r="B36" s="3445"/>
      <c r="C36" s="3446"/>
      <c r="D36" s="3448"/>
      <c r="E36" s="3445"/>
      <c r="F36" s="3446"/>
      <c r="G36" s="3448"/>
      <c r="H36" s="3445"/>
      <c r="I36" s="3446"/>
      <c r="J36" s="3534"/>
      <c r="K36" s="3536"/>
      <c r="L36" s="3512"/>
      <c r="M36" s="3542"/>
      <c r="N36" s="3461"/>
      <c r="O36" s="990"/>
      <c r="P36" s="3492"/>
      <c r="Q36" s="3500"/>
      <c r="R36" s="3544"/>
      <c r="S36" s="3514"/>
      <c r="T36" s="3500"/>
      <c r="U36" s="3500"/>
      <c r="V36" s="953" t="s">
        <v>925</v>
      </c>
      <c r="W36" s="1633">
        <v>23400000</v>
      </c>
      <c r="X36" s="1644">
        <v>23400000</v>
      </c>
      <c r="Y36" s="1644">
        <v>23400000</v>
      </c>
      <c r="Z36" s="3492"/>
      <c r="AA36" s="3465"/>
      <c r="AB36" s="3538"/>
      <c r="AC36" s="3540"/>
      <c r="AD36" s="3538"/>
      <c r="AE36" s="3540"/>
      <c r="AF36" s="3538"/>
      <c r="AG36" s="3540"/>
      <c r="AH36" s="3538"/>
      <c r="AI36" s="3540"/>
      <c r="AJ36" s="3538"/>
      <c r="AK36" s="3540"/>
      <c r="AL36" s="3538"/>
      <c r="AM36" s="3540"/>
      <c r="AN36" s="3538"/>
      <c r="AO36" s="3540"/>
      <c r="AP36" s="3538"/>
      <c r="AQ36" s="3540"/>
      <c r="AR36" s="3538"/>
      <c r="AS36" s="3540"/>
      <c r="AT36" s="3538"/>
      <c r="AU36" s="3540"/>
      <c r="AV36" s="3538"/>
      <c r="AW36" s="3540"/>
      <c r="AX36" s="3538"/>
      <c r="AY36" s="3540"/>
      <c r="AZ36" s="3538"/>
      <c r="BA36" s="3545"/>
      <c r="BB36" s="3545"/>
      <c r="BC36" s="3517"/>
      <c r="BD36" s="3548"/>
      <c r="BE36" s="3538"/>
      <c r="BF36" s="940">
        <v>42592</v>
      </c>
      <c r="BG36" s="949">
        <v>42592</v>
      </c>
      <c r="BH36" s="940">
        <v>42719</v>
      </c>
      <c r="BI36" s="949">
        <v>42724</v>
      </c>
      <c r="BJ36" s="3551"/>
    </row>
    <row r="37" spans="1:62" ht="96.75" customHeight="1">
      <c r="A37" s="3444"/>
      <c r="B37" s="3445"/>
      <c r="C37" s="3446"/>
      <c r="D37" s="3448"/>
      <c r="E37" s="3445"/>
      <c r="F37" s="3446"/>
      <c r="G37" s="3448"/>
      <c r="H37" s="3445"/>
      <c r="I37" s="3446"/>
      <c r="J37" s="3534"/>
      <c r="K37" s="3536"/>
      <c r="L37" s="3512"/>
      <c r="M37" s="3542"/>
      <c r="N37" s="3461"/>
      <c r="O37" s="990"/>
      <c r="P37" s="3492"/>
      <c r="Q37" s="3500"/>
      <c r="R37" s="3544"/>
      <c r="S37" s="3514"/>
      <c r="T37" s="3500"/>
      <c r="U37" s="3500"/>
      <c r="V37" s="953" t="s">
        <v>926</v>
      </c>
      <c r="W37" s="1633">
        <v>60000000</v>
      </c>
      <c r="X37" s="1644">
        <v>0</v>
      </c>
      <c r="Y37" s="1644">
        <v>0</v>
      </c>
      <c r="Z37" s="3492"/>
      <c r="AA37" s="3465"/>
      <c r="AB37" s="3538"/>
      <c r="AC37" s="3540"/>
      <c r="AD37" s="3538"/>
      <c r="AE37" s="3540"/>
      <c r="AF37" s="3538"/>
      <c r="AG37" s="3540"/>
      <c r="AH37" s="3538"/>
      <c r="AI37" s="3540"/>
      <c r="AJ37" s="3538"/>
      <c r="AK37" s="3540"/>
      <c r="AL37" s="3538"/>
      <c r="AM37" s="3540"/>
      <c r="AN37" s="3538"/>
      <c r="AO37" s="3540"/>
      <c r="AP37" s="3538"/>
      <c r="AQ37" s="3540"/>
      <c r="AR37" s="3538"/>
      <c r="AS37" s="3540"/>
      <c r="AT37" s="3538"/>
      <c r="AU37" s="3540"/>
      <c r="AV37" s="3538"/>
      <c r="AW37" s="3540"/>
      <c r="AX37" s="3538"/>
      <c r="AY37" s="3540"/>
      <c r="AZ37" s="3538"/>
      <c r="BA37" s="3545"/>
      <c r="BB37" s="3545"/>
      <c r="BC37" s="3517"/>
      <c r="BD37" s="3548"/>
      <c r="BE37" s="3538"/>
      <c r="BF37" s="940">
        <v>42628</v>
      </c>
      <c r="BG37" s="949"/>
      <c r="BH37" s="940">
        <v>42724</v>
      </c>
      <c r="BI37" s="949"/>
      <c r="BJ37" s="3551"/>
    </row>
    <row r="38" spans="1:62" ht="57">
      <c r="A38" s="3444"/>
      <c r="B38" s="3445"/>
      <c r="C38" s="3446"/>
      <c r="D38" s="3448"/>
      <c r="E38" s="3445"/>
      <c r="F38" s="3446"/>
      <c r="G38" s="3448"/>
      <c r="H38" s="3445"/>
      <c r="I38" s="3446"/>
      <c r="J38" s="3534"/>
      <c r="K38" s="3536"/>
      <c r="L38" s="3512"/>
      <c r="M38" s="3542"/>
      <c r="N38" s="3461"/>
      <c r="O38" s="990" t="s">
        <v>927</v>
      </c>
      <c r="P38" s="3492"/>
      <c r="Q38" s="3500"/>
      <c r="R38" s="3544"/>
      <c r="S38" s="3514"/>
      <c r="T38" s="3500"/>
      <c r="U38" s="3500"/>
      <c r="V38" s="953" t="s">
        <v>928</v>
      </c>
      <c r="W38" s="1633">
        <v>26892000</v>
      </c>
      <c r="X38" s="1644">
        <v>26643000</v>
      </c>
      <c r="Y38" s="1644">
        <f>15399000+11244000</f>
        <v>26643000</v>
      </c>
      <c r="Z38" s="3492"/>
      <c r="AA38" s="3465"/>
      <c r="AB38" s="3538"/>
      <c r="AC38" s="3540"/>
      <c r="AD38" s="3538"/>
      <c r="AE38" s="3540"/>
      <c r="AF38" s="3538"/>
      <c r="AG38" s="3540"/>
      <c r="AH38" s="3538"/>
      <c r="AI38" s="3540"/>
      <c r="AJ38" s="3538"/>
      <c r="AK38" s="3540"/>
      <c r="AL38" s="3538"/>
      <c r="AM38" s="3540"/>
      <c r="AN38" s="3538"/>
      <c r="AO38" s="3540"/>
      <c r="AP38" s="3538"/>
      <c r="AQ38" s="3540"/>
      <c r="AR38" s="3538"/>
      <c r="AS38" s="3540"/>
      <c r="AT38" s="3538"/>
      <c r="AU38" s="3540"/>
      <c r="AV38" s="3538"/>
      <c r="AW38" s="3540"/>
      <c r="AX38" s="3538"/>
      <c r="AY38" s="3540"/>
      <c r="AZ38" s="3538"/>
      <c r="BA38" s="3545"/>
      <c r="BB38" s="3545"/>
      <c r="BC38" s="3517"/>
      <c r="BD38" s="3548"/>
      <c r="BE38" s="3538"/>
      <c r="BF38" s="940">
        <v>42628</v>
      </c>
      <c r="BG38" s="949">
        <v>42629</v>
      </c>
      <c r="BH38" s="940">
        <v>42724</v>
      </c>
      <c r="BI38" s="940">
        <v>42725</v>
      </c>
      <c r="BJ38" s="3551"/>
    </row>
    <row r="39" spans="1:62" ht="57">
      <c r="A39" s="3444"/>
      <c r="B39" s="3445"/>
      <c r="C39" s="3446"/>
      <c r="D39" s="3448"/>
      <c r="E39" s="3445"/>
      <c r="F39" s="3446"/>
      <c r="G39" s="3448"/>
      <c r="H39" s="3445"/>
      <c r="I39" s="3446"/>
      <c r="J39" s="3535"/>
      <c r="K39" s="3477"/>
      <c r="L39" s="3472"/>
      <c r="M39" s="3543"/>
      <c r="N39" s="3461"/>
      <c r="O39" s="990" t="s">
        <v>929</v>
      </c>
      <c r="P39" s="3492"/>
      <c r="Q39" s="3500"/>
      <c r="R39" s="3404"/>
      <c r="S39" s="3514"/>
      <c r="T39" s="3500"/>
      <c r="U39" s="3500"/>
      <c r="V39" s="953" t="s">
        <v>930</v>
      </c>
      <c r="W39" s="1633">
        <v>40000000</v>
      </c>
      <c r="X39" s="1644">
        <v>0</v>
      </c>
      <c r="Y39" s="1644">
        <v>0</v>
      </c>
      <c r="Z39" s="3492"/>
      <c r="AA39" s="3465"/>
      <c r="AB39" s="3538"/>
      <c r="AC39" s="3540"/>
      <c r="AD39" s="3538"/>
      <c r="AE39" s="3540"/>
      <c r="AF39" s="3538"/>
      <c r="AG39" s="3540"/>
      <c r="AH39" s="3538"/>
      <c r="AI39" s="3540"/>
      <c r="AJ39" s="3538"/>
      <c r="AK39" s="3540"/>
      <c r="AL39" s="3538"/>
      <c r="AM39" s="3540"/>
      <c r="AN39" s="3538"/>
      <c r="AO39" s="3540"/>
      <c r="AP39" s="3538"/>
      <c r="AQ39" s="3540"/>
      <c r="AR39" s="3538"/>
      <c r="AS39" s="3540"/>
      <c r="AT39" s="3538"/>
      <c r="AU39" s="3540"/>
      <c r="AV39" s="3538"/>
      <c r="AW39" s="3540"/>
      <c r="AX39" s="3538"/>
      <c r="AY39" s="3540"/>
      <c r="AZ39" s="3538"/>
      <c r="BA39" s="3545"/>
      <c r="BB39" s="3545"/>
      <c r="BC39" s="3517"/>
      <c r="BD39" s="3548"/>
      <c r="BE39" s="3538"/>
      <c r="BF39" s="940" t="s">
        <v>931</v>
      </c>
      <c r="BG39" s="949"/>
      <c r="BH39" s="940">
        <v>42724</v>
      </c>
      <c r="BI39" s="949"/>
      <c r="BJ39" s="3551"/>
    </row>
    <row r="40" spans="1:62" ht="85.5">
      <c r="A40" s="3444"/>
      <c r="B40" s="3445"/>
      <c r="C40" s="3446"/>
      <c r="D40" s="3448"/>
      <c r="E40" s="3445"/>
      <c r="F40" s="3446"/>
      <c r="G40" s="3448"/>
      <c r="H40" s="3445"/>
      <c r="I40" s="3446"/>
      <c r="J40" s="944">
        <v>227</v>
      </c>
      <c r="K40" s="991" t="s">
        <v>932</v>
      </c>
      <c r="L40" s="946" t="s">
        <v>873</v>
      </c>
      <c r="M40" s="992">
        <v>12</v>
      </c>
      <c r="N40" s="2580">
        <v>6</v>
      </c>
      <c r="O40" s="990"/>
      <c r="P40" s="3492"/>
      <c r="Q40" s="3500"/>
      <c r="R40" s="556">
        <f>+W40/S33</f>
        <v>0.338145690797413</v>
      </c>
      <c r="S40" s="3514"/>
      <c r="T40" s="3500"/>
      <c r="U40" s="3500"/>
      <c r="V40" s="937" t="s">
        <v>933</v>
      </c>
      <c r="W40" s="1633">
        <v>137300000</v>
      </c>
      <c r="X40" s="1644">
        <v>57379675</v>
      </c>
      <c r="Y40" s="1644">
        <v>57379675</v>
      </c>
      <c r="Z40" s="3492"/>
      <c r="AA40" s="3465"/>
      <c r="AB40" s="3538"/>
      <c r="AC40" s="3540"/>
      <c r="AD40" s="3538"/>
      <c r="AE40" s="3540"/>
      <c r="AF40" s="3538"/>
      <c r="AG40" s="3540"/>
      <c r="AH40" s="3538"/>
      <c r="AI40" s="3540"/>
      <c r="AJ40" s="3538"/>
      <c r="AK40" s="3540"/>
      <c r="AL40" s="3538"/>
      <c r="AM40" s="3540"/>
      <c r="AN40" s="3538"/>
      <c r="AO40" s="3540"/>
      <c r="AP40" s="3538"/>
      <c r="AQ40" s="3540"/>
      <c r="AR40" s="3538"/>
      <c r="AS40" s="3540"/>
      <c r="AT40" s="3538"/>
      <c r="AU40" s="3540"/>
      <c r="AV40" s="3538"/>
      <c r="AW40" s="3540"/>
      <c r="AX40" s="3538"/>
      <c r="AY40" s="3540"/>
      <c r="AZ40" s="3538"/>
      <c r="BA40" s="3545"/>
      <c r="BB40" s="3545"/>
      <c r="BC40" s="3517"/>
      <c r="BD40" s="3548"/>
      <c r="BE40" s="3538"/>
      <c r="BF40" s="940">
        <v>42602</v>
      </c>
      <c r="BG40" s="949">
        <v>42603</v>
      </c>
      <c r="BH40" s="940">
        <v>42724</v>
      </c>
      <c r="BI40" s="949">
        <v>42725</v>
      </c>
      <c r="BJ40" s="3551"/>
    </row>
    <row r="41" spans="1:64" ht="71.25">
      <c r="A41" s="3444"/>
      <c r="B41" s="3445"/>
      <c r="C41" s="3446"/>
      <c r="D41" s="3448"/>
      <c r="E41" s="3445"/>
      <c r="F41" s="3446"/>
      <c r="G41" s="3448"/>
      <c r="H41" s="3445"/>
      <c r="I41" s="3446"/>
      <c r="J41" s="944">
        <v>228</v>
      </c>
      <c r="K41" s="971" t="s">
        <v>934</v>
      </c>
      <c r="L41" s="946" t="s">
        <v>873</v>
      </c>
      <c r="M41" s="992">
        <v>2</v>
      </c>
      <c r="N41" s="2580">
        <v>2</v>
      </c>
      <c r="O41" s="990"/>
      <c r="P41" s="3492"/>
      <c r="Q41" s="3500"/>
      <c r="R41" s="556">
        <f>+W41/S33</f>
        <v>0.07375171781951442</v>
      </c>
      <c r="S41" s="3514"/>
      <c r="T41" s="3500"/>
      <c r="U41" s="3500"/>
      <c r="V41" s="937" t="s">
        <v>935</v>
      </c>
      <c r="W41" s="1633">
        <v>29946000</v>
      </c>
      <c r="X41" s="1644">
        <v>11612970</v>
      </c>
      <c r="Y41" s="1644">
        <v>11612970</v>
      </c>
      <c r="Z41" s="3492"/>
      <c r="AA41" s="3465"/>
      <c r="AB41" s="3538"/>
      <c r="AC41" s="3540"/>
      <c r="AD41" s="3538"/>
      <c r="AE41" s="3540"/>
      <c r="AF41" s="3538"/>
      <c r="AG41" s="3540"/>
      <c r="AH41" s="3538"/>
      <c r="AI41" s="3540"/>
      <c r="AJ41" s="3538"/>
      <c r="AK41" s="3540"/>
      <c r="AL41" s="3538"/>
      <c r="AM41" s="3540"/>
      <c r="AN41" s="3538"/>
      <c r="AO41" s="3540"/>
      <c r="AP41" s="3538"/>
      <c r="AQ41" s="3540"/>
      <c r="AR41" s="3538"/>
      <c r="AS41" s="3540"/>
      <c r="AT41" s="3538"/>
      <c r="AU41" s="3540"/>
      <c r="AV41" s="3538"/>
      <c r="AW41" s="3540"/>
      <c r="AX41" s="3538"/>
      <c r="AY41" s="3540"/>
      <c r="AZ41" s="3538"/>
      <c r="BA41" s="3545"/>
      <c r="BB41" s="3545"/>
      <c r="BC41" s="3517"/>
      <c r="BD41" s="3548"/>
      <c r="BE41" s="3538"/>
      <c r="BF41" s="940">
        <v>42607</v>
      </c>
      <c r="BG41" s="949">
        <v>42628</v>
      </c>
      <c r="BH41" s="940">
        <v>42719</v>
      </c>
      <c r="BI41" s="949">
        <v>42724</v>
      </c>
      <c r="BJ41" s="3551"/>
      <c r="BK41" s="909"/>
      <c r="BL41" s="909"/>
    </row>
    <row r="42" spans="1:64" ht="79.5" customHeight="1">
      <c r="A42" s="3444"/>
      <c r="B42" s="3445"/>
      <c r="C42" s="3446"/>
      <c r="D42" s="3448"/>
      <c r="E42" s="3445"/>
      <c r="F42" s="3446"/>
      <c r="G42" s="3448"/>
      <c r="H42" s="3445"/>
      <c r="I42" s="3446"/>
      <c r="J42" s="944">
        <v>229</v>
      </c>
      <c r="K42" s="991" t="s">
        <v>936</v>
      </c>
      <c r="L42" s="946" t="s">
        <v>873</v>
      </c>
      <c r="M42" s="992">
        <v>13</v>
      </c>
      <c r="N42" s="2580">
        <v>8</v>
      </c>
      <c r="O42" s="990"/>
      <c r="P42" s="3492"/>
      <c r="Q42" s="3500"/>
      <c r="R42" s="556">
        <f>+W42/S33</f>
        <v>0.10269974731429078</v>
      </c>
      <c r="S42" s="3514"/>
      <c r="T42" s="3500"/>
      <c r="U42" s="3500"/>
      <c r="V42" s="937" t="s">
        <v>937</v>
      </c>
      <c r="W42" s="1633">
        <v>41700000</v>
      </c>
      <c r="X42" s="1644">
        <v>18500000</v>
      </c>
      <c r="Y42" s="1644">
        <v>18500000</v>
      </c>
      <c r="Z42" s="3492"/>
      <c r="AA42" s="3465"/>
      <c r="AB42" s="3538"/>
      <c r="AC42" s="3540"/>
      <c r="AD42" s="3538"/>
      <c r="AE42" s="3540"/>
      <c r="AF42" s="3538"/>
      <c r="AG42" s="3540"/>
      <c r="AH42" s="3538"/>
      <c r="AI42" s="3540"/>
      <c r="AJ42" s="3538"/>
      <c r="AK42" s="3540"/>
      <c r="AL42" s="3538"/>
      <c r="AM42" s="3540"/>
      <c r="AN42" s="3538"/>
      <c r="AO42" s="3540"/>
      <c r="AP42" s="3538"/>
      <c r="AQ42" s="3540"/>
      <c r="AR42" s="3538"/>
      <c r="AS42" s="3540"/>
      <c r="AT42" s="3538"/>
      <c r="AU42" s="3540"/>
      <c r="AV42" s="3538"/>
      <c r="AW42" s="3540"/>
      <c r="AX42" s="3538"/>
      <c r="AY42" s="3540"/>
      <c r="AZ42" s="3538"/>
      <c r="BA42" s="3545"/>
      <c r="BB42" s="3545"/>
      <c r="BC42" s="3517"/>
      <c r="BD42" s="3548"/>
      <c r="BE42" s="3538"/>
      <c r="BF42" s="940">
        <v>42597</v>
      </c>
      <c r="BG42" s="949">
        <v>42628</v>
      </c>
      <c r="BH42" s="940">
        <v>42719</v>
      </c>
      <c r="BI42" s="949">
        <v>42724</v>
      </c>
      <c r="BJ42" s="3551"/>
      <c r="BK42" s="909"/>
      <c r="BL42" s="909"/>
    </row>
    <row r="43" spans="1:64" ht="71.25">
      <c r="A43" s="3444"/>
      <c r="B43" s="3445"/>
      <c r="C43" s="3446"/>
      <c r="D43" s="3448"/>
      <c r="E43" s="3445"/>
      <c r="F43" s="3446"/>
      <c r="G43" s="3448"/>
      <c r="H43" s="3445"/>
      <c r="I43" s="3446"/>
      <c r="J43" s="3455">
        <v>230</v>
      </c>
      <c r="K43" s="3552" t="s">
        <v>938</v>
      </c>
      <c r="L43" s="3466" t="s">
        <v>873</v>
      </c>
      <c r="M43" s="3554">
        <v>1</v>
      </c>
      <c r="N43" s="3461">
        <v>0.5</v>
      </c>
      <c r="O43" s="990"/>
      <c r="P43" s="3492"/>
      <c r="Q43" s="3500"/>
      <c r="R43" s="3403">
        <f>+(W43+W44)/S33</f>
        <v>0.07019047478314838</v>
      </c>
      <c r="S43" s="3514"/>
      <c r="T43" s="3500"/>
      <c r="U43" s="3500"/>
      <c r="V43" s="974" t="s">
        <v>939</v>
      </c>
      <c r="W43" s="1643">
        <v>13500000</v>
      </c>
      <c r="X43" s="1644">
        <v>15540800</v>
      </c>
      <c r="Y43" s="1644">
        <v>0</v>
      </c>
      <c r="Z43" s="3492"/>
      <c r="AA43" s="3465"/>
      <c r="AB43" s="3538"/>
      <c r="AC43" s="3540"/>
      <c r="AD43" s="3538"/>
      <c r="AE43" s="3540"/>
      <c r="AF43" s="3538"/>
      <c r="AG43" s="3540"/>
      <c r="AH43" s="3538"/>
      <c r="AI43" s="3540"/>
      <c r="AJ43" s="3538"/>
      <c r="AK43" s="3540"/>
      <c r="AL43" s="3538"/>
      <c r="AM43" s="3540"/>
      <c r="AN43" s="3538"/>
      <c r="AO43" s="3540"/>
      <c r="AP43" s="3538"/>
      <c r="AQ43" s="3540"/>
      <c r="AR43" s="3538"/>
      <c r="AS43" s="3540"/>
      <c r="AT43" s="3538"/>
      <c r="AU43" s="3540"/>
      <c r="AV43" s="3538"/>
      <c r="AW43" s="3540"/>
      <c r="AX43" s="3538"/>
      <c r="AY43" s="3540"/>
      <c r="AZ43" s="3538"/>
      <c r="BA43" s="3545"/>
      <c r="BB43" s="3545"/>
      <c r="BC43" s="3517"/>
      <c r="BD43" s="3548"/>
      <c r="BE43" s="3538"/>
      <c r="BF43" s="977">
        <v>42628</v>
      </c>
      <c r="BG43" s="956">
        <v>42629</v>
      </c>
      <c r="BH43" s="977">
        <v>42724</v>
      </c>
      <c r="BI43" s="956">
        <v>42725</v>
      </c>
      <c r="BJ43" s="3551"/>
      <c r="BK43" s="909"/>
      <c r="BL43" s="909"/>
    </row>
    <row r="44" spans="1:62" ht="57">
      <c r="A44" s="3444"/>
      <c r="B44" s="3445"/>
      <c r="C44" s="3446"/>
      <c r="D44" s="3448"/>
      <c r="E44" s="3445"/>
      <c r="F44" s="3446"/>
      <c r="G44" s="3448"/>
      <c r="H44" s="3445"/>
      <c r="I44" s="3446"/>
      <c r="J44" s="3465"/>
      <c r="K44" s="3553"/>
      <c r="L44" s="3512"/>
      <c r="M44" s="3542"/>
      <c r="N44" s="3461"/>
      <c r="O44" s="990"/>
      <c r="P44" s="3492"/>
      <c r="Q44" s="3500"/>
      <c r="R44" s="3544"/>
      <c r="S44" s="3515"/>
      <c r="T44" s="3500"/>
      <c r="U44" s="3500"/>
      <c r="V44" s="993" t="s">
        <v>940</v>
      </c>
      <c r="W44" s="1645">
        <v>15000000</v>
      </c>
      <c r="X44" s="1646">
        <v>4750000</v>
      </c>
      <c r="Y44" s="1646">
        <v>4750000</v>
      </c>
      <c r="Z44" s="3492"/>
      <c r="AA44" s="3465"/>
      <c r="AB44" s="3538"/>
      <c r="AC44" s="3541"/>
      <c r="AD44" s="3538"/>
      <c r="AE44" s="3541"/>
      <c r="AF44" s="3538"/>
      <c r="AG44" s="3541"/>
      <c r="AH44" s="3538"/>
      <c r="AI44" s="3541"/>
      <c r="AJ44" s="3538"/>
      <c r="AK44" s="3541"/>
      <c r="AL44" s="3538"/>
      <c r="AM44" s="3541"/>
      <c r="AN44" s="3538"/>
      <c r="AO44" s="3541"/>
      <c r="AP44" s="3538"/>
      <c r="AQ44" s="3541"/>
      <c r="AR44" s="3550"/>
      <c r="AS44" s="3541"/>
      <c r="AT44" s="3538"/>
      <c r="AU44" s="3541"/>
      <c r="AV44" s="3550"/>
      <c r="AW44" s="3541"/>
      <c r="AX44" s="3550"/>
      <c r="AY44" s="3541"/>
      <c r="AZ44" s="3550"/>
      <c r="BA44" s="3546"/>
      <c r="BB44" s="3546"/>
      <c r="BC44" s="3518"/>
      <c r="BD44" s="3549"/>
      <c r="BE44" s="3550"/>
      <c r="BF44" s="978">
        <v>42597</v>
      </c>
      <c r="BG44" s="994">
        <v>42628</v>
      </c>
      <c r="BH44" s="978">
        <v>42719</v>
      </c>
      <c r="BI44" s="994">
        <v>42724</v>
      </c>
      <c r="BJ44" s="3551"/>
    </row>
    <row r="45" spans="1:62" ht="35.25" customHeight="1">
      <c r="A45" s="3444"/>
      <c r="B45" s="3445"/>
      <c r="C45" s="3446"/>
      <c r="D45" s="3448"/>
      <c r="E45" s="3445"/>
      <c r="F45" s="3446"/>
      <c r="G45" s="3448"/>
      <c r="H45" s="3445"/>
      <c r="I45" s="3446"/>
      <c r="J45" s="3559">
        <v>229</v>
      </c>
      <c r="K45" s="3457" t="s">
        <v>936</v>
      </c>
      <c r="L45" s="3561" t="s">
        <v>941</v>
      </c>
      <c r="M45" s="3473">
        <v>13</v>
      </c>
      <c r="N45" s="3461">
        <v>5</v>
      </c>
      <c r="O45" s="3537" t="s">
        <v>942</v>
      </c>
      <c r="P45" s="3491">
        <v>31</v>
      </c>
      <c r="Q45" s="3555" t="s">
        <v>943</v>
      </c>
      <c r="R45" s="3557">
        <f>+W45/S45</f>
        <v>0.16960075981140396</v>
      </c>
      <c r="S45" s="3513">
        <v>58962000</v>
      </c>
      <c r="T45" s="3499" t="s">
        <v>944</v>
      </c>
      <c r="U45" s="3499" t="s">
        <v>945</v>
      </c>
      <c r="V45" s="3493" t="s">
        <v>946</v>
      </c>
      <c r="W45" s="3567">
        <v>10000000</v>
      </c>
      <c r="X45" s="3568">
        <v>10000000</v>
      </c>
      <c r="Y45" s="3568">
        <v>10000000</v>
      </c>
      <c r="Z45" s="3569">
        <v>20</v>
      </c>
      <c r="AA45" s="3572" t="s">
        <v>232</v>
      </c>
      <c r="AB45" s="3563">
        <v>363</v>
      </c>
      <c r="AC45" s="3564">
        <v>407</v>
      </c>
      <c r="AD45" s="3563">
        <v>705</v>
      </c>
      <c r="AE45" s="3564">
        <v>459</v>
      </c>
      <c r="AF45" s="3563">
        <v>553</v>
      </c>
      <c r="AG45" s="3564">
        <v>175</v>
      </c>
      <c r="AH45" s="3563">
        <v>835</v>
      </c>
      <c r="AI45" s="3564">
        <v>786</v>
      </c>
      <c r="AJ45" s="3563">
        <v>1717</v>
      </c>
      <c r="AK45" s="3564">
        <v>1502</v>
      </c>
      <c r="AL45" s="3563">
        <v>282</v>
      </c>
      <c r="AM45" s="3564">
        <v>282</v>
      </c>
      <c r="AN45" s="3563">
        <v>112</v>
      </c>
      <c r="AO45" s="3564">
        <v>40</v>
      </c>
      <c r="AP45" s="3563">
        <v>141</v>
      </c>
      <c r="AQ45" s="3564">
        <v>30</v>
      </c>
      <c r="AR45" s="3575"/>
      <c r="AS45" s="3564"/>
      <c r="AT45" s="3563">
        <v>4708</v>
      </c>
      <c r="AU45" s="3564">
        <f>+AC45+AE45+AG45+AI45+AK45+AM45+AO45+AQ45</f>
        <v>3681</v>
      </c>
      <c r="AV45" s="3575"/>
      <c r="AW45" s="3564"/>
      <c r="AX45" s="3575"/>
      <c r="AY45" s="3564"/>
      <c r="AZ45" s="3575">
        <v>5</v>
      </c>
      <c r="BA45" s="3513">
        <f>SUM(X45:$X$50)</f>
        <v>50300300</v>
      </c>
      <c r="BB45" s="3513">
        <f>SUM($Y$45:$Y$50)</f>
        <v>50300300</v>
      </c>
      <c r="BC45" s="3593">
        <f>BB45/BA45</f>
        <v>1</v>
      </c>
      <c r="BD45" s="3575">
        <v>20</v>
      </c>
      <c r="BE45" s="3596" t="s">
        <v>922</v>
      </c>
      <c r="BF45" s="3578">
        <v>42415</v>
      </c>
      <c r="BG45" s="3580">
        <v>42415</v>
      </c>
      <c r="BH45" s="3582">
        <v>42571</v>
      </c>
      <c r="BI45" s="3584">
        <v>42546</v>
      </c>
      <c r="BJ45" s="3551"/>
    </row>
    <row r="46" spans="1:62" ht="83.25" customHeight="1">
      <c r="A46" s="3444"/>
      <c r="B46" s="3445"/>
      <c r="C46" s="3446"/>
      <c r="D46" s="3448"/>
      <c r="E46" s="3445"/>
      <c r="F46" s="3446"/>
      <c r="G46" s="3448"/>
      <c r="H46" s="3445"/>
      <c r="I46" s="3446"/>
      <c r="J46" s="3560"/>
      <c r="K46" s="3458"/>
      <c r="L46" s="3562"/>
      <c r="M46" s="3474"/>
      <c r="N46" s="3461"/>
      <c r="O46" s="3538"/>
      <c r="P46" s="3492"/>
      <c r="Q46" s="3556"/>
      <c r="R46" s="3557"/>
      <c r="S46" s="3514"/>
      <c r="T46" s="3499"/>
      <c r="U46" s="3558"/>
      <c r="V46" s="3493"/>
      <c r="W46" s="3567"/>
      <c r="X46" s="3568"/>
      <c r="Y46" s="3568"/>
      <c r="Z46" s="3570"/>
      <c r="AA46" s="3573"/>
      <c r="AB46" s="3563"/>
      <c r="AC46" s="3565"/>
      <c r="AD46" s="3563"/>
      <c r="AE46" s="3565"/>
      <c r="AF46" s="3563"/>
      <c r="AG46" s="3565"/>
      <c r="AH46" s="3563"/>
      <c r="AI46" s="3565"/>
      <c r="AJ46" s="3563"/>
      <c r="AK46" s="3565"/>
      <c r="AL46" s="3563"/>
      <c r="AM46" s="3565"/>
      <c r="AN46" s="3563"/>
      <c r="AO46" s="3565"/>
      <c r="AP46" s="3563"/>
      <c r="AQ46" s="3565"/>
      <c r="AR46" s="3576"/>
      <c r="AS46" s="3565"/>
      <c r="AT46" s="3563"/>
      <c r="AU46" s="3565"/>
      <c r="AV46" s="3576"/>
      <c r="AW46" s="3565"/>
      <c r="AX46" s="3576"/>
      <c r="AY46" s="3565"/>
      <c r="AZ46" s="3576"/>
      <c r="BA46" s="3545"/>
      <c r="BB46" s="3545"/>
      <c r="BC46" s="3594"/>
      <c r="BD46" s="3576"/>
      <c r="BE46" s="3597"/>
      <c r="BF46" s="3579"/>
      <c r="BG46" s="3581"/>
      <c r="BH46" s="3583"/>
      <c r="BI46" s="3585"/>
      <c r="BJ46" s="3551"/>
    </row>
    <row r="47" spans="1:62" ht="49.5" customHeight="1">
      <c r="A47" s="3444"/>
      <c r="B47" s="3445"/>
      <c r="C47" s="3446"/>
      <c r="D47" s="3448"/>
      <c r="E47" s="3445"/>
      <c r="F47" s="3446"/>
      <c r="G47" s="3448"/>
      <c r="H47" s="3445"/>
      <c r="I47" s="3446"/>
      <c r="J47" s="3559">
        <v>227</v>
      </c>
      <c r="K47" s="3457" t="s">
        <v>932</v>
      </c>
      <c r="L47" s="3561" t="s">
        <v>941</v>
      </c>
      <c r="M47" s="3473">
        <v>12</v>
      </c>
      <c r="N47" s="3589">
        <v>6</v>
      </c>
      <c r="O47" s="3538"/>
      <c r="P47" s="3492"/>
      <c r="Q47" s="3556"/>
      <c r="R47" s="3590">
        <f>+(W47+W48+W49+W50)/S45</f>
        <v>0.830399240188596</v>
      </c>
      <c r="S47" s="3514"/>
      <c r="T47" s="3499"/>
      <c r="U47" s="3558"/>
      <c r="V47" s="963" t="s">
        <v>947</v>
      </c>
      <c r="W47" s="1636">
        <v>10000000</v>
      </c>
      <c r="X47" s="1647">
        <v>8868300</v>
      </c>
      <c r="Y47" s="1647">
        <v>8868300</v>
      </c>
      <c r="Z47" s="3570"/>
      <c r="AA47" s="3573"/>
      <c r="AB47" s="3563"/>
      <c r="AC47" s="3565"/>
      <c r="AD47" s="3563"/>
      <c r="AE47" s="3565"/>
      <c r="AF47" s="3563"/>
      <c r="AG47" s="3565"/>
      <c r="AH47" s="3563"/>
      <c r="AI47" s="3565"/>
      <c r="AJ47" s="3563"/>
      <c r="AK47" s="3565"/>
      <c r="AL47" s="3563"/>
      <c r="AM47" s="3565"/>
      <c r="AN47" s="3563"/>
      <c r="AO47" s="3565"/>
      <c r="AP47" s="3563"/>
      <c r="AQ47" s="3565"/>
      <c r="AR47" s="3576"/>
      <c r="AS47" s="3565"/>
      <c r="AT47" s="3563"/>
      <c r="AU47" s="3565"/>
      <c r="AV47" s="3576"/>
      <c r="AW47" s="3565"/>
      <c r="AX47" s="3576"/>
      <c r="AY47" s="3565"/>
      <c r="AZ47" s="3576"/>
      <c r="BA47" s="3545"/>
      <c r="BB47" s="3545"/>
      <c r="BC47" s="3594"/>
      <c r="BD47" s="3576"/>
      <c r="BE47" s="3597"/>
      <c r="BF47" s="995">
        <v>42444</v>
      </c>
      <c r="BG47" s="996">
        <v>42444</v>
      </c>
      <c r="BH47" s="997">
        <v>42638</v>
      </c>
      <c r="BI47" s="998">
        <v>42633</v>
      </c>
      <c r="BJ47" s="3551"/>
    </row>
    <row r="48" spans="1:62" ht="49.5" customHeight="1">
      <c r="A48" s="3444"/>
      <c r="B48" s="3445"/>
      <c r="C48" s="3446"/>
      <c r="D48" s="3448"/>
      <c r="E48" s="3445"/>
      <c r="F48" s="3446"/>
      <c r="G48" s="3448"/>
      <c r="H48" s="3445"/>
      <c r="I48" s="3446"/>
      <c r="J48" s="3586"/>
      <c r="K48" s="3500"/>
      <c r="L48" s="3587"/>
      <c r="M48" s="3588"/>
      <c r="N48" s="3589"/>
      <c r="O48" s="3538"/>
      <c r="P48" s="3492"/>
      <c r="Q48" s="3556"/>
      <c r="R48" s="3591"/>
      <c r="S48" s="3514"/>
      <c r="T48" s="3499"/>
      <c r="U48" s="3558"/>
      <c r="V48" s="999" t="s">
        <v>948</v>
      </c>
      <c r="W48" s="1636">
        <v>8962000</v>
      </c>
      <c r="X48" s="1647">
        <v>8962000</v>
      </c>
      <c r="Y48" s="1647">
        <v>8962000</v>
      </c>
      <c r="Z48" s="3570"/>
      <c r="AA48" s="3573"/>
      <c r="AB48" s="3563"/>
      <c r="AC48" s="3565"/>
      <c r="AD48" s="3563"/>
      <c r="AE48" s="3565"/>
      <c r="AF48" s="3563"/>
      <c r="AG48" s="3565"/>
      <c r="AH48" s="3563"/>
      <c r="AI48" s="3565"/>
      <c r="AJ48" s="3563"/>
      <c r="AK48" s="3565"/>
      <c r="AL48" s="3563"/>
      <c r="AM48" s="3565"/>
      <c r="AN48" s="3563"/>
      <c r="AO48" s="3565"/>
      <c r="AP48" s="3563"/>
      <c r="AQ48" s="3565"/>
      <c r="AR48" s="3576"/>
      <c r="AS48" s="3565"/>
      <c r="AT48" s="3563"/>
      <c r="AU48" s="3565"/>
      <c r="AV48" s="3576"/>
      <c r="AW48" s="3565"/>
      <c r="AX48" s="3576"/>
      <c r="AY48" s="3565"/>
      <c r="AZ48" s="3576"/>
      <c r="BA48" s="3545"/>
      <c r="BB48" s="3545"/>
      <c r="BC48" s="3594"/>
      <c r="BD48" s="3576"/>
      <c r="BE48" s="3597"/>
      <c r="BF48" s="995">
        <v>42415</v>
      </c>
      <c r="BG48" s="996">
        <v>42420</v>
      </c>
      <c r="BH48" s="997">
        <v>42536</v>
      </c>
      <c r="BI48" s="998">
        <v>42536</v>
      </c>
      <c r="BJ48" s="3551"/>
    </row>
    <row r="49" spans="1:62" ht="50.25" customHeight="1">
      <c r="A49" s="3444"/>
      <c r="B49" s="3445"/>
      <c r="C49" s="3446"/>
      <c r="D49" s="3448"/>
      <c r="E49" s="3445"/>
      <c r="F49" s="3446"/>
      <c r="G49" s="3448"/>
      <c r="H49" s="3445"/>
      <c r="I49" s="3446"/>
      <c r="J49" s="3586"/>
      <c r="K49" s="3500"/>
      <c r="L49" s="3587"/>
      <c r="M49" s="3588"/>
      <c r="N49" s="3589"/>
      <c r="O49" s="3538"/>
      <c r="P49" s="3492"/>
      <c r="Q49" s="3556"/>
      <c r="R49" s="3591"/>
      <c r="S49" s="3514"/>
      <c r="T49" s="3499"/>
      <c r="U49" s="3558"/>
      <c r="V49" s="999" t="s">
        <v>949</v>
      </c>
      <c r="W49" s="1636">
        <v>15000000</v>
      </c>
      <c r="X49" s="1647">
        <v>7470000</v>
      </c>
      <c r="Y49" s="1647">
        <v>7470000</v>
      </c>
      <c r="Z49" s="3570"/>
      <c r="AA49" s="3573"/>
      <c r="AB49" s="3563"/>
      <c r="AC49" s="3565"/>
      <c r="AD49" s="3563"/>
      <c r="AE49" s="3565"/>
      <c r="AF49" s="3563"/>
      <c r="AG49" s="3565"/>
      <c r="AH49" s="3563"/>
      <c r="AI49" s="3565"/>
      <c r="AJ49" s="3563"/>
      <c r="AK49" s="3565"/>
      <c r="AL49" s="3563"/>
      <c r="AM49" s="3565"/>
      <c r="AN49" s="3563"/>
      <c r="AO49" s="3565"/>
      <c r="AP49" s="3563"/>
      <c r="AQ49" s="3565"/>
      <c r="AR49" s="3576"/>
      <c r="AS49" s="3565"/>
      <c r="AT49" s="3563"/>
      <c r="AU49" s="3565"/>
      <c r="AV49" s="3576"/>
      <c r="AW49" s="3565"/>
      <c r="AX49" s="3576"/>
      <c r="AY49" s="3565"/>
      <c r="AZ49" s="3576"/>
      <c r="BA49" s="3545"/>
      <c r="BB49" s="3545"/>
      <c r="BC49" s="3594"/>
      <c r="BD49" s="3576"/>
      <c r="BE49" s="3597"/>
      <c r="BF49" s="995">
        <v>42510</v>
      </c>
      <c r="BG49" s="996">
        <v>42444</v>
      </c>
      <c r="BH49" s="997">
        <v>42719</v>
      </c>
      <c r="BI49" s="998">
        <v>42719</v>
      </c>
      <c r="BJ49" s="3551"/>
    </row>
    <row r="50" spans="1:62" ht="42.75">
      <c r="A50" s="3444"/>
      <c r="B50" s="3445"/>
      <c r="C50" s="3446"/>
      <c r="D50" s="3449"/>
      <c r="E50" s="3450"/>
      <c r="F50" s="3451"/>
      <c r="G50" s="3449"/>
      <c r="H50" s="3450"/>
      <c r="I50" s="3451"/>
      <c r="J50" s="3560"/>
      <c r="K50" s="3458"/>
      <c r="L50" s="3562"/>
      <c r="M50" s="3474"/>
      <c r="N50" s="3469"/>
      <c r="O50" s="3550"/>
      <c r="P50" s="3523"/>
      <c r="Q50" s="3556"/>
      <c r="R50" s="3592"/>
      <c r="S50" s="3515"/>
      <c r="T50" s="3499"/>
      <c r="U50" s="3558"/>
      <c r="V50" s="999" t="s">
        <v>950</v>
      </c>
      <c r="W50" s="1648">
        <v>15000000</v>
      </c>
      <c r="X50" s="1647">
        <v>15000000</v>
      </c>
      <c r="Y50" s="1647">
        <v>15000000</v>
      </c>
      <c r="Z50" s="3571"/>
      <c r="AA50" s="3574"/>
      <c r="AB50" s="3563"/>
      <c r="AC50" s="3566"/>
      <c r="AD50" s="3563"/>
      <c r="AE50" s="3566"/>
      <c r="AF50" s="3563"/>
      <c r="AG50" s="3566"/>
      <c r="AH50" s="3563"/>
      <c r="AI50" s="3566"/>
      <c r="AJ50" s="3563"/>
      <c r="AK50" s="3566"/>
      <c r="AL50" s="3563"/>
      <c r="AM50" s="3566"/>
      <c r="AN50" s="3563"/>
      <c r="AO50" s="3566"/>
      <c r="AP50" s="3563"/>
      <c r="AQ50" s="3566"/>
      <c r="AR50" s="3577"/>
      <c r="AS50" s="3566"/>
      <c r="AT50" s="3563"/>
      <c r="AU50" s="3566"/>
      <c r="AV50" s="3577"/>
      <c r="AW50" s="3566"/>
      <c r="AX50" s="3577"/>
      <c r="AY50" s="3566"/>
      <c r="AZ50" s="3577"/>
      <c r="BA50" s="3545"/>
      <c r="BB50" s="3545"/>
      <c r="BC50" s="3595"/>
      <c r="BD50" s="3577"/>
      <c r="BE50" s="3598"/>
      <c r="BF50" s="995">
        <v>42512</v>
      </c>
      <c r="BG50" s="996">
        <v>42444</v>
      </c>
      <c r="BH50" s="997">
        <v>42658</v>
      </c>
      <c r="BI50" s="998">
        <v>42724</v>
      </c>
      <c r="BJ50" s="3551"/>
    </row>
    <row r="51" spans="1:62" ht="32.25" customHeight="1">
      <c r="A51" s="3444"/>
      <c r="B51" s="3445"/>
      <c r="C51" s="3446"/>
      <c r="D51" s="1000">
        <v>25</v>
      </c>
      <c r="E51" s="1001" t="s">
        <v>951</v>
      </c>
      <c r="F51" s="1002"/>
      <c r="G51" s="1002"/>
      <c r="H51" s="1002"/>
      <c r="I51" s="1002"/>
      <c r="J51" s="1002"/>
      <c r="K51" s="1002"/>
      <c r="L51" s="1002"/>
      <c r="M51" s="1002"/>
      <c r="N51" s="2583"/>
      <c r="O51" s="1002"/>
      <c r="P51" s="1002"/>
      <c r="Q51" s="1002"/>
      <c r="R51" s="1002"/>
      <c r="S51" s="1002"/>
      <c r="T51" s="1002"/>
      <c r="U51" s="1002"/>
      <c r="V51" s="1002"/>
      <c r="W51" s="1002"/>
      <c r="X51" s="1003"/>
      <c r="Y51" s="1003"/>
      <c r="Z51" s="1002"/>
      <c r="AA51" s="1002"/>
      <c r="AB51" s="1002"/>
      <c r="AC51" s="1003"/>
      <c r="AD51" s="1002"/>
      <c r="AE51" s="1003"/>
      <c r="AF51" s="1002"/>
      <c r="AG51" s="1003"/>
      <c r="AH51" s="1002"/>
      <c r="AI51" s="1003"/>
      <c r="AJ51" s="1002"/>
      <c r="AK51" s="1003"/>
      <c r="AL51" s="1002"/>
      <c r="AM51" s="1003"/>
      <c r="AN51" s="1002"/>
      <c r="AO51" s="1003"/>
      <c r="AP51" s="1002"/>
      <c r="AQ51" s="1003"/>
      <c r="AR51" s="1002"/>
      <c r="AS51" s="1003"/>
      <c r="AT51" s="1002"/>
      <c r="AU51" s="1003"/>
      <c r="AV51" s="1002"/>
      <c r="AW51" s="1003"/>
      <c r="AX51" s="1002"/>
      <c r="AY51" s="1003"/>
      <c r="AZ51" s="1002"/>
      <c r="BA51" s="1002"/>
      <c r="BB51" s="1002"/>
      <c r="BC51" s="1002"/>
      <c r="BD51" s="1002"/>
      <c r="BE51" s="1002"/>
      <c r="BF51" s="1002"/>
      <c r="BG51" s="1003"/>
      <c r="BH51" s="1002"/>
      <c r="BI51" s="1003"/>
      <c r="BJ51" s="1004"/>
    </row>
    <row r="52" spans="1:62" ht="32.25" customHeight="1">
      <c r="A52" s="3444"/>
      <c r="B52" s="3445"/>
      <c r="C52" s="3446"/>
      <c r="D52" s="3452"/>
      <c r="E52" s="3453"/>
      <c r="F52" s="3454"/>
      <c r="G52" s="1005">
        <v>79</v>
      </c>
      <c r="H52" s="986" t="s">
        <v>952</v>
      </c>
      <c r="I52" s="1006"/>
      <c r="J52" s="1006"/>
      <c r="K52" s="1006"/>
      <c r="L52" s="1006"/>
      <c r="M52" s="1006"/>
      <c r="N52" s="2579"/>
      <c r="O52" s="1006"/>
      <c r="P52" s="1006"/>
      <c r="Q52" s="1006"/>
      <c r="R52" s="1006"/>
      <c r="S52" s="1006"/>
      <c r="T52" s="1006"/>
      <c r="U52" s="1006"/>
      <c r="V52" s="1006"/>
      <c r="W52" s="1006"/>
      <c r="X52" s="987"/>
      <c r="Y52" s="987"/>
      <c r="Z52" s="1006"/>
      <c r="AA52" s="1006"/>
      <c r="AB52" s="1006"/>
      <c r="AC52" s="987"/>
      <c r="AD52" s="1006"/>
      <c r="AE52" s="987"/>
      <c r="AF52" s="1006"/>
      <c r="AG52" s="987"/>
      <c r="AH52" s="1006"/>
      <c r="AI52" s="987"/>
      <c r="AJ52" s="1006"/>
      <c r="AK52" s="987"/>
      <c r="AL52" s="1006"/>
      <c r="AM52" s="987"/>
      <c r="AN52" s="1006"/>
      <c r="AO52" s="987"/>
      <c r="AP52" s="1006"/>
      <c r="AQ52" s="987"/>
      <c r="AR52" s="1006"/>
      <c r="AS52" s="987"/>
      <c r="AT52" s="1006"/>
      <c r="AU52" s="987"/>
      <c r="AV52" s="1006"/>
      <c r="AW52" s="987"/>
      <c r="AX52" s="1006"/>
      <c r="AY52" s="987"/>
      <c r="AZ52" s="1006"/>
      <c r="BA52" s="1006"/>
      <c r="BB52" s="1006"/>
      <c r="BC52" s="1006"/>
      <c r="BD52" s="1006"/>
      <c r="BE52" s="1006"/>
      <c r="BF52" s="1006"/>
      <c r="BG52" s="987"/>
      <c r="BH52" s="1006"/>
      <c r="BI52" s="987"/>
      <c r="BJ52" s="988"/>
    </row>
    <row r="53" spans="1:62" ht="79.5" customHeight="1">
      <c r="A53" s="3444"/>
      <c r="B53" s="3445"/>
      <c r="C53" s="3446"/>
      <c r="D53" s="3448"/>
      <c r="E53" s="3445"/>
      <c r="F53" s="3446"/>
      <c r="G53" s="3603"/>
      <c r="H53" s="3604"/>
      <c r="I53" s="3605"/>
      <c r="J53" s="970">
        <v>231</v>
      </c>
      <c r="K53" s="1007" t="s">
        <v>953</v>
      </c>
      <c r="L53" s="972" t="s">
        <v>873</v>
      </c>
      <c r="M53" s="947">
        <v>1</v>
      </c>
      <c r="N53" s="2580">
        <v>0</v>
      </c>
      <c r="O53" s="3462" t="s">
        <v>954</v>
      </c>
      <c r="P53" s="3491">
        <v>32</v>
      </c>
      <c r="Q53" s="3494" t="s">
        <v>955</v>
      </c>
      <c r="R53" s="1660">
        <f>+(W53)/(S53+S54+S55)</f>
        <v>0.17543859649122806</v>
      </c>
      <c r="S53" s="951">
        <v>3000000</v>
      </c>
      <c r="T53" s="3457" t="s">
        <v>956</v>
      </c>
      <c r="U53" s="3457" t="s">
        <v>957</v>
      </c>
      <c r="V53" s="999" t="s">
        <v>958</v>
      </c>
      <c r="W53" s="1636">
        <v>3000000</v>
      </c>
      <c r="X53" s="1647">
        <v>0</v>
      </c>
      <c r="Y53" s="1647">
        <v>0</v>
      </c>
      <c r="Z53" s="3569">
        <v>20</v>
      </c>
      <c r="AA53" s="3455" t="s">
        <v>232</v>
      </c>
      <c r="AB53" s="3467">
        <v>367</v>
      </c>
      <c r="AC53" s="3600">
        <v>242</v>
      </c>
      <c r="AD53" s="3467">
        <v>414</v>
      </c>
      <c r="AE53" s="3600">
        <v>272</v>
      </c>
      <c r="AF53" s="3467">
        <v>157</v>
      </c>
      <c r="AG53" s="3600">
        <v>104</v>
      </c>
      <c r="AH53" s="3467">
        <v>497</v>
      </c>
      <c r="AI53" s="3600">
        <v>327</v>
      </c>
      <c r="AJ53" s="3467">
        <v>1355</v>
      </c>
      <c r="AK53" s="3600">
        <v>891</v>
      </c>
      <c r="AL53" s="3467"/>
      <c r="AM53" s="3600"/>
      <c r="AN53" s="3467"/>
      <c r="AO53" s="3600"/>
      <c r="AP53" s="3617">
        <v>466</v>
      </c>
      <c r="AQ53" s="3600">
        <v>307</v>
      </c>
      <c r="AR53" s="3617"/>
      <c r="AS53" s="3600"/>
      <c r="AT53" s="3625"/>
      <c r="AU53" s="3622"/>
      <c r="AV53" s="1009"/>
      <c r="AW53" s="3622"/>
      <c r="AX53" s="1009"/>
      <c r="AY53" s="3622"/>
      <c r="AZ53" s="3625">
        <v>4</v>
      </c>
      <c r="BA53" s="3496">
        <f>SUM(X53:$X$56)</f>
        <v>13699630</v>
      </c>
      <c r="BB53" s="3496">
        <f>SUM(Y53:$Y$56)</f>
        <v>13699630</v>
      </c>
      <c r="BC53" s="3628">
        <f>BB53/BA53</f>
        <v>1</v>
      </c>
      <c r="BD53" s="3625">
        <v>20</v>
      </c>
      <c r="BE53" s="3455" t="s">
        <v>922</v>
      </c>
      <c r="BF53" s="1010">
        <v>42628</v>
      </c>
      <c r="BG53" s="1011"/>
      <c r="BH53" s="1012">
        <v>42716</v>
      </c>
      <c r="BI53" s="1013"/>
      <c r="BJ53" s="3455" t="s">
        <v>2146</v>
      </c>
    </row>
    <row r="54" spans="1:62" ht="71.25">
      <c r="A54" s="3444"/>
      <c r="B54" s="3445"/>
      <c r="C54" s="3446"/>
      <c r="D54" s="3448"/>
      <c r="E54" s="3445"/>
      <c r="F54" s="3446"/>
      <c r="G54" s="3606"/>
      <c r="H54" s="3607"/>
      <c r="I54" s="3608"/>
      <c r="J54" s="970">
        <v>232</v>
      </c>
      <c r="K54" s="1007" t="s">
        <v>959</v>
      </c>
      <c r="L54" s="972" t="s">
        <v>873</v>
      </c>
      <c r="M54" s="947">
        <v>12</v>
      </c>
      <c r="N54" s="2580">
        <v>6</v>
      </c>
      <c r="O54" s="3463"/>
      <c r="P54" s="3492"/>
      <c r="Q54" s="3612"/>
      <c r="R54" s="1660">
        <f>+(W54)/(S53+S54+S55)</f>
        <v>0.2631578947368421</v>
      </c>
      <c r="S54" s="951">
        <v>4500000</v>
      </c>
      <c r="T54" s="3500"/>
      <c r="U54" s="3500"/>
      <c r="V54" s="999" t="s">
        <v>960</v>
      </c>
      <c r="W54" s="1636">
        <v>4500000</v>
      </c>
      <c r="X54" s="1647">
        <v>4499630</v>
      </c>
      <c r="Y54" s="1647">
        <v>4499630</v>
      </c>
      <c r="Z54" s="3570"/>
      <c r="AA54" s="3465"/>
      <c r="AB54" s="3599"/>
      <c r="AC54" s="3601"/>
      <c r="AD54" s="3599"/>
      <c r="AE54" s="3601"/>
      <c r="AF54" s="3599"/>
      <c r="AG54" s="3601"/>
      <c r="AH54" s="3599"/>
      <c r="AI54" s="3601"/>
      <c r="AJ54" s="3599"/>
      <c r="AK54" s="3601"/>
      <c r="AL54" s="3599"/>
      <c r="AM54" s="3601"/>
      <c r="AN54" s="3599"/>
      <c r="AO54" s="3601"/>
      <c r="AP54" s="3618"/>
      <c r="AQ54" s="3601"/>
      <c r="AR54" s="3618"/>
      <c r="AS54" s="3601"/>
      <c r="AT54" s="3626"/>
      <c r="AU54" s="3623"/>
      <c r="AV54" s="1014"/>
      <c r="AW54" s="3623"/>
      <c r="AX54" s="1014"/>
      <c r="AY54" s="3623"/>
      <c r="AZ54" s="3626"/>
      <c r="BA54" s="3497"/>
      <c r="BB54" s="3497"/>
      <c r="BC54" s="3629"/>
      <c r="BD54" s="3626"/>
      <c r="BE54" s="3465"/>
      <c r="BF54" s="995">
        <v>42628</v>
      </c>
      <c r="BG54" s="996">
        <v>42592</v>
      </c>
      <c r="BH54" s="997">
        <v>42716</v>
      </c>
      <c r="BI54" s="998">
        <v>42724</v>
      </c>
      <c r="BJ54" s="3465"/>
    </row>
    <row r="55" spans="1:62" ht="42.75">
      <c r="A55" s="3444"/>
      <c r="B55" s="3445"/>
      <c r="C55" s="3446"/>
      <c r="D55" s="3448"/>
      <c r="E55" s="3445"/>
      <c r="F55" s="3446"/>
      <c r="G55" s="3606"/>
      <c r="H55" s="3607"/>
      <c r="I55" s="3608"/>
      <c r="J55" s="3533">
        <v>233</v>
      </c>
      <c r="K55" s="3620" t="s">
        <v>961</v>
      </c>
      <c r="L55" s="3466" t="s">
        <v>873</v>
      </c>
      <c r="M55" s="3467">
        <v>1</v>
      </c>
      <c r="N55" s="3461">
        <v>0.5</v>
      </c>
      <c r="O55" s="3463"/>
      <c r="P55" s="3492"/>
      <c r="Q55" s="3612"/>
      <c r="R55" s="3590">
        <f>+(W55+W56)/(S53+S54+S55)</f>
        <v>0.5614035087719298</v>
      </c>
      <c r="S55" s="3496">
        <v>9600000</v>
      </c>
      <c r="T55" s="3500"/>
      <c r="U55" s="3500"/>
      <c r="V55" s="999" t="s">
        <v>962</v>
      </c>
      <c r="W55" s="1636">
        <v>3600000</v>
      </c>
      <c r="X55" s="1647">
        <v>3200000</v>
      </c>
      <c r="Y55" s="1647">
        <v>3200000</v>
      </c>
      <c r="Z55" s="3570"/>
      <c r="AA55" s="3465"/>
      <c r="AB55" s="3599"/>
      <c r="AC55" s="3601"/>
      <c r="AD55" s="3599"/>
      <c r="AE55" s="3601"/>
      <c r="AF55" s="3599"/>
      <c r="AG55" s="3601"/>
      <c r="AH55" s="3599"/>
      <c r="AI55" s="3601"/>
      <c r="AJ55" s="3599"/>
      <c r="AK55" s="3601"/>
      <c r="AL55" s="3599"/>
      <c r="AM55" s="3601"/>
      <c r="AN55" s="3599"/>
      <c r="AO55" s="3601"/>
      <c r="AP55" s="3618"/>
      <c r="AQ55" s="3601"/>
      <c r="AR55" s="3618"/>
      <c r="AS55" s="3601"/>
      <c r="AT55" s="3626"/>
      <c r="AU55" s="3623"/>
      <c r="AV55" s="1014"/>
      <c r="AW55" s="3623"/>
      <c r="AX55" s="1014"/>
      <c r="AY55" s="3623"/>
      <c r="AZ55" s="3626"/>
      <c r="BA55" s="3497"/>
      <c r="BB55" s="3497"/>
      <c r="BC55" s="3629"/>
      <c r="BD55" s="3626"/>
      <c r="BE55" s="3465"/>
      <c r="BF55" s="995">
        <v>42592</v>
      </c>
      <c r="BG55" s="996">
        <v>42593</v>
      </c>
      <c r="BH55" s="997">
        <v>42719</v>
      </c>
      <c r="BI55" s="998">
        <v>42725</v>
      </c>
      <c r="BJ55" s="3465"/>
    </row>
    <row r="56" spans="1:62" ht="71.25">
      <c r="A56" s="3444"/>
      <c r="B56" s="3445"/>
      <c r="C56" s="3446"/>
      <c r="D56" s="3448"/>
      <c r="E56" s="3445"/>
      <c r="F56" s="3446"/>
      <c r="G56" s="3606"/>
      <c r="H56" s="3607"/>
      <c r="I56" s="3608"/>
      <c r="J56" s="3535"/>
      <c r="K56" s="3621"/>
      <c r="L56" s="3472"/>
      <c r="M56" s="3475"/>
      <c r="N56" s="3461"/>
      <c r="O56" s="3464"/>
      <c r="P56" s="3523"/>
      <c r="Q56" s="3613"/>
      <c r="R56" s="3592"/>
      <c r="S56" s="3498"/>
      <c r="T56" s="3458"/>
      <c r="U56" s="3458"/>
      <c r="V56" s="999" t="s">
        <v>963</v>
      </c>
      <c r="W56" s="1636">
        <v>6000000</v>
      </c>
      <c r="X56" s="1647">
        <v>6000000</v>
      </c>
      <c r="Y56" s="1647">
        <v>6000000</v>
      </c>
      <c r="Z56" s="3571"/>
      <c r="AA56" s="3456"/>
      <c r="AB56" s="3475"/>
      <c r="AC56" s="3602"/>
      <c r="AD56" s="3475"/>
      <c r="AE56" s="3602"/>
      <c r="AF56" s="3475"/>
      <c r="AG56" s="3602"/>
      <c r="AH56" s="3475"/>
      <c r="AI56" s="3602"/>
      <c r="AJ56" s="3475"/>
      <c r="AK56" s="3602"/>
      <c r="AL56" s="3475"/>
      <c r="AM56" s="3602"/>
      <c r="AN56" s="3475"/>
      <c r="AO56" s="3602"/>
      <c r="AP56" s="3619"/>
      <c r="AQ56" s="3602"/>
      <c r="AR56" s="3619"/>
      <c r="AS56" s="3602"/>
      <c r="AT56" s="3627"/>
      <c r="AU56" s="3624"/>
      <c r="AV56" s="1015"/>
      <c r="AW56" s="3624"/>
      <c r="AX56" s="1015"/>
      <c r="AY56" s="3624"/>
      <c r="AZ56" s="3627"/>
      <c r="BA56" s="3498"/>
      <c r="BB56" s="3498"/>
      <c r="BC56" s="3630"/>
      <c r="BD56" s="3627"/>
      <c r="BE56" s="3465"/>
      <c r="BF56" s="995">
        <v>42592</v>
      </c>
      <c r="BG56" s="996">
        <v>42594</v>
      </c>
      <c r="BH56" s="997">
        <v>42719</v>
      </c>
      <c r="BI56" s="998">
        <v>42726</v>
      </c>
      <c r="BJ56" s="3465"/>
    </row>
    <row r="57" spans="1:62" ht="64.5" customHeight="1">
      <c r="A57" s="3444"/>
      <c r="B57" s="3445"/>
      <c r="C57" s="3446"/>
      <c r="D57" s="3448"/>
      <c r="E57" s="3445"/>
      <c r="F57" s="3446"/>
      <c r="G57" s="3606"/>
      <c r="H57" s="3607"/>
      <c r="I57" s="3608"/>
      <c r="J57" s="1016">
        <v>233</v>
      </c>
      <c r="K57" s="1017" t="s">
        <v>961</v>
      </c>
      <c r="L57" s="1018" t="s">
        <v>941</v>
      </c>
      <c r="M57" s="1019">
        <v>1</v>
      </c>
      <c r="N57" s="2580">
        <v>0.5</v>
      </c>
      <c r="O57" s="3537" t="s">
        <v>964</v>
      </c>
      <c r="P57" s="3491">
        <v>33</v>
      </c>
      <c r="Q57" s="3494" t="s">
        <v>965</v>
      </c>
      <c r="R57" s="1660">
        <f>+(W57+W58)/S57</f>
        <v>0.7936507936507936</v>
      </c>
      <c r="S57" s="3614">
        <v>18900000</v>
      </c>
      <c r="T57" s="3499" t="s">
        <v>944</v>
      </c>
      <c r="U57" s="3499" t="s">
        <v>966</v>
      </c>
      <c r="V57" s="999" t="s">
        <v>967</v>
      </c>
      <c r="W57" s="1639">
        <v>5000000</v>
      </c>
      <c r="X57" s="1647">
        <v>4533500</v>
      </c>
      <c r="Y57" s="1647">
        <v>4533500</v>
      </c>
      <c r="Z57" s="3625">
        <v>20</v>
      </c>
      <c r="AA57" s="3572" t="s">
        <v>232</v>
      </c>
      <c r="AB57" s="3563">
        <v>67</v>
      </c>
      <c r="AC57" s="3564">
        <v>67</v>
      </c>
      <c r="AD57" s="3563">
        <v>92</v>
      </c>
      <c r="AE57" s="3631">
        <v>92</v>
      </c>
      <c r="AF57" s="3563">
        <v>88</v>
      </c>
      <c r="AG57" s="3564">
        <v>88</v>
      </c>
      <c r="AH57" s="3563">
        <v>137</v>
      </c>
      <c r="AI57" s="3564">
        <v>137</v>
      </c>
      <c r="AJ57" s="3563">
        <v>30</v>
      </c>
      <c r="AK57" s="3564">
        <v>30</v>
      </c>
      <c r="AL57" s="3563">
        <v>58</v>
      </c>
      <c r="AM57" s="3564">
        <v>58</v>
      </c>
      <c r="AN57" s="3563"/>
      <c r="AO57" s="3564"/>
      <c r="AP57" s="3563"/>
      <c r="AQ57" s="3564"/>
      <c r="AR57" s="3575"/>
      <c r="AS57" s="3564"/>
      <c r="AT57" s="3563">
        <v>472</v>
      </c>
      <c r="AU57" s="3564">
        <v>472</v>
      </c>
      <c r="AV57" s="3575"/>
      <c r="AW57" s="3564"/>
      <c r="AX57" s="3575"/>
      <c r="AY57" s="3564"/>
      <c r="AZ57" s="3575">
        <v>3</v>
      </c>
      <c r="BA57" s="3496">
        <f>SUM(X57:$X$59)</f>
        <v>18433500</v>
      </c>
      <c r="BB57" s="3496">
        <f>SUM($Y$57:$Y$59)</f>
        <v>18433500</v>
      </c>
      <c r="BC57" s="3593">
        <f>+BB57/BA57</f>
        <v>1</v>
      </c>
      <c r="BD57" s="3575">
        <v>20</v>
      </c>
      <c r="BE57" s="3465"/>
      <c r="BF57" s="995">
        <v>42410</v>
      </c>
      <c r="BG57" s="996">
        <v>42410</v>
      </c>
      <c r="BH57" s="997">
        <v>42543</v>
      </c>
      <c r="BI57" s="998" t="s">
        <v>968</v>
      </c>
      <c r="BJ57" s="3465"/>
    </row>
    <row r="58" spans="1:62" ht="40.5" customHeight="1">
      <c r="A58" s="3444"/>
      <c r="B58" s="3445"/>
      <c r="C58" s="3446"/>
      <c r="D58" s="3448"/>
      <c r="E58" s="3445"/>
      <c r="F58" s="3446"/>
      <c r="G58" s="3606"/>
      <c r="H58" s="3607"/>
      <c r="I58" s="3608"/>
      <c r="J58" s="3632">
        <v>232</v>
      </c>
      <c r="K58" s="3634" t="s">
        <v>959</v>
      </c>
      <c r="L58" s="3561" t="s">
        <v>941</v>
      </c>
      <c r="M58" s="3473">
        <v>12</v>
      </c>
      <c r="N58" s="3468">
        <v>6</v>
      </c>
      <c r="O58" s="3538"/>
      <c r="P58" s="3492"/>
      <c r="Q58" s="3612"/>
      <c r="R58" s="3590">
        <f>+(W59)/S57</f>
        <v>0.20634920634920634</v>
      </c>
      <c r="S58" s="3615"/>
      <c r="T58" s="3499"/>
      <c r="U58" s="3499"/>
      <c r="V58" s="999" t="s">
        <v>969</v>
      </c>
      <c r="W58" s="1639">
        <v>10000000</v>
      </c>
      <c r="X58" s="1647">
        <v>10000000</v>
      </c>
      <c r="Y58" s="1647">
        <v>10000000</v>
      </c>
      <c r="Z58" s="3626"/>
      <c r="AA58" s="3573"/>
      <c r="AB58" s="3563"/>
      <c r="AC58" s="3565"/>
      <c r="AD58" s="3563"/>
      <c r="AE58" s="3631"/>
      <c r="AF58" s="3563"/>
      <c r="AG58" s="3565"/>
      <c r="AH58" s="3563"/>
      <c r="AI58" s="3565"/>
      <c r="AJ58" s="3563"/>
      <c r="AK58" s="3565"/>
      <c r="AL58" s="3563"/>
      <c r="AM58" s="3565"/>
      <c r="AN58" s="3563"/>
      <c r="AO58" s="3565"/>
      <c r="AP58" s="3563"/>
      <c r="AQ58" s="3565"/>
      <c r="AR58" s="3576"/>
      <c r="AS58" s="3565"/>
      <c r="AT58" s="3563"/>
      <c r="AU58" s="3565"/>
      <c r="AV58" s="3576"/>
      <c r="AW58" s="3565"/>
      <c r="AX58" s="3576"/>
      <c r="AY58" s="3565"/>
      <c r="AZ58" s="3576"/>
      <c r="BA58" s="3497"/>
      <c r="BB58" s="3497"/>
      <c r="BC58" s="3594"/>
      <c r="BD58" s="3576"/>
      <c r="BE58" s="3465"/>
      <c r="BF58" s="995">
        <v>42444</v>
      </c>
      <c r="BG58" s="996">
        <v>42444</v>
      </c>
      <c r="BH58" s="997">
        <v>42638</v>
      </c>
      <c r="BI58" s="998">
        <v>42639</v>
      </c>
      <c r="BJ58" s="3465"/>
    </row>
    <row r="59" spans="1:62" ht="84" customHeight="1">
      <c r="A59" s="3444"/>
      <c r="B59" s="3445"/>
      <c r="C59" s="3446"/>
      <c r="D59" s="3448"/>
      <c r="E59" s="3445"/>
      <c r="F59" s="3446"/>
      <c r="G59" s="3609"/>
      <c r="H59" s="3610"/>
      <c r="I59" s="3611"/>
      <c r="J59" s="3633"/>
      <c r="K59" s="3635"/>
      <c r="L59" s="3562"/>
      <c r="M59" s="3474"/>
      <c r="N59" s="3469"/>
      <c r="O59" s="3550"/>
      <c r="P59" s="3523"/>
      <c r="Q59" s="3612"/>
      <c r="R59" s="3592"/>
      <c r="S59" s="3616"/>
      <c r="T59" s="3499"/>
      <c r="U59" s="3499"/>
      <c r="V59" s="999" t="s">
        <v>970</v>
      </c>
      <c r="W59" s="1639">
        <v>3900000</v>
      </c>
      <c r="X59" s="1647">
        <v>3900000</v>
      </c>
      <c r="Y59" s="1647">
        <v>3900000</v>
      </c>
      <c r="Z59" s="3627"/>
      <c r="AA59" s="3574"/>
      <c r="AB59" s="3563"/>
      <c r="AC59" s="3566"/>
      <c r="AD59" s="3563"/>
      <c r="AE59" s="3631"/>
      <c r="AF59" s="3563"/>
      <c r="AG59" s="3566"/>
      <c r="AH59" s="3563"/>
      <c r="AI59" s="3566"/>
      <c r="AJ59" s="3563"/>
      <c r="AK59" s="3566"/>
      <c r="AL59" s="3563"/>
      <c r="AM59" s="3566"/>
      <c r="AN59" s="3563"/>
      <c r="AO59" s="3566"/>
      <c r="AP59" s="3563"/>
      <c r="AQ59" s="3566"/>
      <c r="AR59" s="3577"/>
      <c r="AS59" s="3566"/>
      <c r="AT59" s="3563"/>
      <c r="AU59" s="3566"/>
      <c r="AV59" s="3577"/>
      <c r="AW59" s="3566"/>
      <c r="AX59" s="3577"/>
      <c r="AY59" s="3566"/>
      <c r="AZ59" s="3577"/>
      <c r="BA59" s="3497"/>
      <c r="BB59" s="3497"/>
      <c r="BC59" s="3595"/>
      <c r="BD59" s="3577"/>
      <c r="BE59" s="3456"/>
      <c r="BF59" s="995">
        <v>42410</v>
      </c>
      <c r="BG59" s="996">
        <v>42410</v>
      </c>
      <c r="BH59" s="997">
        <v>42543</v>
      </c>
      <c r="BI59" s="998">
        <v>42544</v>
      </c>
      <c r="BJ59" s="3456"/>
    </row>
    <row r="60" spans="1:62" ht="34.5" customHeight="1">
      <c r="A60" s="3444"/>
      <c r="B60" s="3445"/>
      <c r="C60" s="3446"/>
      <c r="D60" s="3448"/>
      <c r="E60" s="3445"/>
      <c r="F60" s="3446"/>
      <c r="G60" s="1020">
        <v>80</v>
      </c>
      <c r="H60" s="986" t="s">
        <v>971</v>
      </c>
      <c r="I60" s="1006"/>
      <c r="J60" s="1006"/>
      <c r="K60" s="1006"/>
      <c r="L60" s="1006"/>
      <c r="M60" s="1006"/>
      <c r="N60" s="2579"/>
      <c r="O60" s="1006"/>
      <c r="P60" s="1006"/>
      <c r="Q60" s="1006"/>
      <c r="R60" s="1006"/>
      <c r="S60" s="1006"/>
      <c r="T60" s="1006"/>
      <c r="U60" s="1006"/>
      <c r="V60" s="1006"/>
      <c r="W60" s="1006"/>
      <c r="X60" s="987"/>
      <c r="Y60" s="987"/>
      <c r="Z60" s="1006"/>
      <c r="AA60" s="1006"/>
      <c r="AB60" s="1006"/>
      <c r="AC60" s="987"/>
      <c r="AD60" s="1006"/>
      <c r="AE60" s="987"/>
      <c r="AF60" s="1006"/>
      <c r="AG60" s="987"/>
      <c r="AH60" s="1006"/>
      <c r="AI60" s="987"/>
      <c r="AJ60" s="1006"/>
      <c r="AK60" s="987"/>
      <c r="AL60" s="1006"/>
      <c r="AM60" s="987"/>
      <c r="AN60" s="1006"/>
      <c r="AO60" s="987"/>
      <c r="AP60" s="1006"/>
      <c r="AQ60" s="987"/>
      <c r="AR60" s="1006"/>
      <c r="AS60" s="987"/>
      <c r="AT60" s="1006"/>
      <c r="AU60" s="987"/>
      <c r="AV60" s="1006"/>
      <c r="AW60" s="987"/>
      <c r="AX60" s="1006"/>
      <c r="AY60" s="987"/>
      <c r="AZ60" s="1006"/>
      <c r="BA60" s="1006"/>
      <c r="BB60" s="1006"/>
      <c r="BC60" s="1006"/>
      <c r="BD60" s="1006"/>
      <c r="BE60" s="1006"/>
      <c r="BF60" s="1006"/>
      <c r="BG60" s="987"/>
      <c r="BH60" s="988"/>
      <c r="BI60" s="1021"/>
      <c r="BJ60" s="988"/>
    </row>
    <row r="61" spans="1:62" ht="100.5" thickBot="1">
      <c r="A61" s="3444"/>
      <c r="B61" s="3445"/>
      <c r="C61" s="3446"/>
      <c r="D61" s="3448"/>
      <c r="E61" s="3445"/>
      <c r="F61" s="3446"/>
      <c r="G61" s="3603"/>
      <c r="H61" s="3604"/>
      <c r="I61" s="3605"/>
      <c r="J61" s="1022">
        <v>234</v>
      </c>
      <c r="K61" s="1023" t="s">
        <v>972</v>
      </c>
      <c r="L61" s="1024" t="s">
        <v>873</v>
      </c>
      <c r="M61" s="1025">
        <v>1</v>
      </c>
      <c r="N61" s="2580">
        <v>0.5</v>
      </c>
      <c r="O61" s="3463" t="s">
        <v>973</v>
      </c>
      <c r="P61" s="3491">
        <v>34</v>
      </c>
      <c r="Q61" s="3612" t="s">
        <v>974</v>
      </c>
      <c r="R61" s="1174">
        <f>+W61/S61</f>
        <v>0.1875</v>
      </c>
      <c r="S61" s="3496">
        <v>16000000</v>
      </c>
      <c r="T61" s="3500" t="s">
        <v>975</v>
      </c>
      <c r="U61" s="3500" t="s">
        <v>976</v>
      </c>
      <c r="V61" s="1026" t="s">
        <v>977</v>
      </c>
      <c r="W61" s="1649">
        <v>3000000</v>
      </c>
      <c r="X61" s="1647">
        <v>3000000</v>
      </c>
      <c r="Y61" s="1647">
        <v>3000000</v>
      </c>
      <c r="Z61" s="3569">
        <v>20</v>
      </c>
      <c r="AA61" s="3641" t="s">
        <v>232</v>
      </c>
      <c r="AB61" s="3599">
        <v>272</v>
      </c>
      <c r="AC61" s="3600">
        <v>267</v>
      </c>
      <c r="AD61" s="3599">
        <v>306</v>
      </c>
      <c r="AE61" s="3600">
        <v>300</v>
      </c>
      <c r="AF61" s="3599">
        <v>117</v>
      </c>
      <c r="AG61" s="3600">
        <v>114</v>
      </c>
      <c r="AH61" s="3599">
        <v>368</v>
      </c>
      <c r="AI61" s="3600">
        <v>361</v>
      </c>
      <c r="AJ61" s="3599">
        <v>1003</v>
      </c>
      <c r="AK61" s="3600">
        <v>983</v>
      </c>
      <c r="AL61" s="3599">
        <v>345</v>
      </c>
      <c r="AM61" s="3600">
        <v>338</v>
      </c>
      <c r="AN61" s="3599"/>
      <c r="AO61" s="3600"/>
      <c r="AP61" s="3599"/>
      <c r="AQ61" s="3600"/>
      <c r="AR61" s="3467"/>
      <c r="AS61" s="3600"/>
      <c r="AT61" s="3599"/>
      <c r="AU61" s="3600"/>
      <c r="AV61" s="3467"/>
      <c r="AW61" s="3600"/>
      <c r="AX61" s="3467"/>
      <c r="AY61" s="3600"/>
      <c r="AZ61" s="3467">
        <v>7</v>
      </c>
      <c r="BA61" s="3637">
        <f>SUM($X$61:$X$63)</f>
        <v>15674833</v>
      </c>
      <c r="BB61" s="3637">
        <f>SUM($Y$61:$Y$63)</f>
        <v>15674833</v>
      </c>
      <c r="BC61" s="3593">
        <f>BA61/BB61</f>
        <v>1</v>
      </c>
      <c r="BD61" s="3467">
        <v>20</v>
      </c>
      <c r="BE61" s="3642" t="s">
        <v>922</v>
      </c>
      <c r="BF61" s="1027">
        <v>42592</v>
      </c>
      <c r="BG61" s="1028">
        <v>42593</v>
      </c>
      <c r="BH61" s="1029">
        <v>42719</v>
      </c>
      <c r="BI61" s="1030">
        <v>42724</v>
      </c>
      <c r="BJ61" s="3551" t="s">
        <v>2146</v>
      </c>
    </row>
    <row r="62" spans="1:62" ht="63" customHeight="1">
      <c r="A62" s="3444"/>
      <c r="B62" s="3445"/>
      <c r="C62" s="3446"/>
      <c r="D62" s="3448"/>
      <c r="E62" s="3445"/>
      <c r="F62" s="3446"/>
      <c r="G62" s="3606"/>
      <c r="H62" s="3607"/>
      <c r="I62" s="3608"/>
      <c r="J62" s="3467">
        <v>235</v>
      </c>
      <c r="K62" s="3636" t="s">
        <v>978</v>
      </c>
      <c r="L62" s="3466" t="s">
        <v>873</v>
      </c>
      <c r="M62" s="3625">
        <v>1</v>
      </c>
      <c r="N62" s="3468">
        <v>0.5</v>
      </c>
      <c r="O62" s="3463"/>
      <c r="P62" s="3492"/>
      <c r="Q62" s="3612"/>
      <c r="R62" s="3590">
        <f>+(W62+W63)/S61</f>
        <v>0.8125</v>
      </c>
      <c r="S62" s="3497"/>
      <c r="T62" s="3500"/>
      <c r="U62" s="3500"/>
      <c r="V62" s="999" t="s">
        <v>979</v>
      </c>
      <c r="W62" s="1636">
        <v>3000000</v>
      </c>
      <c r="X62" s="1647">
        <v>2674833</v>
      </c>
      <c r="Y62" s="1647">
        <v>2674833</v>
      </c>
      <c r="Z62" s="3570"/>
      <c r="AA62" s="3641"/>
      <c r="AB62" s="3599"/>
      <c r="AC62" s="3601"/>
      <c r="AD62" s="3599"/>
      <c r="AE62" s="3601"/>
      <c r="AF62" s="3599"/>
      <c r="AG62" s="3601"/>
      <c r="AH62" s="3599"/>
      <c r="AI62" s="3601"/>
      <c r="AJ62" s="3599"/>
      <c r="AK62" s="3601"/>
      <c r="AL62" s="3599"/>
      <c r="AM62" s="3601"/>
      <c r="AN62" s="3599"/>
      <c r="AO62" s="3601"/>
      <c r="AP62" s="3599"/>
      <c r="AQ62" s="3601"/>
      <c r="AR62" s="3599"/>
      <c r="AS62" s="3601"/>
      <c r="AT62" s="3599"/>
      <c r="AU62" s="3601"/>
      <c r="AV62" s="3599"/>
      <c r="AW62" s="3601"/>
      <c r="AX62" s="3599"/>
      <c r="AY62" s="3601"/>
      <c r="AZ62" s="3599"/>
      <c r="BA62" s="3638"/>
      <c r="BB62" s="3638"/>
      <c r="BC62" s="3645"/>
      <c r="BD62" s="3599"/>
      <c r="BE62" s="3643"/>
      <c r="BF62" s="995">
        <v>42592</v>
      </c>
      <c r="BG62" s="996">
        <v>42593</v>
      </c>
      <c r="BH62" s="997">
        <v>42719</v>
      </c>
      <c r="BI62" s="998">
        <v>42724</v>
      </c>
      <c r="BJ62" s="3551"/>
    </row>
    <row r="63" spans="1:62" ht="38.25" customHeight="1">
      <c r="A63" s="3444"/>
      <c r="B63" s="3445"/>
      <c r="C63" s="3446"/>
      <c r="D63" s="3448"/>
      <c r="E63" s="3445"/>
      <c r="F63" s="3446"/>
      <c r="G63" s="3606"/>
      <c r="H63" s="3607"/>
      <c r="I63" s="3608"/>
      <c r="J63" s="3599"/>
      <c r="K63" s="3553"/>
      <c r="L63" s="3512"/>
      <c r="M63" s="3626"/>
      <c r="N63" s="3469"/>
      <c r="O63" s="3463"/>
      <c r="P63" s="3523"/>
      <c r="Q63" s="3612"/>
      <c r="R63" s="3591"/>
      <c r="S63" s="3498"/>
      <c r="T63" s="3500"/>
      <c r="U63" s="3640"/>
      <c r="V63" s="1031" t="s">
        <v>980</v>
      </c>
      <c r="W63" s="1639">
        <v>10000000</v>
      </c>
      <c r="X63" s="1647">
        <v>10000000</v>
      </c>
      <c r="Y63" s="1647">
        <v>10000000</v>
      </c>
      <c r="Z63" s="3570"/>
      <c r="AA63" s="3641"/>
      <c r="AB63" s="3599"/>
      <c r="AC63" s="3602"/>
      <c r="AD63" s="3599"/>
      <c r="AE63" s="3602"/>
      <c r="AF63" s="3599"/>
      <c r="AG63" s="3602"/>
      <c r="AH63" s="3599"/>
      <c r="AI63" s="3602"/>
      <c r="AJ63" s="3599"/>
      <c r="AK63" s="3602"/>
      <c r="AL63" s="3599"/>
      <c r="AM63" s="3602"/>
      <c r="AN63" s="3599"/>
      <c r="AO63" s="3602"/>
      <c r="AP63" s="3599"/>
      <c r="AQ63" s="3602"/>
      <c r="AR63" s="3475"/>
      <c r="AS63" s="3602"/>
      <c r="AT63" s="3599"/>
      <c r="AU63" s="3602"/>
      <c r="AV63" s="3475"/>
      <c r="AW63" s="3602"/>
      <c r="AX63" s="3475"/>
      <c r="AY63" s="3602"/>
      <c r="AZ63" s="3475"/>
      <c r="BA63" s="3639"/>
      <c r="BB63" s="3639"/>
      <c r="BC63" s="3646"/>
      <c r="BD63" s="3475"/>
      <c r="BE63" s="3644"/>
      <c r="BF63" s="1010">
        <v>42592</v>
      </c>
      <c r="BG63" s="1011">
        <v>42593</v>
      </c>
      <c r="BH63" s="1012">
        <v>42719</v>
      </c>
      <c r="BI63" s="1013">
        <v>42720</v>
      </c>
      <c r="BJ63" s="3551"/>
    </row>
    <row r="64" spans="1:62" ht="99.75">
      <c r="A64" s="3444"/>
      <c r="B64" s="3445"/>
      <c r="C64" s="3446"/>
      <c r="D64" s="3448"/>
      <c r="E64" s="3445"/>
      <c r="F64" s="3446"/>
      <c r="G64" s="3606"/>
      <c r="H64" s="3607"/>
      <c r="I64" s="3608"/>
      <c r="J64" s="1016">
        <v>234</v>
      </c>
      <c r="K64" s="1032" t="s">
        <v>972</v>
      </c>
      <c r="L64" s="1018" t="s">
        <v>941</v>
      </c>
      <c r="M64" s="1033">
        <v>1</v>
      </c>
      <c r="N64" s="2580">
        <v>0.5</v>
      </c>
      <c r="O64" s="3537" t="s">
        <v>981</v>
      </c>
      <c r="P64" s="3491">
        <v>35</v>
      </c>
      <c r="Q64" s="3499" t="s">
        <v>982</v>
      </c>
      <c r="R64" s="1660">
        <f>+W64/(S64+S65)</f>
        <v>0.5</v>
      </c>
      <c r="S64" s="951">
        <v>10000000</v>
      </c>
      <c r="T64" s="3499" t="s">
        <v>983</v>
      </c>
      <c r="U64" s="3499" t="s">
        <v>984</v>
      </c>
      <c r="V64" s="999" t="s">
        <v>985</v>
      </c>
      <c r="W64" s="1636">
        <v>10000000</v>
      </c>
      <c r="X64" s="1647">
        <v>10000000</v>
      </c>
      <c r="Y64" s="1647">
        <v>10000000</v>
      </c>
      <c r="Z64" s="3625">
        <v>20</v>
      </c>
      <c r="AA64" s="3572" t="s">
        <v>986</v>
      </c>
      <c r="AB64" s="3563">
        <v>6</v>
      </c>
      <c r="AC64" s="3564">
        <v>6</v>
      </c>
      <c r="AD64" s="3563">
        <v>7</v>
      </c>
      <c r="AE64" s="3564">
        <v>7</v>
      </c>
      <c r="AF64" s="3563">
        <v>3</v>
      </c>
      <c r="AG64" s="3564">
        <v>3</v>
      </c>
      <c r="AH64" s="3563">
        <v>8</v>
      </c>
      <c r="AI64" s="3564">
        <v>8</v>
      </c>
      <c r="AJ64" s="3563">
        <v>22</v>
      </c>
      <c r="AK64" s="3564">
        <v>22</v>
      </c>
      <c r="AL64" s="3563">
        <v>8</v>
      </c>
      <c r="AM64" s="3564">
        <v>8</v>
      </c>
      <c r="AN64" s="3575"/>
      <c r="AO64" s="3564"/>
      <c r="AP64" s="3563"/>
      <c r="AQ64" s="3564"/>
      <c r="AR64" s="3575"/>
      <c r="AS64" s="3564"/>
      <c r="AT64" s="3650"/>
      <c r="AU64" s="3648"/>
      <c r="AV64" s="3659"/>
      <c r="AW64" s="3648"/>
      <c r="AX64" s="3650"/>
      <c r="AY64" s="3648"/>
      <c r="AZ64" s="3575">
        <v>2</v>
      </c>
      <c r="BA64" s="3637">
        <f>SUM($X$64:$X$65)</f>
        <v>20000000</v>
      </c>
      <c r="BB64" s="3637">
        <f>SUM($Y$64:$Y$65)</f>
        <v>20000000</v>
      </c>
      <c r="BC64" s="3593">
        <v>1</v>
      </c>
      <c r="BD64" s="3575">
        <v>20</v>
      </c>
      <c r="BE64" s="3596" t="s">
        <v>922</v>
      </c>
      <c r="BF64" s="995">
        <v>42410</v>
      </c>
      <c r="BG64" s="996">
        <v>42411</v>
      </c>
      <c r="BH64" s="997">
        <v>42543</v>
      </c>
      <c r="BI64" s="998">
        <v>42544</v>
      </c>
      <c r="BJ64" s="3551"/>
    </row>
    <row r="65" spans="1:62" ht="71.25" customHeight="1">
      <c r="A65" s="3444"/>
      <c r="B65" s="3445"/>
      <c r="C65" s="3446"/>
      <c r="D65" s="3448"/>
      <c r="E65" s="3445"/>
      <c r="F65" s="3446"/>
      <c r="G65" s="3609"/>
      <c r="H65" s="3610"/>
      <c r="I65" s="3611"/>
      <c r="J65" s="1016">
        <v>235</v>
      </c>
      <c r="K65" s="1032" t="s">
        <v>978</v>
      </c>
      <c r="L65" s="1018" t="s">
        <v>941</v>
      </c>
      <c r="M65" s="1008">
        <v>1</v>
      </c>
      <c r="N65" s="2580">
        <v>0.5</v>
      </c>
      <c r="O65" s="3550"/>
      <c r="P65" s="3523"/>
      <c r="Q65" s="3499"/>
      <c r="R65" s="1660">
        <f>+W65/(S64+S65)</f>
        <v>0.5</v>
      </c>
      <c r="S65" s="951">
        <v>10000000</v>
      </c>
      <c r="T65" s="3499"/>
      <c r="U65" s="3558"/>
      <c r="V65" s="999" t="s">
        <v>987</v>
      </c>
      <c r="W65" s="1636">
        <v>10000000</v>
      </c>
      <c r="X65" s="1647">
        <v>10000000</v>
      </c>
      <c r="Y65" s="1647">
        <v>10000000</v>
      </c>
      <c r="Z65" s="3627"/>
      <c r="AA65" s="3574"/>
      <c r="AB65" s="3563"/>
      <c r="AC65" s="3566"/>
      <c r="AD65" s="3563"/>
      <c r="AE65" s="3566"/>
      <c r="AF65" s="3563"/>
      <c r="AG65" s="3566"/>
      <c r="AH65" s="3563"/>
      <c r="AI65" s="3566"/>
      <c r="AJ65" s="3563"/>
      <c r="AK65" s="3566"/>
      <c r="AL65" s="3563"/>
      <c r="AM65" s="3566"/>
      <c r="AN65" s="3577"/>
      <c r="AO65" s="3566"/>
      <c r="AP65" s="3563"/>
      <c r="AQ65" s="3566"/>
      <c r="AR65" s="3577"/>
      <c r="AS65" s="3566"/>
      <c r="AT65" s="3650"/>
      <c r="AU65" s="3649"/>
      <c r="AV65" s="3660"/>
      <c r="AW65" s="3649"/>
      <c r="AX65" s="3650"/>
      <c r="AY65" s="3649"/>
      <c r="AZ65" s="3577"/>
      <c r="BA65" s="3638"/>
      <c r="BB65" s="3638"/>
      <c r="BC65" s="3595"/>
      <c r="BD65" s="3577"/>
      <c r="BE65" s="3598"/>
      <c r="BF65" s="995">
        <v>42410</v>
      </c>
      <c r="BG65" s="996">
        <v>42411</v>
      </c>
      <c r="BH65" s="997">
        <v>42543</v>
      </c>
      <c r="BI65" s="998">
        <v>42544</v>
      </c>
      <c r="BJ65" s="3551"/>
    </row>
    <row r="66" spans="1:62" ht="38.25" customHeight="1">
      <c r="A66" s="3444"/>
      <c r="B66" s="3445"/>
      <c r="C66" s="3446"/>
      <c r="D66" s="3448"/>
      <c r="E66" s="3445"/>
      <c r="F66" s="3446"/>
      <c r="G66" s="1020">
        <v>81</v>
      </c>
      <c r="H66" s="986" t="s">
        <v>988</v>
      </c>
      <c r="I66" s="1006"/>
      <c r="J66" s="1006"/>
      <c r="K66" s="1006"/>
      <c r="L66" s="1006"/>
      <c r="M66" s="1006"/>
      <c r="N66" s="2579"/>
      <c r="O66" s="1006"/>
      <c r="P66" s="1006"/>
      <c r="Q66" s="1006"/>
      <c r="R66" s="1006"/>
      <c r="S66" s="1006"/>
      <c r="T66" s="1006"/>
      <c r="U66" s="1006"/>
      <c r="V66" s="1006"/>
      <c r="W66" s="1006"/>
      <c r="X66" s="987"/>
      <c r="Y66" s="987"/>
      <c r="Z66" s="1006"/>
      <c r="AA66" s="1006"/>
      <c r="AB66" s="1006"/>
      <c r="AC66" s="987"/>
      <c r="AD66" s="1006"/>
      <c r="AE66" s="987"/>
      <c r="AF66" s="1006"/>
      <c r="AG66" s="987"/>
      <c r="AH66" s="1006"/>
      <c r="AI66" s="987"/>
      <c r="AJ66" s="1006"/>
      <c r="AK66" s="987"/>
      <c r="AL66" s="1006"/>
      <c r="AM66" s="987"/>
      <c r="AN66" s="1006"/>
      <c r="AO66" s="987"/>
      <c r="AP66" s="1006"/>
      <c r="AQ66" s="987"/>
      <c r="AR66" s="1006"/>
      <c r="AS66" s="987"/>
      <c r="AT66" s="1006"/>
      <c r="AU66" s="987"/>
      <c r="AV66" s="1006"/>
      <c r="AW66" s="987"/>
      <c r="AX66" s="1006"/>
      <c r="AY66" s="987"/>
      <c r="AZ66" s="1006"/>
      <c r="BA66" s="1006"/>
      <c r="BB66" s="1006"/>
      <c r="BC66" s="1006"/>
      <c r="BD66" s="1006"/>
      <c r="BE66" s="1006"/>
      <c r="BF66" s="1006"/>
      <c r="BG66" s="987"/>
      <c r="BH66" s="1006"/>
      <c r="BI66" s="987"/>
      <c r="BJ66" s="988"/>
    </row>
    <row r="67" spans="1:62" s="908" customFormat="1" ht="48" customHeight="1">
      <c r="A67" s="3444"/>
      <c r="B67" s="3445"/>
      <c r="C67" s="3446"/>
      <c r="D67" s="3448"/>
      <c r="E67" s="3445"/>
      <c r="F67" s="3446"/>
      <c r="G67" s="3603"/>
      <c r="H67" s="3604"/>
      <c r="I67" s="3605"/>
      <c r="J67" s="3473">
        <v>236</v>
      </c>
      <c r="K67" s="3634" t="s">
        <v>989</v>
      </c>
      <c r="L67" s="3466" t="s">
        <v>873</v>
      </c>
      <c r="M67" s="3473">
        <v>4</v>
      </c>
      <c r="N67" s="3461">
        <v>1</v>
      </c>
      <c r="O67" s="3462" t="s">
        <v>990</v>
      </c>
      <c r="P67" s="3491">
        <v>36</v>
      </c>
      <c r="Q67" s="3494" t="s">
        <v>991</v>
      </c>
      <c r="R67" s="3665">
        <f>+(W67+W68+W69)/$S$67</f>
        <v>0.18258141543463902</v>
      </c>
      <c r="S67" s="3496">
        <f>SUM(W67:W79)</f>
        <v>314928000</v>
      </c>
      <c r="T67" s="3457" t="s">
        <v>992</v>
      </c>
      <c r="U67" s="3457" t="s">
        <v>993</v>
      </c>
      <c r="V67" s="2409" t="s">
        <v>994</v>
      </c>
      <c r="W67" s="2410">
        <v>700000</v>
      </c>
      <c r="X67" s="1650">
        <v>5000000</v>
      </c>
      <c r="Y67" s="1650">
        <v>5000000</v>
      </c>
      <c r="Z67" s="3569">
        <v>20</v>
      </c>
      <c r="AA67" s="3651" t="s">
        <v>232</v>
      </c>
      <c r="AB67" s="3653">
        <v>2019</v>
      </c>
      <c r="AC67" s="3656">
        <v>955</v>
      </c>
      <c r="AD67" s="3653">
        <v>2274</v>
      </c>
      <c r="AE67" s="3656">
        <v>1075</v>
      </c>
      <c r="AF67" s="3653">
        <v>865</v>
      </c>
      <c r="AG67" s="3656">
        <v>409</v>
      </c>
      <c r="AH67" s="3653">
        <v>2734</v>
      </c>
      <c r="AI67" s="3656">
        <v>1293</v>
      </c>
      <c r="AJ67" s="3653">
        <v>7443</v>
      </c>
      <c r="AK67" s="3656">
        <v>3520</v>
      </c>
      <c r="AL67" s="3653">
        <v>2562</v>
      </c>
      <c r="AM67" s="3656">
        <v>1212</v>
      </c>
      <c r="AN67" s="3653"/>
      <c r="AO67" s="3656"/>
      <c r="AP67" s="3653"/>
      <c r="AQ67" s="3656"/>
      <c r="AR67" s="3671"/>
      <c r="AS67" s="3656"/>
      <c r="AT67" s="3653"/>
      <c r="AU67" s="3656"/>
      <c r="AV67" s="3653"/>
      <c r="AW67" s="3656"/>
      <c r="AX67" s="3653"/>
      <c r="AY67" s="3656"/>
      <c r="AZ67" s="3653">
        <v>17</v>
      </c>
      <c r="BA67" s="3668">
        <f>SUM(X67:$X$79)</f>
        <v>148950633</v>
      </c>
      <c r="BB67" s="3653">
        <f>SUM($Y$67:$Y$79)</f>
        <v>143554911</v>
      </c>
      <c r="BC67" s="3593">
        <f>BB67/BA67</f>
        <v>0.963775098558997</v>
      </c>
      <c r="BD67" s="3653">
        <v>20</v>
      </c>
      <c r="BE67" s="3661" t="s">
        <v>922</v>
      </c>
      <c r="BF67" s="995">
        <v>42594</v>
      </c>
      <c r="BG67" s="996" t="s">
        <v>995</v>
      </c>
      <c r="BH67" s="995">
        <v>42719</v>
      </c>
      <c r="BI67" s="996">
        <v>42724</v>
      </c>
      <c r="BJ67" s="3664" t="s">
        <v>2147</v>
      </c>
    </row>
    <row r="68" spans="1:62" s="908" customFormat="1" ht="71.25">
      <c r="A68" s="3444"/>
      <c r="B68" s="3445"/>
      <c r="C68" s="3446"/>
      <c r="D68" s="3448"/>
      <c r="E68" s="3445"/>
      <c r="F68" s="3446"/>
      <c r="G68" s="3606"/>
      <c r="H68" s="3607"/>
      <c r="I68" s="3608"/>
      <c r="J68" s="3588"/>
      <c r="K68" s="3647"/>
      <c r="L68" s="3512"/>
      <c r="M68" s="3588"/>
      <c r="N68" s="3461"/>
      <c r="O68" s="3463"/>
      <c r="P68" s="3492"/>
      <c r="Q68" s="3612"/>
      <c r="R68" s="3666"/>
      <c r="S68" s="3497"/>
      <c r="T68" s="3500"/>
      <c r="U68" s="3500"/>
      <c r="V68" s="2409" t="s">
        <v>996</v>
      </c>
      <c r="W68" s="2410">
        <v>16000000</v>
      </c>
      <c r="X68" s="1651"/>
      <c r="Y68" s="1651"/>
      <c r="Z68" s="3570"/>
      <c r="AA68" s="3641"/>
      <c r="AB68" s="3654"/>
      <c r="AC68" s="3657"/>
      <c r="AD68" s="3654"/>
      <c r="AE68" s="3657"/>
      <c r="AF68" s="3654"/>
      <c r="AG68" s="3657"/>
      <c r="AH68" s="3654"/>
      <c r="AI68" s="3657"/>
      <c r="AJ68" s="3654"/>
      <c r="AK68" s="3657"/>
      <c r="AL68" s="3654"/>
      <c r="AM68" s="3657"/>
      <c r="AN68" s="3654"/>
      <c r="AO68" s="3657"/>
      <c r="AP68" s="3654"/>
      <c r="AQ68" s="3657"/>
      <c r="AR68" s="3671"/>
      <c r="AS68" s="3657"/>
      <c r="AT68" s="3654"/>
      <c r="AU68" s="3657"/>
      <c r="AV68" s="3654"/>
      <c r="AW68" s="3657"/>
      <c r="AX68" s="3654"/>
      <c r="AY68" s="3657"/>
      <c r="AZ68" s="3654"/>
      <c r="BA68" s="3669"/>
      <c r="BB68" s="3654"/>
      <c r="BC68" s="3594"/>
      <c r="BD68" s="3654"/>
      <c r="BE68" s="3662"/>
      <c r="BF68" s="995">
        <v>42597</v>
      </c>
      <c r="BG68" s="996"/>
      <c r="BH68" s="995">
        <v>42719</v>
      </c>
      <c r="BI68" s="996"/>
      <c r="BJ68" s="3664"/>
    </row>
    <row r="69" spans="1:62" s="908" customFormat="1" ht="57" customHeight="1">
      <c r="A69" s="3444"/>
      <c r="B69" s="3445"/>
      <c r="C69" s="3446"/>
      <c r="D69" s="3448"/>
      <c r="E69" s="3445"/>
      <c r="F69" s="3446"/>
      <c r="G69" s="3606"/>
      <c r="H69" s="3607"/>
      <c r="I69" s="3608"/>
      <c r="J69" s="3474"/>
      <c r="K69" s="3635"/>
      <c r="L69" s="3472"/>
      <c r="M69" s="3474"/>
      <c r="N69" s="3461"/>
      <c r="O69" s="3463"/>
      <c r="P69" s="3492"/>
      <c r="Q69" s="3612"/>
      <c r="R69" s="3667"/>
      <c r="S69" s="3497"/>
      <c r="T69" s="3500"/>
      <c r="U69" s="3500"/>
      <c r="V69" s="2409" t="s">
        <v>997</v>
      </c>
      <c r="W69" s="2410">
        <v>40800000</v>
      </c>
      <c r="X69" s="1650">
        <v>0</v>
      </c>
      <c r="Y69" s="1650">
        <v>0</v>
      </c>
      <c r="Z69" s="3570"/>
      <c r="AA69" s="3641"/>
      <c r="AB69" s="3654"/>
      <c r="AC69" s="3657"/>
      <c r="AD69" s="3654"/>
      <c r="AE69" s="3657"/>
      <c r="AF69" s="3654"/>
      <c r="AG69" s="3657"/>
      <c r="AH69" s="3654"/>
      <c r="AI69" s="3657"/>
      <c r="AJ69" s="3654"/>
      <c r="AK69" s="3657"/>
      <c r="AL69" s="3654"/>
      <c r="AM69" s="3657"/>
      <c r="AN69" s="3654"/>
      <c r="AO69" s="3657"/>
      <c r="AP69" s="3654"/>
      <c r="AQ69" s="3657"/>
      <c r="AR69" s="3671"/>
      <c r="AS69" s="3657"/>
      <c r="AT69" s="3654"/>
      <c r="AU69" s="3657"/>
      <c r="AV69" s="3654"/>
      <c r="AW69" s="3657"/>
      <c r="AX69" s="3654"/>
      <c r="AY69" s="3657"/>
      <c r="AZ69" s="3654"/>
      <c r="BA69" s="3669"/>
      <c r="BB69" s="3654"/>
      <c r="BC69" s="3594"/>
      <c r="BD69" s="3654"/>
      <c r="BE69" s="3662"/>
      <c r="BF69" s="995">
        <v>42627</v>
      </c>
      <c r="BG69" s="996"/>
      <c r="BH69" s="995">
        <v>42786</v>
      </c>
      <c r="BI69" s="996"/>
      <c r="BJ69" s="3664"/>
    </row>
    <row r="70" spans="1:62" s="908" customFormat="1" ht="56.25" customHeight="1">
      <c r="A70" s="3444"/>
      <c r="B70" s="3445"/>
      <c r="C70" s="3446"/>
      <c r="D70" s="3448"/>
      <c r="E70" s="3445"/>
      <c r="F70" s="3446"/>
      <c r="G70" s="3606"/>
      <c r="H70" s="3607"/>
      <c r="I70" s="3608"/>
      <c r="J70" s="3473">
        <v>237</v>
      </c>
      <c r="K70" s="3634" t="s">
        <v>998</v>
      </c>
      <c r="L70" s="3466" t="s">
        <v>873</v>
      </c>
      <c r="M70" s="3473">
        <v>50</v>
      </c>
      <c r="N70" s="3461">
        <v>21</v>
      </c>
      <c r="O70" s="3463"/>
      <c r="P70" s="3492"/>
      <c r="Q70" s="3612"/>
      <c r="R70" s="3665">
        <f>+(W70+W71+W72+W73+W74)/S67</f>
        <v>0.15559111923995325</v>
      </c>
      <c r="S70" s="3497"/>
      <c r="T70" s="3500"/>
      <c r="U70" s="3500"/>
      <c r="V70" s="1017" t="s">
        <v>999</v>
      </c>
      <c r="W70" s="2410">
        <v>15000000</v>
      </c>
      <c r="X70" s="1651">
        <v>15000000</v>
      </c>
      <c r="Y70" s="1651">
        <v>15000000</v>
      </c>
      <c r="Z70" s="3570"/>
      <c r="AA70" s="3641"/>
      <c r="AB70" s="3654"/>
      <c r="AC70" s="3657"/>
      <c r="AD70" s="3654"/>
      <c r="AE70" s="3657"/>
      <c r="AF70" s="3654"/>
      <c r="AG70" s="3657"/>
      <c r="AH70" s="3654"/>
      <c r="AI70" s="3657"/>
      <c r="AJ70" s="3654"/>
      <c r="AK70" s="3657"/>
      <c r="AL70" s="3654"/>
      <c r="AM70" s="3657"/>
      <c r="AN70" s="3654"/>
      <c r="AO70" s="3657"/>
      <c r="AP70" s="3654"/>
      <c r="AQ70" s="3657"/>
      <c r="AR70" s="3671"/>
      <c r="AS70" s="3657"/>
      <c r="AT70" s="3654"/>
      <c r="AU70" s="3657"/>
      <c r="AV70" s="3654"/>
      <c r="AW70" s="3657"/>
      <c r="AX70" s="3654"/>
      <c r="AY70" s="3657"/>
      <c r="AZ70" s="3654"/>
      <c r="BA70" s="3669"/>
      <c r="BB70" s="3654"/>
      <c r="BC70" s="3594"/>
      <c r="BD70" s="3654"/>
      <c r="BE70" s="3662"/>
      <c r="BF70" s="995">
        <v>42597</v>
      </c>
      <c r="BG70" s="996">
        <v>42597</v>
      </c>
      <c r="BH70" s="995">
        <v>42719</v>
      </c>
      <c r="BI70" s="996">
        <v>42724</v>
      </c>
      <c r="BJ70" s="3664"/>
    </row>
    <row r="71" spans="1:62" s="908" customFormat="1" ht="35.25" customHeight="1">
      <c r="A71" s="3444"/>
      <c r="B71" s="3445"/>
      <c r="C71" s="3446"/>
      <c r="D71" s="3448"/>
      <c r="E71" s="3445"/>
      <c r="F71" s="3446"/>
      <c r="G71" s="3606"/>
      <c r="H71" s="3607"/>
      <c r="I71" s="3608"/>
      <c r="J71" s="3588"/>
      <c r="K71" s="3647"/>
      <c r="L71" s="3512"/>
      <c r="M71" s="3588"/>
      <c r="N71" s="3461"/>
      <c r="O71" s="3463"/>
      <c r="P71" s="3492"/>
      <c r="Q71" s="3612"/>
      <c r="R71" s="3666"/>
      <c r="S71" s="3497"/>
      <c r="T71" s="3500"/>
      <c r="U71" s="3500"/>
      <c r="V71" s="1017" t="s">
        <v>1000</v>
      </c>
      <c r="W71" s="2410">
        <v>21600000</v>
      </c>
      <c r="X71" s="1650">
        <v>19600000</v>
      </c>
      <c r="Y71" s="1650">
        <v>19600000</v>
      </c>
      <c r="Z71" s="3570"/>
      <c r="AA71" s="3641"/>
      <c r="AB71" s="3654"/>
      <c r="AC71" s="3657"/>
      <c r="AD71" s="3654"/>
      <c r="AE71" s="3657"/>
      <c r="AF71" s="3654"/>
      <c r="AG71" s="3657"/>
      <c r="AH71" s="3654"/>
      <c r="AI71" s="3657"/>
      <c r="AJ71" s="3654"/>
      <c r="AK71" s="3657"/>
      <c r="AL71" s="3654"/>
      <c r="AM71" s="3657"/>
      <c r="AN71" s="3654"/>
      <c r="AO71" s="3657"/>
      <c r="AP71" s="3654"/>
      <c r="AQ71" s="3657"/>
      <c r="AR71" s="3671"/>
      <c r="AS71" s="3657"/>
      <c r="AT71" s="3654"/>
      <c r="AU71" s="3657"/>
      <c r="AV71" s="3654"/>
      <c r="AW71" s="3657"/>
      <c r="AX71" s="3654"/>
      <c r="AY71" s="3657"/>
      <c r="AZ71" s="3654"/>
      <c r="BA71" s="3669"/>
      <c r="BB71" s="3654"/>
      <c r="BC71" s="3594"/>
      <c r="BD71" s="3654"/>
      <c r="BE71" s="3662"/>
      <c r="BF71" s="995">
        <v>42597</v>
      </c>
      <c r="BG71" s="996">
        <v>42597</v>
      </c>
      <c r="BH71" s="995">
        <v>42719</v>
      </c>
      <c r="BI71" s="996">
        <v>42724</v>
      </c>
      <c r="BJ71" s="3664"/>
    </row>
    <row r="72" spans="1:62" s="908" customFormat="1" ht="61.5" customHeight="1">
      <c r="A72" s="3444"/>
      <c r="B72" s="3445"/>
      <c r="C72" s="3446"/>
      <c r="D72" s="3448"/>
      <c r="E72" s="3445"/>
      <c r="F72" s="3446"/>
      <c r="G72" s="3606"/>
      <c r="H72" s="3607"/>
      <c r="I72" s="3608"/>
      <c r="J72" s="3588"/>
      <c r="K72" s="3647"/>
      <c r="L72" s="3512"/>
      <c r="M72" s="3588"/>
      <c r="N72" s="3461"/>
      <c r="O72" s="3463"/>
      <c r="P72" s="3492"/>
      <c r="Q72" s="3612"/>
      <c r="R72" s="3666"/>
      <c r="S72" s="3497"/>
      <c r="T72" s="3500"/>
      <c r="U72" s="3500"/>
      <c r="V72" s="1017" t="s">
        <v>1001</v>
      </c>
      <c r="W72" s="2410">
        <v>4000000</v>
      </c>
      <c r="X72" s="1650">
        <v>4000000</v>
      </c>
      <c r="Y72" s="1650">
        <v>4000000</v>
      </c>
      <c r="Z72" s="3570"/>
      <c r="AA72" s="3641"/>
      <c r="AB72" s="3654"/>
      <c r="AC72" s="3657"/>
      <c r="AD72" s="3654"/>
      <c r="AE72" s="3657"/>
      <c r="AF72" s="3654"/>
      <c r="AG72" s="3657"/>
      <c r="AH72" s="3654"/>
      <c r="AI72" s="3657"/>
      <c r="AJ72" s="3654"/>
      <c r="AK72" s="3657"/>
      <c r="AL72" s="3654"/>
      <c r="AM72" s="3657"/>
      <c r="AN72" s="3654"/>
      <c r="AO72" s="3657"/>
      <c r="AP72" s="3654"/>
      <c r="AQ72" s="3657"/>
      <c r="AR72" s="3671"/>
      <c r="AS72" s="3657"/>
      <c r="AT72" s="3654"/>
      <c r="AU72" s="3657"/>
      <c r="AV72" s="3654"/>
      <c r="AW72" s="3657"/>
      <c r="AX72" s="3654"/>
      <c r="AY72" s="3657"/>
      <c r="AZ72" s="3654"/>
      <c r="BA72" s="3669"/>
      <c r="BB72" s="3654"/>
      <c r="BC72" s="3594"/>
      <c r="BD72" s="3654"/>
      <c r="BE72" s="3662"/>
      <c r="BF72" s="995">
        <v>42597</v>
      </c>
      <c r="BG72" s="996">
        <v>42598</v>
      </c>
      <c r="BH72" s="995">
        <v>42719</v>
      </c>
      <c r="BI72" s="996">
        <v>42720</v>
      </c>
      <c r="BJ72" s="3664"/>
    </row>
    <row r="73" spans="1:62" s="908" customFormat="1" ht="57" customHeight="1">
      <c r="A73" s="3444"/>
      <c r="B73" s="3445"/>
      <c r="C73" s="3446"/>
      <c r="D73" s="3448"/>
      <c r="E73" s="3445"/>
      <c r="F73" s="3446"/>
      <c r="G73" s="3606"/>
      <c r="H73" s="3607"/>
      <c r="I73" s="3608"/>
      <c r="J73" s="3588"/>
      <c r="K73" s="3647"/>
      <c r="L73" s="3512"/>
      <c r="M73" s="3588"/>
      <c r="N73" s="3461"/>
      <c r="O73" s="3463"/>
      <c r="P73" s="3492"/>
      <c r="Q73" s="3612"/>
      <c r="R73" s="3666"/>
      <c r="S73" s="3497"/>
      <c r="T73" s="3500"/>
      <c r="U73" s="3500"/>
      <c r="V73" s="1017" t="s">
        <v>1002</v>
      </c>
      <c r="W73" s="2410">
        <v>3400000</v>
      </c>
      <c r="X73" s="1650">
        <v>3400000</v>
      </c>
      <c r="Y73" s="1650">
        <v>3400000</v>
      </c>
      <c r="Z73" s="3570"/>
      <c r="AA73" s="3641"/>
      <c r="AB73" s="3654"/>
      <c r="AC73" s="3657"/>
      <c r="AD73" s="3654"/>
      <c r="AE73" s="3657"/>
      <c r="AF73" s="3654"/>
      <c r="AG73" s="3657"/>
      <c r="AH73" s="3654"/>
      <c r="AI73" s="3657"/>
      <c r="AJ73" s="3654"/>
      <c r="AK73" s="3657"/>
      <c r="AL73" s="3654"/>
      <c r="AM73" s="3657"/>
      <c r="AN73" s="3654"/>
      <c r="AO73" s="3657"/>
      <c r="AP73" s="3654"/>
      <c r="AQ73" s="3657"/>
      <c r="AR73" s="3671"/>
      <c r="AS73" s="3657"/>
      <c r="AT73" s="3654"/>
      <c r="AU73" s="3657"/>
      <c r="AV73" s="3654"/>
      <c r="AW73" s="3657"/>
      <c r="AX73" s="3654"/>
      <c r="AY73" s="3657"/>
      <c r="AZ73" s="3654"/>
      <c r="BA73" s="3669"/>
      <c r="BB73" s="3654"/>
      <c r="BC73" s="3594"/>
      <c r="BD73" s="3654"/>
      <c r="BE73" s="3662"/>
      <c r="BF73" s="996">
        <v>42597</v>
      </c>
      <c r="BG73" s="996">
        <v>42598</v>
      </c>
      <c r="BH73" s="996">
        <v>42719</v>
      </c>
      <c r="BI73" s="996">
        <v>42720</v>
      </c>
      <c r="BJ73" s="3664"/>
    </row>
    <row r="74" spans="1:62" s="908" customFormat="1" ht="57" customHeight="1">
      <c r="A74" s="3444"/>
      <c r="B74" s="3445"/>
      <c r="C74" s="3446"/>
      <c r="D74" s="3448"/>
      <c r="E74" s="3445"/>
      <c r="F74" s="3446"/>
      <c r="G74" s="3606"/>
      <c r="H74" s="3607"/>
      <c r="I74" s="3608"/>
      <c r="J74" s="3474"/>
      <c r="K74" s="3635"/>
      <c r="L74" s="3472"/>
      <c r="M74" s="3474"/>
      <c r="N74" s="3461"/>
      <c r="O74" s="3463"/>
      <c r="P74" s="3492"/>
      <c r="Q74" s="3612"/>
      <c r="R74" s="3667"/>
      <c r="S74" s="3497"/>
      <c r="T74" s="3500"/>
      <c r="U74" s="3500"/>
      <c r="V74" s="1017" t="s">
        <v>1003</v>
      </c>
      <c r="W74" s="2410">
        <f>16000000-11000000</f>
        <v>5000000</v>
      </c>
      <c r="X74" s="1650">
        <v>0</v>
      </c>
      <c r="Y74" s="1650">
        <v>0</v>
      </c>
      <c r="Z74" s="3570"/>
      <c r="AA74" s="3641"/>
      <c r="AB74" s="3654"/>
      <c r="AC74" s="3657"/>
      <c r="AD74" s="3654"/>
      <c r="AE74" s="3657"/>
      <c r="AF74" s="3654"/>
      <c r="AG74" s="3657"/>
      <c r="AH74" s="3654"/>
      <c r="AI74" s="3657"/>
      <c r="AJ74" s="3654"/>
      <c r="AK74" s="3657"/>
      <c r="AL74" s="3654"/>
      <c r="AM74" s="3657"/>
      <c r="AN74" s="3654"/>
      <c r="AO74" s="3657"/>
      <c r="AP74" s="3654"/>
      <c r="AQ74" s="3657"/>
      <c r="AR74" s="3671"/>
      <c r="AS74" s="3657"/>
      <c r="AT74" s="3654"/>
      <c r="AU74" s="3657"/>
      <c r="AV74" s="3654"/>
      <c r="AW74" s="3657"/>
      <c r="AX74" s="3654"/>
      <c r="AY74" s="3657"/>
      <c r="AZ74" s="3654"/>
      <c r="BA74" s="3669"/>
      <c r="BB74" s="3654"/>
      <c r="BC74" s="3594"/>
      <c r="BD74" s="3654"/>
      <c r="BE74" s="3662"/>
      <c r="BF74" s="995">
        <v>42597</v>
      </c>
      <c r="BG74" s="996"/>
      <c r="BH74" s="995">
        <v>42719</v>
      </c>
      <c r="BI74" s="996"/>
      <c r="BJ74" s="3664"/>
    </row>
    <row r="75" spans="1:62" s="908" customFormat="1" ht="71.25">
      <c r="A75" s="3444"/>
      <c r="B75" s="3445"/>
      <c r="C75" s="3446"/>
      <c r="D75" s="3448"/>
      <c r="E75" s="3445"/>
      <c r="F75" s="3446"/>
      <c r="G75" s="3606"/>
      <c r="H75" s="3607"/>
      <c r="I75" s="3608"/>
      <c r="J75" s="3473">
        <v>238</v>
      </c>
      <c r="K75" s="3470" t="s">
        <v>1004</v>
      </c>
      <c r="L75" s="3466" t="s">
        <v>873</v>
      </c>
      <c r="M75" s="3473">
        <v>12</v>
      </c>
      <c r="N75" s="3461">
        <v>6</v>
      </c>
      <c r="O75" s="3463"/>
      <c r="P75" s="3492"/>
      <c r="Q75" s="3612"/>
      <c r="R75" s="3665">
        <f>+(W75+W76)/S67</f>
        <v>0.21465223797185387</v>
      </c>
      <c r="S75" s="3497"/>
      <c r="T75" s="3500"/>
      <c r="U75" s="3500"/>
      <c r="V75" s="2411" t="s">
        <v>1005</v>
      </c>
      <c r="W75" s="2412">
        <v>56800000</v>
      </c>
      <c r="X75" s="1650">
        <v>17983333</v>
      </c>
      <c r="Y75" s="1650">
        <v>17983333</v>
      </c>
      <c r="Z75" s="3570"/>
      <c r="AA75" s="3641"/>
      <c r="AB75" s="3654"/>
      <c r="AC75" s="3657"/>
      <c r="AD75" s="3654"/>
      <c r="AE75" s="3657"/>
      <c r="AF75" s="3654"/>
      <c r="AG75" s="3657"/>
      <c r="AH75" s="3654"/>
      <c r="AI75" s="3657"/>
      <c r="AJ75" s="3654"/>
      <c r="AK75" s="3657"/>
      <c r="AL75" s="3654"/>
      <c r="AM75" s="3657"/>
      <c r="AN75" s="3654"/>
      <c r="AO75" s="3657"/>
      <c r="AP75" s="3654"/>
      <c r="AQ75" s="3657"/>
      <c r="AR75" s="3671"/>
      <c r="AS75" s="3657"/>
      <c r="AT75" s="3654"/>
      <c r="AU75" s="3657"/>
      <c r="AV75" s="3654"/>
      <c r="AW75" s="3657"/>
      <c r="AX75" s="3654"/>
      <c r="AY75" s="3657"/>
      <c r="AZ75" s="3654"/>
      <c r="BA75" s="3669"/>
      <c r="BB75" s="3654"/>
      <c r="BC75" s="3594"/>
      <c r="BD75" s="3654"/>
      <c r="BE75" s="3662"/>
      <c r="BF75" s="995">
        <v>42597</v>
      </c>
      <c r="BG75" s="996">
        <v>42597</v>
      </c>
      <c r="BH75" s="995">
        <v>42719</v>
      </c>
      <c r="BI75" s="996">
        <v>42724</v>
      </c>
      <c r="BJ75" s="3664"/>
    </row>
    <row r="76" spans="1:62" s="908" customFormat="1" ht="35.25" customHeight="1">
      <c r="A76" s="3444"/>
      <c r="B76" s="3445"/>
      <c r="C76" s="3446"/>
      <c r="D76" s="3448"/>
      <c r="E76" s="3445"/>
      <c r="F76" s="3446"/>
      <c r="G76" s="3606"/>
      <c r="H76" s="3607"/>
      <c r="I76" s="3608"/>
      <c r="J76" s="3474"/>
      <c r="K76" s="3471"/>
      <c r="L76" s="3472"/>
      <c r="M76" s="3474"/>
      <c r="N76" s="3461"/>
      <c r="O76" s="3463"/>
      <c r="P76" s="3492"/>
      <c r="Q76" s="3612"/>
      <c r="R76" s="3667"/>
      <c r="S76" s="3497"/>
      <c r="T76" s="3500"/>
      <c r="U76" s="3500"/>
      <c r="V76" s="2411" t="s">
        <v>1006</v>
      </c>
      <c r="W76" s="2412">
        <v>10800000</v>
      </c>
      <c r="X76" s="1650">
        <v>10800000</v>
      </c>
      <c r="Y76" s="1650">
        <v>7028278</v>
      </c>
      <c r="Z76" s="3570"/>
      <c r="AA76" s="3641"/>
      <c r="AB76" s="3654"/>
      <c r="AC76" s="3657"/>
      <c r="AD76" s="3654"/>
      <c r="AE76" s="3657"/>
      <c r="AF76" s="3654"/>
      <c r="AG76" s="3657"/>
      <c r="AH76" s="3654"/>
      <c r="AI76" s="3657"/>
      <c r="AJ76" s="3654"/>
      <c r="AK76" s="3657"/>
      <c r="AL76" s="3654"/>
      <c r="AM76" s="3657"/>
      <c r="AN76" s="3654"/>
      <c r="AO76" s="3657"/>
      <c r="AP76" s="3654"/>
      <c r="AQ76" s="3657"/>
      <c r="AR76" s="3671"/>
      <c r="AS76" s="3657"/>
      <c r="AT76" s="3654"/>
      <c r="AU76" s="3657"/>
      <c r="AV76" s="3654"/>
      <c r="AW76" s="3657"/>
      <c r="AX76" s="3654"/>
      <c r="AY76" s="3657"/>
      <c r="AZ76" s="3654"/>
      <c r="BA76" s="3669"/>
      <c r="BB76" s="3654"/>
      <c r="BC76" s="3594"/>
      <c r="BD76" s="3654"/>
      <c r="BE76" s="3662"/>
      <c r="BF76" s="995">
        <v>42597</v>
      </c>
      <c r="BG76" s="996">
        <v>42597</v>
      </c>
      <c r="BH76" s="995">
        <v>42719</v>
      </c>
      <c r="BI76" s="996">
        <v>42724</v>
      </c>
      <c r="BJ76" s="3664"/>
    </row>
    <row r="77" spans="1:62" ht="57">
      <c r="A77" s="3444"/>
      <c r="B77" s="3445"/>
      <c r="C77" s="3446"/>
      <c r="D77" s="3448"/>
      <c r="E77" s="3445"/>
      <c r="F77" s="3446"/>
      <c r="G77" s="3606"/>
      <c r="H77" s="3607"/>
      <c r="I77" s="3608"/>
      <c r="J77" s="947">
        <v>239</v>
      </c>
      <c r="K77" s="991" t="s">
        <v>1007</v>
      </c>
      <c r="L77" s="972" t="s">
        <v>873</v>
      </c>
      <c r="M77" s="947">
        <v>1</v>
      </c>
      <c r="N77" s="2580">
        <v>0.02</v>
      </c>
      <c r="O77" s="3463"/>
      <c r="P77" s="3492"/>
      <c r="Q77" s="3612"/>
      <c r="R77" s="1660">
        <f>+W77/S67</f>
        <v>0.190608647055835</v>
      </c>
      <c r="S77" s="3497"/>
      <c r="T77" s="3500"/>
      <c r="U77" s="3500"/>
      <c r="V77" s="963" t="s">
        <v>1008</v>
      </c>
      <c r="W77" s="1636">
        <v>60028000</v>
      </c>
      <c r="X77" s="1650">
        <v>5000000</v>
      </c>
      <c r="Y77" s="1650">
        <v>5000000</v>
      </c>
      <c r="Z77" s="3570"/>
      <c r="AA77" s="3641"/>
      <c r="AB77" s="3654"/>
      <c r="AC77" s="3657"/>
      <c r="AD77" s="3654"/>
      <c r="AE77" s="3657"/>
      <c r="AF77" s="3654"/>
      <c r="AG77" s="3657"/>
      <c r="AH77" s="3654"/>
      <c r="AI77" s="3657"/>
      <c r="AJ77" s="3654"/>
      <c r="AK77" s="3657"/>
      <c r="AL77" s="3654"/>
      <c r="AM77" s="3657"/>
      <c r="AN77" s="3654"/>
      <c r="AO77" s="3657"/>
      <c r="AP77" s="3654"/>
      <c r="AQ77" s="3657"/>
      <c r="AR77" s="3671"/>
      <c r="AS77" s="3657"/>
      <c r="AT77" s="3654"/>
      <c r="AU77" s="3657"/>
      <c r="AV77" s="3654"/>
      <c r="AW77" s="3657"/>
      <c r="AX77" s="3654"/>
      <c r="AY77" s="3657"/>
      <c r="AZ77" s="3654"/>
      <c r="BA77" s="3669"/>
      <c r="BB77" s="3654"/>
      <c r="BC77" s="3594"/>
      <c r="BD77" s="3654"/>
      <c r="BE77" s="3662"/>
      <c r="BF77" s="995">
        <v>42625</v>
      </c>
      <c r="BG77" s="996">
        <v>42597</v>
      </c>
      <c r="BH77" s="997">
        <v>42819</v>
      </c>
      <c r="BI77" s="998">
        <v>42724</v>
      </c>
      <c r="BJ77" s="3664"/>
    </row>
    <row r="78" spans="1:62" ht="54" customHeight="1">
      <c r="A78" s="3444"/>
      <c r="B78" s="3445"/>
      <c r="C78" s="3446"/>
      <c r="D78" s="3448"/>
      <c r="E78" s="3445"/>
      <c r="F78" s="3446"/>
      <c r="G78" s="3606"/>
      <c r="H78" s="3607"/>
      <c r="I78" s="3608"/>
      <c r="J78" s="3467">
        <v>240</v>
      </c>
      <c r="K78" s="3476" t="s">
        <v>1009</v>
      </c>
      <c r="L78" s="3478" t="s">
        <v>1010</v>
      </c>
      <c r="M78" s="3467">
        <v>1</v>
      </c>
      <c r="N78" s="3468">
        <v>0.7</v>
      </c>
      <c r="O78" s="3463"/>
      <c r="P78" s="3492"/>
      <c r="Q78" s="3612"/>
      <c r="R78" s="3590">
        <f>+(W78+W79)/S67</f>
        <v>0.25656658029771884</v>
      </c>
      <c r="S78" s="3497"/>
      <c r="T78" s="3500"/>
      <c r="U78" s="3500"/>
      <c r="V78" s="963" t="s">
        <v>1011</v>
      </c>
      <c r="W78" s="1636">
        <f>20000000+50000000</f>
        <v>70000000</v>
      </c>
      <c r="X78" s="1650">
        <v>57367300</v>
      </c>
      <c r="Y78" s="1650">
        <v>57367300</v>
      </c>
      <c r="Z78" s="3570"/>
      <c r="AA78" s="3641"/>
      <c r="AB78" s="3654"/>
      <c r="AC78" s="3657"/>
      <c r="AD78" s="3654"/>
      <c r="AE78" s="3657"/>
      <c r="AF78" s="3654"/>
      <c r="AG78" s="3657"/>
      <c r="AH78" s="3654"/>
      <c r="AI78" s="3657"/>
      <c r="AJ78" s="3654"/>
      <c r="AK78" s="3657"/>
      <c r="AL78" s="3654"/>
      <c r="AM78" s="3657"/>
      <c r="AN78" s="3654"/>
      <c r="AO78" s="3657"/>
      <c r="AP78" s="3654"/>
      <c r="AQ78" s="3657"/>
      <c r="AR78" s="3671"/>
      <c r="AS78" s="3657"/>
      <c r="AT78" s="3654"/>
      <c r="AU78" s="3657"/>
      <c r="AV78" s="3654"/>
      <c r="AW78" s="3657"/>
      <c r="AX78" s="3654"/>
      <c r="AY78" s="3657"/>
      <c r="AZ78" s="3654"/>
      <c r="BA78" s="3669"/>
      <c r="BB78" s="3654"/>
      <c r="BC78" s="3594"/>
      <c r="BD78" s="3654"/>
      <c r="BE78" s="3662"/>
      <c r="BF78" s="995">
        <v>42597</v>
      </c>
      <c r="BG78" s="996">
        <v>42598</v>
      </c>
      <c r="BH78" s="997">
        <v>42719</v>
      </c>
      <c r="BI78" s="998">
        <v>42720</v>
      </c>
      <c r="BJ78" s="3664"/>
    </row>
    <row r="79" spans="1:62" ht="45.75" customHeight="1">
      <c r="A79" s="3444"/>
      <c r="B79" s="3445"/>
      <c r="C79" s="3446"/>
      <c r="D79" s="3448"/>
      <c r="E79" s="3445"/>
      <c r="F79" s="3446"/>
      <c r="G79" s="3606"/>
      <c r="H79" s="3607"/>
      <c r="I79" s="3608"/>
      <c r="J79" s="3475"/>
      <c r="K79" s="3477"/>
      <c r="L79" s="3479"/>
      <c r="M79" s="3475"/>
      <c r="N79" s="3469"/>
      <c r="O79" s="3464"/>
      <c r="P79" s="3523"/>
      <c r="Q79" s="3613"/>
      <c r="R79" s="3592"/>
      <c r="S79" s="3498"/>
      <c r="T79" s="3458"/>
      <c r="U79" s="3458"/>
      <c r="V79" s="1034" t="s">
        <v>1012</v>
      </c>
      <c r="W79" s="1639">
        <v>10800000</v>
      </c>
      <c r="X79" s="1650">
        <v>10800000</v>
      </c>
      <c r="Y79" s="1651">
        <v>9176000</v>
      </c>
      <c r="Z79" s="3571"/>
      <c r="AA79" s="3652"/>
      <c r="AB79" s="3655"/>
      <c r="AC79" s="3658"/>
      <c r="AD79" s="3655"/>
      <c r="AE79" s="3658"/>
      <c r="AF79" s="3655"/>
      <c r="AG79" s="3658"/>
      <c r="AH79" s="3655"/>
      <c r="AI79" s="3658"/>
      <c r="AJ79" s="3655"/>
      <c r="AK79" s="3658"/>
      <c r="AL79" s="3655"/>
      <c r="AM79" s="3658"/>
      <c r="AN79" s="3655"/>
      <c r="AO79" s="3658"/>
      <c r="AP79" s="3655"/>
      <c r="AQ79" s="3658"/>
      <c r="AR79" s="3671"/>
      <c r="AS79" s="3658"/>
      <c r="AT79" s="3655"/>
      <c r="AU79" s="3658"/>
      <c r="AV79" s="3655"/>
      <c r="AW79" s="3658"/>
      <c r="AX79" s="3655"/>
      <c r="AY79" s="3658"/>
      <c r="AZ79" s="3655"/>
      <c r="BA79" s="3670"/>
      <c r="BB79" s="3655"/>
      <c r="BC79" s="3595"/>
      <c r="BD79" s="3655"/>
      <c r="BE79" s="3663"/>
      <c r="BF79" s="995">
        <v>42638</v>
      </c>
      <c r="BG79" s="996">
        <v>42597</v>
      </c>
      <c r="BH79" s="997">
        <v>42719</v>
      </c>
      <c r="BI79" s="998">
        <v>42724</v>
      </c>
      <c r="BJ79" s="3664"/>
    </row>
    <row r="80" spans="1:62" ht="42.75">
      <c r="A80" s="3444"/>
      <c r="B80" s="3445"/>
      <c r="C80" s="3446"/>
      <c r="D80" s="3448"/>
      <c r="E80" s="3445"/>
      <c r="F80" s="3446"/>
      <c r="G80" s="3606"/>
      <c r="H80" s="3607"/>
      <c r="I80" s="3608"/>
      <c r="J80" s="3632">
        <v>238</v>
      </c>
      <c r="K80" s="3674" t="s">
        <v>1004</v>
      </c>
      <c r="L80" s="3561" t="s">
        <v>941</v>
      </c>
      <c r="M80" s="3625">
        <v>12</v>
      </c>
      <c r="N80" s="3461">
        <v>6</v>
      </c>
      <c r="O80" s="3537" t="s">
        <v>1013</v>
      </c>
      <c r="P80" s="3491">
        <v>37</v>
      </c>
      <c r="Q80" s="3612" t="s">
        <v>1014</v>
      </c>
      <c r="R80" s="3590">
        <f>+(W80+W81+W82)/S80</f>
        <v>0.352642467556893</v>
      </c>
      <c r="S80" s="3496">
        <v>85072000</v>
      </c>
      <c r="T80" s="3457" t="s">
        <v>1015</v>
      </c>
      <c r="U80" s="3457" t="s">
        <v>1016</v>
      </c>
      <c r="V80" s="999" t="s">
        <v>1017</v>
      </c>
      <c r="W80" s="1636">
        <v>10000000</v>
      </c>
      <c r="X80" s="1650">
        <v>10000000</v>
      </c>
      <c r="Y80" s="1650">
        <v>10000000</v>
      </c>
      <c r="Z80" s="3625">
        <v>20</v>
      </c>
      <c r="AA80" s="3651" t="s">
        <v>232</v>
      </c>
      <c r="AB80" s="3563">
        <v>2109</v>
      </c>
      <c r="AC80" s="3564">
        <v>2109</v>
      </c>
      <c r="AD80" s="3563">
        <v>2274</v>
      </c>
      <c r="AE80" s="3564">
        <v>2274</v>
      </c>
      <c r="AF80" s="3563">
        <v>865</v>
      </c>
      <c r="AG80" s="3564">
        <v>865</v>
      </c>
      <c r="AH80" s="3563">
        <v>2734</v>
      </c>
      <c r="AI80" s="3564">
        <v>2734</v>
      </c>
      <c r="AJ80" s="3563">
        <v>7443</v>
      </c>
      <c r="AK80" s="3564">
        <v>5573</v>
      </c>
      <c r="AL80" s="3563">
        <v>2562</v>
      </c>
      <c r="AM80" s="3564">
        <v>2562</v>
      </c>
      <c r="AN80" s="3563"/>
      <c r="AO80" s="3564"/>
      <c r="AP80" s="3563"/>
      <c r="AQ80" s="3564"/>
      <c r="AR80" s="3653"/>
      <c r="AS80" s="3564"/>
      <c r="AT80" s="3650"/>
      <c r="AU80" s="3648"/>
      <c r="AV80" s="3659"/>
      <c r="AW80" s="3648"/>
      <c r="AX80" s="3659"/>
      <c r="AY80" s="3648"/>
      <c r="AZ80" s="3575">
        <v>8</v>
      </c>
      <c r="BA80" s="3678">
        <f>SUM(X80:$X$87)</f>
        <v>85023680</v>
      </c>
      <c r="BB80" s="3678">
        <v>85023680</v>
      </c>
      <c r="BC80" s="3593">
        <f>BB80/BA80</f>
        <v>1</v>
      </c>
      <c r="BD80" s="3575">
        <v>20</v>
      </c>
      <c r="BE80" s="3596" t="s">
        <v>1018</v>
      </c>
      <c r="BF80" s="995">
        <v>42410</v>
      </c>
      <c r="BG80" s="996">
        <v>42597</v>
      </c>
      <c r="BH80" s="997">
        <v>42543</v>
      </c>
      <c r="BI80" s="998">
        <v>42543</v>
      </c>
      <c r="BJ80" s="3664"/>
    </row>
    <row r="81" spans="1:62" ht="57" customHeight="1">
      <c r="A81" s="3444"/>
      <c r="B81" s="3445"/>
      <c r="C81" s="3446"/>
      <c r="D81" s="3448"/>
      <c r="E81" s="3445"/>
      <c r="F81" s="3446"/>
      <c r="G81" s="3606"/>
      <c r="H81" s="3607"/>
      <c r="I81" s="3608"/>
      <c r="J81" s="3673"/>
      <c r="K81" s="3675"/>
      <c r="L81" s="3587"/>
      <c r="M81" s="3626"/>
      <c r="N81" s="3461"/>
      <c r="O81" s="3538"/>
      <c r="P81" s="3492"/>
      <c r="Q81" s="3612"/>
      <c r="R81" s="3591"/>
      <c r="S81" s="3497"/>
      <c r="T81" s="3500"/>
      <c r="U81" s="3500"/>
      <c r="V81" s="999" t="s">
        <v>1019</v>
      </c>
      <c r="W81" s="1636">
        <v>10000000</v>
      </c>
      <c r="X81" s="1650">
        <v>10000000</v>
      </c>
      <c r="Y81" s="1650">
        <v>10000000</v>
      </c>
      <c r="Z81" s="3626"/>
      <c r="AA81" s="3641"/>
      <c r="AB81" s="3563"/>
      <c r="AC81" s="3565"/>
      <c r="AD81" s="3563"/>
      <c r="AE81" s="3565"/>
      <c r="AF81" s="3563"/>
      <c r="AG81" s="3565"/>
      <c r="AH81" s="3563"/>
      <c r="AI81" s="3565"/>
      <c r="AJ81" s="3563"/>
      <c r="AK81" s="3565"/>
      <c r="AL81" s="3563"/>
      <c r="AM81" s="3565"/>
      <c r="AN81" s="3563"/>
      <c r="AO81" s="3565"/>
      <c r="AP81" s="3563"/>
      <c r="AQ81" s="3565"/>
      <c r="AR81" s="3654"/>
      <c r="AS81" s="3565"/>
      <c r="AT81" s="3650"/>
      <c r="AU81" s="3672"/>
      <c r="AV81" s="3677"/>
      <c r="AW81" s="3672"/>
      <c r="AX81" s="3677"/>
      <c r="AY81" s="3672"/>
      <c r="AZ81" s="3576"/>
      <c r="BA81" s="3679"/>
      <c r="BB81" s="3679"/>
      <c r="BC81" s="3594"/>
      <c r="BD81" s="3576"/>
      <c r="BE81" s="3597"/>
      <c r="BF81" s="995">
        <v>42410</v>
      </c>
      <c r="BG81" s="996">
        <v>42597</v>
      </c>
      <c r="BH81" s="997">
        <v>42543</v>
      </c>
      <c r="BI81" s="998">
        <v>42543</v>
      </c>
      <c r="BJ81" s="3664"/>
    </row>
    <row r="82" spans="1:62" ht="71.25">
      <c r="A82" s="3444"/>
      <c r="B82" s="3445"/>
      <c r="C82" s="3446"/>
      <c r="D82" s="3448"/>
      <c r="E82" s="3445"/>
      <c r="F82" s="3446"/>
      <c r="G82" s="3606"/>
      <c r="H82" s="3607"/>
      <c r="I82" s="3608"/>
      <c r="J82" s="3633"/>
      <c r="K82" s="3676"/>
      <c r="L82" s="3562"/>
      <c r="M82" s="3627"/>
      <c r="N82" s="3461"/>
      <c r="O82" s="3538"/>
      <c r="P82" s="3492"/>
      <c r="Q82" s="3612"/>
      <c r="R82" s="3592"/>
      <c r="S82" s="3497"/>
      <c r="T82" s="3500"/>
      <c r="U82" s="3500"/>
      <c r="V82" s="999" t="s">
        <v>1020</v>
      </c>
      <c r="W82" s="1636">
        <v>10000000</v>
      </c>
      <c r="X82" s="1650">
        <v>10000000</v>
      </c>
      <c r="Y82" s="1650">
        <v>10000000</v>
      </c>
      <c r="Z82" s="3626"/>
      <c r="AA82" s="3641"/>
      <c r="AB82" s="3563"/>
      <c r="AC82" s="3565"/>
      <c r="AD82" s="3563"/>
      <c r="AE82" s="3565"/>
      <c r="AF82" s="3563"/>
      <c r="AG82" s="3565"/>
      <c r="AH82" s="3563"/>
      <c r="AI82" s="3565"/>
      <c r="AJ82" s="3563"/>
      <c r="AK82" s="3565"/>
      <c r="AL82" s="3563"/>
      <c r="AM82" s="3565"/>
      <c r="AN82" s="3563"/>
      <c r="AO82" s="3565"/>
      <c r="AP82" s="3563"/>
      <c r="AQ82" s="3565"/>
      <c r="AR82" s="3654"/>
      <c r="AS82" s="3565"/>
      <c r="AT82" s="3650"/>
      <c r="AU82" s="3672"/>
      <c r="AV82" s="3677"/>
      <c r="AW82" s="3672"/>
      <c r="AX82" s="3677"/>
      <c r="AY82" s="3672"/>
      <c r="AZ82" s="3576"/>
      <c r="BA82" s="3679"/>
      <c r="BB82" s="3679"/>
      <c r="BC82" s="3594"/>
      <c r="BD82" s="3576"/>
      <c r="BE82" s="3597"/>
      <c r="BF82" s="995">
        <v>42410</v>
      </c>
      <c r="BG82" s="996">
        <v>42597</v>
      </c>
      <c r="BH82" s="997">
        <v>42543</v>
      </c>
      <c r="BI82" s="998">
        <v>42543</v>
      </c>
      <c r="BJ82" s="3664"/>
    </row>
    <row r="83" spans="1:62" ht="71.25">
      <c r="A83" s="3444"/>
      <c r="B83" s="3445"/>
      <c r="C83" s="3446"/>
      <c r="D83" s="3448"/>
      <c r="E83" s="3445"/>
      <c r="F83" s="3446"/>
      <c r="G83" s="3606"/>
      <c r="H83" s="3607"/>
      <c r="I83" s="3608"/>
      <c r="J83" s="1016">
        <v>237</v>
      </c>
      <c r="K83" s="1032" t="s">
        <v>998</v>
      </c>
      <c r="L83" s="1018" t="s">
        <v>941</v>
      </c>
      <c r="M83" s="1008">
        <v>50</v>
      </c>
      <c r="N83" s="2580">
        <v>10</v>
      </c>
      <c r="O83" s="3538"/>
      <c r="P83" s="3492"/>
      <c r="Q83" s="3612"/>
      <c r="R83" s="1660">
        <f>+W83/S80</f>
        <v>0.1786721835621591</v>
      </c>
      <c r="S83" s="3497"/>
      <c r="T83" s="3500"/>
      <c r="U83" s="3500"/>
      <c r="V83" s="999" t="s">
        <v>1021</v>
      </c>
      <c r="W83" s="1636">
        <v>15200000</v>
      </c>
      <c r="X83" s="1650">
        <v>15200000</v>
      </c>
      <c r="Y83" s="1650">
        <v>15200000</v>
      </c>
      <c r="Z83" s="3626"/>
      <c r="AA83" s="3641"/>
      <c r="AB83" s="3563"/>
      <c r="AC83" s="3565"/>
      <c r="AD83" s="3563"/>
      <c r="AE83" s="3565"/>
      <c r="AF83" s="3563"/>
      <c r="AG83" s="3565"/>
      <c r="AH83" s="3563"/>
      <c r="AI83" s="3565"/>
      <c r="AJ83" s="3563"/>
      <c r="AK83" s="3565"/>
      <c r="AL83" s="3563"/>
      <c r="AM83" s="3565"/>
      <c r="AN83" s="3563"/>
      <c r="AO83" s="3565"/>
      <c r="AP83" s="3563"/>
      <c r="AQ83" s="3565"/>
      <c r="AR83" s="3654"/>
      <c r="AS83" s="3565"/>
      <c r="AT83" s="3650"/>
      <c r="AU83" s="3672"/>
      <c r="AV83" s="3677"/>
      <c r="AW83" s="3672"/>
      <c r="AX83" s="3677"/>
      <c r="AY83" s="3672"/>
      <c r="AZ83" s="3576"/>
      <c r="BA83" s="3679"/>
      <c r="BB83" s="3679"/>
      <c r="BC83" s="3594"/>
      <c r="BD83" s="3576"/>
      <c r="BE83" s="3597"/>
      <c r="BF83" s="995">
        <v>42410</v>
      </c>
      <c r="BG83" s="996">
        <v>42597</v>
      </c>
      <c r="BH83" s="997">
        <v>42543</v>
      </c>
      <c r="BI83" s="998">
        <v>42543</v>
      </c>
      <c r="BJ83" s="3664"/>
    </row>
    <row r="84" spans="1:62" ht="57">
      <c r="A84" s="3444"/>
      <c r="B84" s="3445"/>
      <c r="C84" s="3446"/>
      <c r="D84" s="3448"/>
      <c r="E84" s="3445"/>
      <c r="F84" s="3446"/>
      <c r="G84" s="3606"/>
      <c r="H84" s="3607"/>
      <c r="I84" s="3608"/>
      <c r="J84" s="3632">
        <v>240</v>
      </c>
      <c r="K84" s="3674" t="s">
        <v>1009</v>
      </c>
      <c r="L84" s="3561" t="s">
        <v>941</v>
      </c>
      <c r="M84" s="3625">
        <v>1</v>
      </c>
      <c r="N84" s="3461">
        <v>0.3</v>
      </c>
      <c r="O84" s="3538"/>
      <c r="P84" s="3492"/>
      <c r="Q84" s="3612"/>
      <c r="R84" s="3590">
        <f>+(W84+W85+W86+W87)/S80</f>
        <v>0.4686853488809479</v>
      </c>
      <c r="S84" s="3497"/>
      <c r="T84" s="3500"/>
      <c r="U84" s="3500"/>
      <c r="V84" s="999" t="s">
        <v>1022</v>
      </c>
      <c r="W84" s="1636">
        <v>5000000</v>
      </c>
      <c r="X84" s="1650">
        <v>5000000</v>
      </c>
      <c r="Y84" s="1650">
        <v>5000000</v>
      </c>
      <c r="Z84" s="3626"/>
      <c r="AA84" s="3641"/>
      <c r="AB84" s="3563"/>
      <c r="AC84" s="3565"/>
      <c r="AD84" s="3563"/>
      <c r="AE84" s="3565"/>
      <c r="AF84" s="3563"/>
      <c r="AG84" s="3565"/>
      <c r="AH84" s="3563"/>
      <c r="AI84" s="3565"/>
      <c r="AJ84" s="3563"/>
      <c r="AK84" s="3565"/>
      <c r="AL84" s="3563"/>
      <c r="AM84" s="3565"/>
      <c r="AN84" s="3563"/>
      <c r="AO84" s="3565"/>
      <c r="AP84" s="3563"/>
      <c r="AQ84" s="3565"/>
      <c r="AR84" s="3654"/>
      <c r="AS84" s="3565"/>
      <c r="AT84" s="3650"/>
      <c r="AU84" s="3672"/>
      <c r="AV84" s="3677"/>
      <c r="AW84" s="3672"/>
      <c r="AX84" s="3677"/>
      <c r="AY84" s="3672"/>
      <c r="AZ84" s="3576"/>
      <c r="BA84" s="3679"/>
      <c r="BB84" s="3679"/>
      <c r="BC84" s="3594"/>
      <c r="BD84" s="3576"/>
      <c r="BE84" s="3597"/>
      <c r="BF84" s="995">
        <v>42533</v>
      </c>
      <c r="BG84" s="996">
        <v>42454</v>
      </c>
      <c r="BH84" s="997">
        <v>42623</v>
      </c>
      <c r="BI84" s="998">
        <v>42724</v>
      </c>
      <c r="BJ84" s="3664"/>
    </row>
    <row r="85" spans="1:62" ht="71.25" customHeight="1">
      <c r="A85" s="3444"/>
      <c r="B85" s="3445"/>
      <c r="C85" s="3446"/>
      <c r="D85" s="3448"/>
      <c r="E85" s="3445"/>
      <c r="F85" s="3446"/>
      <c r="G85" s="3606"/>
      <c r="H85" s="3607"/>
      <c r="I85" s="3608"/>
      <c r="J85" s="3673"/>
      <c r="K85" s="3675"/>
      <c r="L85" s="3587"/>
      <c r="M85" s="3626"/>
      <c r="N85" s="3461"/>
      <c r="O85" s="3538"/>
      <c r="P85" s="3492"/>
      <c r="Q85" s="3612"/>
      <c r="R85" s="3591"/>
      <c r="S85" s="3497"/>
      <c r="T85" s="3500"/>
      <c r="U85" s="3500"/>
      <c r="V85" s="999" t="s">
        <v>1023</v>
      </c>
      <c r="W85" s="1636">
        <v>0</v>
      </c>
      <c r="X85" s="1650">
        <v>0</v>
      </c>
      <c r="Y85" s="1650">
        <v>0</v>
      </c>
      <c r="Z85" s="3626"/>
      <c r="AA85" s="3641"/>
      <c r="AB85" s="3563"/>
      <c r="AC85" s="3565"/>
      <c r="AD85" s="3563"/>
      <c r="AE85" s="3565"/>
      <c r="AF85" s="3563"/>
      <c r="AG85" s="3565"/>
      <c r="AH85" s="3563"/>
      <c r="AI85" s="3565"/>
      <c r="AJ85" s="3563"/>
      <c r="AK85" s="3565"/>
      <c r="AL85" s="3563"/>
      <c r="AM85" s="3565"/>
      <c r="AN85" s="3563"/>
      <c r="AO85" s="3565"/>
      <c r="AP85" s="3563"/>
      <c r="AQ85" s="3565"/>
      <c r="AR85" s="3654"/>
      <c r="AS85" s="3565"/>
      <c r="AT85" s="3650"/>
      <c r="AU85" s="3672"/>
      <c r="AV85" s="3677"/>
      <c r="AW85" s="3672"/>
      <c r="AX85" s="3677"/>
      <c r="AY85" s="3672"/>
      <c r="AZ85" s="3576"/>
      <c r="BA85" s="3679"/>
      <c r="BB85" s="3679"/>
      <c r="BC85" s="3594"/>
      <c r="BD85" s="3576"/>
      <c r="BE85" s="3597"/>
      <c r="BF85" s="995">
        <v>42410</v>
      </c>
      <c r="BG85" s="996"/>
      <c r="BH85" s="997">
        <v>42543</v>
      </c>
      <c r="BI85" s="998"/>
      <c r="BJ85" s="3664"/>
    </row>
    <row r="86" spans="1:62" ht="57">
      <c r="A86" s="3444"/>
      <c r="B86" s="3445"/>
      <c r="C86" s="3446"/>
      <c r="D86" s="3448"/>
      <c r="E86" s="3445"/>
      <c r="F86" s="3446"/>
      <c r="G86" s="3606"/>
      <c r="H86" s="3607"/>
      <c r="I86" s="3608"/>
      <c r="J86" s="3673"/>
      <c r="K86" s="3675"/>
      <c r="L86" s="3587"/>
      <c r="M86" s="3626"/>
      <c r="N86" s="3461"/>
      <c r="O86" s="3538"/>
      <c r="P86" s="3492"/>
      <c r="Q86" s="3612"/>
      <c r="R86" s="3591"/>
      <c r="S86" s="3497"/>
      <c r="T86" s="3500"/>
      <c r="U86" s="3500"/>
      <c r="V86" s="999" t="s">
        <v>1024</v>
      </c>
      <c r="W86" s="1636">
        <v>4872000</v>
      </c>
      <c r="X86" s="1650">
        <v>4872000</v>
      </c>
      <c r="Y86" s="1651">
        <v>4872000</v>
      </c>
      <c r="Z86" s="3626"/>
      <c r="AA86" s="3641"/>
      <c r="AB86" s="3563"/>
      <c r="AC86" s="3565"/>
      <c r="AD86" s="3563"/>
      <c r="AE86" s="3565"/>
      <c r="AF86" s="3563"/>
      <c r="AG86" s="3565"/>
      <c r="AH86" s="3563"/>
      <c r="AI86" s="3565"/>
      <c r="AJ86" s="3563"/>
      <c r="AK86" s="3565"/>
      <c r="AL86" s="3563"/>
      <c r="AM86" s="3565"/>
      <c r="AN86" s="3563"/>
      <c r="AO86" s="3565"/>
      <c r="AP86" s="3563"/>
      <c r="AQ86" s="3565"/>
      <c r="AR86" s="3654"/>
      <c r="AS86" s="3565"/>
      <c r="AT86" s="3650"/>
      <c r="AU86" s="3672"/>
      <c r="AV86" s="3677"/>
      <c r="AW86" s="3672"/>
      <c r="AX86" s="3677"/>
      <c r="AY86" s="3672"/>
      <c r="AZ86" s="3576"/>
      <c r="BA86" s="3679"/>
      <c r="BB86" s="3679"/>
      <c r="BC86" s="3594"/>
      <c r="BD86" s="3576"/>
      <c r="BE86" s="3597"/>
      <c r="BF86" s="995">
        <v>42480</v>
      </c>
      <c r="BG86" s="996">
        <v>42526</v>
      </c>
      <c r="BH86" s="997">
        <v>42600</v>
      </c>
      <c r="BI86" s="998">
        <v>42651</v>
      </c>
      <c r="BJ86" s="3664"/>
    </row>
    <row r="87" spans="1:62" ht="70.5" customHeight="1">
      <c r="A87" s="3444"/>
      <c r="B87" s="3445"/>
      <c r="C87" s="3446"/>
      <c r="D87" s="3448"/>
      <c r="E87" s="3445"/>
      <c r="F87" s="3446"/>
      <c r="G87" s="3609"/>
      <c r="H87" s="3610"/>
      <c r="I87" s="3611"/>
      <c r="J87" s="3633"/>
      <c r="K87" s="3676"/>
      <c r="L87" s="3562"/>
      <c r="M87" s="3627"/>
      <c r="N87" s="3461"/>
      <c r="O87" s="3550"/>
      <c r="P87" s="3523"/>
      <c r="Q87" s="3613"/>
      <c r="R87" s="3592"/>
      <c r="S87" s="3498"/>
      <c r="T87" s="3458"/>
      <c r="U87" s="3458"/>
      <c r="V87" s="999" t="s">
        <v>1025</v>
      </c>
      <c r="W87" s="1636">
        <v>30000000</v>
      </c>
      <c r="X87" s="1650">
        <v>29951680</v>
      </c>
      <c r="Y87" s="1650">
        <v>29951680</v>
      </c>
      <c r="Z87" s="3627"/>
      <c r="AA87" s="3652"/>
      <c r="AB87" s="3563"/>
      <c r="AC87" s="3566"/>
      <c r="AD87" s="3563"/>
      <c r="AE87" s="3566"/>
      <c r="AF87" s="3563"/>
      <c r="AG87" s="3566"/>
      <c r="AH87" s="3563"/>
      <c r="AI87" s="3566"/>
      <c r="AJ87" s="3563"/>
      <c r="AK87" s="3566"/>
      <c r="AL87" s="3563"/>
      <c r="AM87" s="3566"/>
      <c r="AN87" s="3563"/>
      <c r="AO87" s="3566"/>
      <c r="AP87" s="3563"/>
      <c r="AQ87" s="3566"/>
      <c r="AR87" s="3655"/>
      <c r="AS87" s="3566"/>
      <c r="AT87" s="3650"/>
      <c r="AU87" s="3649"/>
      <c r="AV87" s="3660"/>
      <c r="AW87" s="3649"/>
      <c r="AX87" s="3660"/>
      <c r="AY87" s="3649"/>
      <c r="AZ87" s="3577"/>
      <c r="BA87" s="3680"/>
      <c r="BB87" s="3680"/>
      <c r="BC87" s="3595"/>
      <c r="BD87" s="3577"/>
      <c r="BE87" s="3598"/>
      <c r="BF87" s="995">
        <v>42512</v>
      </c>
      <c r="BG87" s="996">
        <v>42510</v>
      </c>
      <c r="BH87" s="997">
        <v>42658</v>
      </c>
      <c r="BI87" s="998">
        <v>42724</v>
      </c>
      <c r="BJ87" s="3664"/>
    </row>
    <row r="88" spans="1:62" ht="36" customHeight="1">
      <c r="A88" s="3444"/>
      <c r="B88" s="3445"/>
      <c r="C88" s="3446"/>
      <c r="D88" s="3448"/>
      <c r="E88" s="3445"/>
      <c r="F88" s="3446"/>
      <c r="G88" s="1035">
        <v>82</v>
      </c>
      <c r="H88" s="1036" t="s">
        <v>1026</v>
      </c>
      <c r="I88" s="1037"/>
      <c r="J88" s="1037"/>
      <c r="K88" s="1037"/>
      <c r="L88" s="1037"/>
      <c r="M88" s="1037"/>
      <c r="N88" s="2584"/>
      <c r="O88" s="1037"/>
      <c r="P88" s="1037"/>
      <c r="Q88" s="1037"/>
      <c r="R88" s="1037"/>
      <c r="S88" s="1037"/>
      <c r="T88" s="1037"/>
      <c r="U88" s="1037"/>
      <c r="V88" s="1037"/>
      <c r="W88" s="1037"/>
      <c r="X88" s="1038"/>
      <c r="Y88" s="1038"/>
      <c r="Z88" s="1037"/>
      <c r="AA88" s="1037"/>
      <c r="AB88" s="1037"/>
      <c r="AC88" s="1038"/>
      <c r="AD88" s="1037"/>
      <c r="AE88" s="1038"/>
      <c r="AF88" s="1037"/>
      <c r="AG88" s="1038"/>
      <c r="AH88" s="1037"/>
      <c r="AI88" s="1038"/>
      <c r="AJ88" s="1037"/>
      <c r="AK88" s="1038"/>
      <c r="AL88" s="1037"/>
      <c r="AM88" s="1038"/>
      <c r="AN88" s="1037"/>
      <c r="AO88" s="1038"/>
      <c r="AP88" s="1037"/>
      <c r="AQ88" s="1038"/>
      <c r="AR88" s="1037"/>
      <c r="AS88" s="1038"/>
      <c r="AT88" s="1037"/>
      <c r="AU88" s="1038"/>
      <c r="AV88" s="1037"/>
      <c r="AW88" s="1038"/>
      <c r="AX88" s="1037"/>
      <c r="AY88" s="1038"/>
      <c r="AZ88" s="1037"/>
      <c r="BA88" s="1037"/>
      <c r="BB88" s="1037"/>
      <c r="BC88" s="1037"/>
      <c r="BD88" s="1037"/>
      <c r="BE88" s="1037"/>
      <c r="BF88" s="1037"/>
      <c r="BG88" s="1038"/>
      <c r="BH88" s="1037"/>
      <c r="BI88" s="1038"/>
      <c r="BJ88" s="1039"/>
    </row>
    <row r="89" spans="1:62" ht="51" customHeight="1">
      <c r="A89" s="3444"/>
      <c r="B89" s="3445"/>
      <c r="C89" s="3446"/>
      <c r="D89" s="3448"/>
      <c r="E89" s="3445"/>
      <c r="F89" s="3446"/>
      <c r="G89" s="3603"/>
      <c r="H89" s="3604"/>
      <c r="I89" s="3605"/>
      <c r="J89" s="3467">
        <v>241</v>
      </c>
      <c r="K89" s="3476" t="s">
        <v>1027</v>
      </c>
      <c r="L89" s="3466" t="s">
        <v>873</v>
      </c>
      <c r="M89" s="3625">
        <v>1</v>
      </c>
      <c r="N89" s="3461">
        <v>1</v>
      </c>
      <c r="O89" s="3462" t="s">
        <v>1028</v>
      </c>
      <c r="P89" s="3491">
        <v>38</v>
      </c>
      <c r="Q89" s="3494" t="s">
        <v>1029</v>
      </c>
      <c r="R89" s="3590">
        <f>+(W89+W90+W91)/S89</f>
        <v>0.5625</v>
      </c>
      <c r="S89" s="3496">
        <v>80000000</v>
      </c>
      <c r="T89" s="3457" t="s">
        <v>992</v>
      </c>
      <c r="U89" s="3457" t="s">
        <v>1030</v>
      </c>
      <c r="V89" s="1040" t="s">
        <v>1031</v>
      </c>
      <c r="W89" s="1636">
        <v>10000000</v>
      </c>
      <c r="X89" s="1647">
        <v>10000000</v>
      </c>
      <c r="Y89" s="1647">
        <v>10000000</v>
      </c>
      <c r="Z89" s="3625">
        <v>20</v>
      </c>
      <c r="AA89" s="3572" t="s">
        <v>232</v>
      </c>
      <c r="AB89" s="3467">
        <v>1058</v>
      </c>
      <c r="AC89" s="3600">
        <v>575</v>
      </c>
      <c r="AD89" s="3467">
        <v>1191</v>
      </c>
      <c r="AE89" s="3600">
        <v>647</v>
      </c>
      <c r="AF89" s="3467">
        <v>453</v>
      </c>
      <c r="AG89" s="3600">
        <v>246</v>
      </c>
      <c r="AH89" s="3467">
        <v>1432</v>
      </c>
      <c r="AI89" s="3600">
        <v>778</v>
      </c>
      <c r="AJ89" s="3467">
        <v>3899</v>
      </c>
      <c r="AK89" s="3600">
        <v>2118</v>
      </c>
      <c r="AL89" s="3467">
        <v>1342</v>
      </c>
      <c r="AM89" s="3600">
        <v>729</v>
      </c>
      <c r="AN89" s="3467"/>
      <c r="AO89" s="3600"/>
      <c r="AP89" s="3467"/>
      <c r="AQ89" s="3600"/>
      <c r="AR89" s="3467"/>
      <c r="AS89" s="3600"/>
      <c r="AT89" s="3467"/>
      <c r="AU89" s="3600"/>
      <c r="AV89" s="3467"/>
      <c r="AW89" s="3600"/>
      <c r="AX89" s="3467"/>
      <c r="AY89" s="3600"/>
      <c r="AZ89" s="3467">
        <v>5</v>
      </c>
      <c r="BA89" s="3467">
        <f>SUM(X89:$X$92)</f>
        <v>43468250</v>
      </c>
      <c r="BB89" s="3473">
        <v>38758750</v>
      </c>
      <c r="BC89" s="3593">
        <f>BB89/BA89</f>
        <v>0.8916565539215404</v>
      </c>
      <c r="BD89" s="3467">
        <v>20</v>
      </c>
      <c r="BE89" s="3642" t="s">
        <v>1018</v>
      </c>
      <c r="BF89" s="995">
        <v>42597</v>
      </c>
      <c r="BG89" s="996">
        <v>42597</v>
      </c>
      <c r="BH89" s="997">
        <v>42719</v>
      </c>
      <c r="BI89" s="1013">
        <v>42724</v>
      </c>
      <c r="BJ89" s="3681" t="s">
        <v>2146</v>
      </c>
    </row>
    <row r="90" spans="1:62" ht="57">
      <c r="A90" s="3444"/>
      <c r="B90" s="3445"/>
      <c r="C90" s="3446"/>
      <c r="D90" s="3448"/>
      <c r="E90" s="3445"/>
      <c r="F90" s="3446"/>
      <c r="G90" s="3606"/>
      <c r="H90" s="3607"/>
      <c r="I90" s="3608"/>
      <c r="J90" s="3599"/>
      <c r="K90" s="3536"/>
      <c r="L90" s="3512"/>
      <c r="M90" s="3626"/>
      <c r="N90" s="3461"/>
      <c r="O90" s="3463"/>
      <c r="P90" s="3492"/>
      <c r="Q90" s="3612"/>
      <c r="R90" s="3591"/>
      <c r="S90" s="3497"/>
      <c r="T90" s="3500"/>
      <c r="U90" s="3500"/>
      <c r="V90" s="1040" t="s">
        <v>1032</v>
      </c>
      <c r="W90" s="1636">
        <v>28000000</v>
      </c>
      <c r="X90" s="1647">
        <v>4709500</v>
      </c>
      <c r="Y90" s="1647">
        <v>0</v>
      </c>
      <c r="Z90" s="3626"/>
      <c r="AA90" s="3573"/>
      <c r="AB90" s="3599"/>
      <c r="AC90" s="3601"/>
      <c r="AD90" s="3599"/>
      <c r="AE90" s="3601"/>
      <c r="AF90" s="3599"/>
      <c r="AG90" s="3601"/>
      <c r="AH90" s="3599"/>
      <c r="AI90" s="3601"/>
      <c r="AJ90" s="3599"/>
      <c r="AK90" s="3601"/>
      <c r="AL90" s="3599"/>
      <c r="AM90" s="3601"/>
      <c r="AN90" s="3599"/>
      <c r="AO90" s="3601"/>
      <c r="AP90" s="3599"/>
      <c r="AQ90" s="3601"/>
      <c r="AR90" s="3599"/>
      <c r="AS90" s="3601"/>
      <c r="AT90" s="3599"/>
      <c r="AU90" s="3601"/>
      <c r="AV90" s="3599"/>
      <c r="AW90" s="3601"/>
      <c r="AX90" s="3599"/>
      <c r="AY90" s="3601"/>
      <c r="AZ90" s="3599"/>
      <c r="BA90" s="3599"/>
      <c r="BB90" s="3588"/>
      <c r="BC90" s="3594"/>
      <c r="BD90" s="3599"/>
      <c r="BE90" s="3643"/>
      <c r="BF90" s="1041">
        <v>42638</v>
      </c>
      <c r="BG90" s="996">
        <v>42639</v>
      </c>
      <c r="BH90" s="997">
        <v>42719</v>
      </c>
      <c r="BI90" s="998">
        <v>42720</v>
      </c>
      <c r="BJ90" s="3682"/>
    </row>
    <row r="91" spans="1:62" ht="33" customHeight="1">
      <c r="A91" s="3444"/>
      <c r="B91" s="3445"/>
      <c r="C91" s="3446"/>
      <c r="D91" s="3448"/>
      <c r="E91" s="3445"/>
      <c r="F91" s="3446"/>
      <c r="G91" s="3606"/>
      <c r="H91" s="3607"/>
      <c r="I91" s="3608"/>
      <c r="J91" s="3475"/>
      <c r="K91" s="3477"/>
      <c r="L91" s="3472"/>
      <c r="M91" s="3627"/>
      <c r="N91" s="3461"/>
      <c r="O91" s="3463"/>
      <c r="P91" s="3492"/>
      <c r="Q91" s="3612"/>
      <c r="R91" s="3592"/>
      <c r="S91" s="3497"/>
      <c r="T91" s="3500"/>
      <c r="U91" s="3500"/>
      <c r="V91" s="1040" t="s">
        <v>1033</v>
      </c>
      <c r="W91" s="1636">
        <v>7000000</v>
      </c>
      <c r="X91" s="1647">
        <v>0</v>
      </c>
      <c r="Y91" s="1647">
        <v>0</v>
      </c>
      <c r="Z91" s="3626"/>
      <c r="AA91" s="3573"/>
      <c r="AB91" s="3599"/>
      <c r="AC91" s="3601"/>
      <c r="AD91" s="3599"/>
      <c r="AE91" s="3601"/>
      <c r="AF91" s="3599"/>
      <c r="AG91" s="3601"/>
      <c r="AH91" s="3599"/>
      <c r="AI91" s="3601"/>
      <c r="AJ91" s="3599"/>
      <c r="AK91" s="3601"/>
      <c r="AL91" s="3599"/>
      <c r="AM91" s="3601"/>
      <c r="AN91" s="3599"/>
      <c r="AO91" s="3601"/>
      <c r="AP91" s="3599"/>
      <c r="AQ91" s="3601"/>
      <c r="AR91" s="3599"/>
      <c r="AS91" s="3601"/>
      <c r="AT91" s="3599"/>
      <c r="AU91" s="3601"/>
      <c r="AV91" s="3599"/>
      <c r="AW91" s="3601"/>
      <c r="AX91" s="3599"/>
      <c r="AY91" s="3601"/>
      <c r="AZ91" s="3599"/>
      <c r="BA91" s="3599"/>
      <c r="BB91" s="3588"/>
      <c r="BC91" s="3594"/>
      <c r="BD91" s="3599"/>
      <c r="BE91" s="3643"/>
      <c r="BF91" s="995">
        <v>42638</v>
      </c>
      <c r="BG91" s="996"/>
      <c r="BH91" s="997">
        <v>42719</v>
      </c>
      <c r="BI91" s="998"/>
      <c r="BJ91" s="3682"/>
    </row>
    <row r="92" spans="1:62" ht="116.25" customHeight="1">
      <c r="A92" s="3447"/>
      <c r="B92" s="3445"/>
      <c r="C92" s="3446"/>
      <c r="D92" s="3449"/>
      <c r="E92" s="3450"/>
      <c r="F92" s="3451"/>
      <c r="G92" s="3609"/>
      <c r="H92" s="3610"/>
      <c r="I92" s="3611"/>
      <c r="J92" s="1042">
        <v>242</v>
      </c>
      <c r="K92" s="1043" t="s">
        <v>1034</v>
      </c>
      <c r="L92" s="1044" t="s">
        <v>873</v>
      </c>
      <c r="M92" s="1009">
        <v>1</v>
      </c>
      <c r="N92" s="2585">
        <v>1</v>
      </c>
      <c r="O92" s="3463"/>
      <c r="P92" s="3492"/>
      <c r="Q92" s="3612"/>
      <c r="R92" s="1661">
        <f>+(W92)/S89</f>
        <v>0.4375</v>
      </c>
      <c r="S92" s="3498"/>
      <c r="T92" s="3640"/>
      <c r="U92" s="3640"/>
      <c r="V92" s="1031" t="s">
        <v>1035</v>
      </c>
      <c r="W92" s="1639">
        <v>35000000</v>
      </c>
      <c r="X92" s="1647">
        <v>28758750</v>
      </c>
      <c r="Y92" s="1647">
        <v>28758750</v>
      </c>
      <c r="Z92" s="3626"/>
      <c r="AA92" s="3573"/>
      <c r="AB92" s="3599"/>
      <c r="AC92" s="3602"/>
      <c r="AD92" s="3599"/>
      <c r="AE92" s="3602"/>
      <c r="AF92" s="3599"/>
      <c r="AG92" s="3602"/>
      <c r="AH92" s="3599"/>
      <c r="AI92" s="3602"/>
      <c r="AJ92" s="3599"/>
      <c r="AK92" s="3602"/>
      <c r="AL92" s="3599"/>
      <c r="AM92" s="3602"/>
      <c r="AN92" s="3599"/>
      <c r="AO92" s="3602"/>
      <c r="AP92" s="3599"/>
      <c r="AQ92" s="3602"/>
      <c r="AR92" s="3475"/>
      <c r="AS92" s="3602"/>
      <c r="AT92" s="3599"/>
      <c r="AU92" s="3602"/>
      <c r="AV92" s="3475"/>
      <c r="AW92" s="3602"/>
      <c r="AX92" s="3475"/>
      <c r="AY92" s="3602"/>
      <c r="AZ92" s="3475"/>
      <c r="BA92" s="3475"/>
      <c r="BB92" s="3474"/>
      <c r="BC92" s="3595"/>
      <c r="BD92" s="3475"/>
      <c r="BE92" s="3644"/>
      <c r="BF92" s="1010">
        <v>42638</v>
      </c>
      <c r="BG92" s="1011">
        <v>42639</v>
      </c>
      <c r="BH92" s="1012">
        <v>42719</v>
      </c>
      <c r="BI92" s="1012">
        <v>42720</v>
      </c>
      <c r="BJ92" s="3683"/>
    </row>
    <row r="93" spans="1:62" ht="32.25" customHeight="1">
      <c r="A93" s="1045">
        <v>5</v>
      </c>
      <c r="B93" s="1046" t="s">
        <v>34</v>
      </c>
      <c r="C93" s="1047"/>
      <c r="D93" s="1047"/>
      <c r="E93" s="1047"/>
      <c r="F93" s="1047"/>
      <c r="G93" s="1047"/>
      <c r="H93" s="1047"/>
      <c r="I93" s="1047"/>
      <c r="J93" s="1047"/>
      <c r="K93" s="1047"/>
      <c r="L93" s="1047"/>
      <c r="M93" s="1047"/>
      <c r="N93" s="2586"/>
      <c r="O93" s="1047"/>
      <c r="P93" s="1047"/>
      <c r="Q93" s="1047"/>
      <c r="R93" s="1047"/>
      <c r="S93" s="1047"/>
      <c r="T93" s="1047"/>
      <c r="U93" s="1047"/>
      <c r="V93" s="1047"/>
      <c r="W93" s="1047"/>
      <c r="X93" s="1048"/>
      <c r="Y93" s="1048"/>
      <c r="Z93" s="1047"/>
      <c r="AA93" s="1047"/>
      <c r="AB93" s="1047"/>
      <c r="AC93" s="1048"/>
      <c r="AD93" s="1047"/>
      <c r="AE93" s="1048"/>
      <c r="AF93" s="1047"/>
      <c r="AG93" s="1048"/>
      <c r="AH93" s="1047"/>
      <c r="AI93" s="1048"/>
      <c r="AJ93" s="1047"/>
      <c r="AK93" s="1048"/>
      <c r="AL93" s="1047"/>
      <c r="AM93" s="1048"/>
      <c r="AN93" s="1047"/>
      <c r="AO93" s="1048"/>
      <c r="AP93" s="1047"/>
      <c r="AQ93" s="1048"/>
      <c r="AR93" s="1047"/>
      <c r="AS93" s="1048"/>
      <c r="AT93" s="1047"/>
      <c r="AU93" s="1048"/>
      <c r="AV93" s="1047"/>
      <c r="AW93" s="1048"/>
      <c r="AX93" s="1047"/>
      <c r="AY93" s="1048"/>
      <c r="AZ93" s="1047"/>
      <c r="BA93" s="1047"/>
      <c r="BB93" s="1047"/>
      <c r="BC93" s="1047"/>
      <c r="BD93" s="1047"/>
      <c r="BE93" s="1047"/>
      <c r="BF93" s="1047"/>
      <c r="BG93" s="1048"/>
      <c r="BH93" s="1047"/>
      <c r="BI93" s="1048"/>
      <c r="BJ93" s="1049"/>
    </row>
    <row r="94" spans="1:62" ht="29.25" customHeight="1">
      <c r="A94" s="3445"/>
      <c r="B94" s="3445"/>
      <c r="C94" s="3446"/>
      <c r="D94" s="1050">
        <v>26</v>
      </c>
      <c r="E94" s="1051" t="s">
        <v>1036</v>
      </c>
      <c r="F94" s="1052"/>
      <c r="G94" s="1052"/>
      <c r="H94" s="1052"/>
      <c r="I94" s="1052"/>
      <c r="J94" s="1052"/>
      <c r="K94" s="1052"/>
      <c r="L94" s="1052"/>
      <c r="M94" s="1052"/>
      <c r="N94" s="2587"/>
      <c r="O94" s="1052"/>
      <c r="P94" s="1052"/>
      <c r="Q94" s="1052"/>
      <c r="R94" s="1052"/>
      <c r="S94" s="1052"/>
      <c r="T94" s="1052"/>
      <c r="U94" s="1052"/>
      <c r="V94" s="1052"/>
      <c r="W94" s="1052"/>
      <c r="X94" s="1053"/>
      <c r="Y94" s="1053"/>
      <c r="Z94" s="1052"/>
      <c r="AA94" s="1052"/>
      <c r="AB94" s="1052"/>
      <c r="AC94" s="1053"/>
      <c r="AD94" s="1052"/>
      <c r="AE94" s="1053"/>
      <c r="AF94" s="1052"/>
      <c r="AG94" s="1053"/>
      <c r="AH94" s="1052"/>
      <c r="AI94" s="1053"/>
      <c r="AJ94" s="1052"/>
      <c r="AK94" s="1053"/>
      <c r="AL94" s="1052"/>
      <c r="AM94" s="1053"/>
      <c r="AN94" s="1052"/>
      <c r="AO94" s="1053"/>
      <c r="AP94" s="1052"/>
      <c r="AQ94" s="1053"/>
      <c r="AR94" s="1052"/>
      <c r="AS94" s="1053"/>
      <c r="AT94" s="1052"/>
      <c r="AU94" s="1053"/>
      <c r="AV94" s="1052"/>
      <c r="AW94" s="1053"/>
      <c r="AX94" s="1052"/>
      <c r="AY94" s="1053"/>
      <c r="AZ94" s="1052"/>
      <c r="BA94" s="1052"/>
      <c r="BB94" s="1052"/>
      <c r="BC94" s="1052"/>
      <c r="BD94" s="1052"/>
      <c r="BE94" s="1052"/>
      <c r="BF94" s="1052"/>
      <c r="BG94" s="1053"/>
      <c r="BH94" s="1052"/>
      <c r="BI94" s="1053"/>
      <c r="BJ94" s="1054"/>
    </row>
    <row r="95" spans="1:62" ht="26.25" customHeight="1">
      <c r="A95" s="3445"/>
      <c r="B95" s="3445"/>
      <c r="C95" s="3446"/>
      <c r="D95" s="3603"/>
      <c r="E95" s="3604"/>
      <c r="F95" s="3605"/>
      <c r="G95" s="1035">
        <v>84</v>
      </c>
      <c r="H95" s="986" t="s">
        <v>1037</v>
      </c>
      <c r="I95" s="1006"/>
      <c r="J95" s="1006"/>
      <c r="K95" s="1006"/>
      <c r="L95" s="1006"/>
      <c r="M95" s="1006"/>
      <c r="N95" s="2579"/>
      <c r="O95" s="1006"/>
      <c r="P95" s="1006"/>
      <c r="Q95" s="1006"/>
      <c r="R95" s="1006"/>
      <c r="S95" s="1006"/>
      <c r="T95" s="1006"/>
      <c r="U95" s="1006"/>
      <c r="V95" s="1006"/>
      <c r="W95" s="1006"/>
      <c r="X95" s="987"/>
      <c r="Y95" s="987"/>
      <c r="Z95" s="1006"/>
      <c r="AA95" s="1006"/>
      <c r="AB95" s="1006"/>
      <c r="AC95" s="987"/>
      <c r="AD95" s="1006"/>
      <c r="AE95" s="987"/>
      <c r="AF95" s="1006"/>
      <c r="AG95" s="987"/>
      <c r="AH95" s="1006"/>
      <c r="AI95" s="987"/>
      <c r="AJ95" s="1006"/>
      <c r="AK95" s="987"/>
      <c r="AL95" s="1006"/>
      <c r="AM95" s="987"/>
      <c r="AN95" s="1006"/>
      <c r="AO95" s="987"/>
      <c r="AP95" s="1006"/>
      <c r="AQ95" s="987"/>
      <c r="AR95" s="1006"/>
      <c r="AS95" s="987"/>
      <c r="AT95" s="1006"/>
      <c r="AU95" s="987"/>
      <c r="AV95" s="1006"/>
      <c r="AW95" s="987"/>
      <c r="AX95" s="1006"/>
      <c r="AY95" s="987"/>
      <c r="AZ95" s="1006"/>
      <c r="BA95" s="1006"/>
      <c r="BB95" s="1006"/>
      <c r="BC95" s="1006"/>
      <c r="BD95" s="1006"/>
      <c r="BE95" s="1006"/>
      <c r="BF95" s="1006"/>
      <c r="BG95" s="987"/>
      <c r="BH95" s="1006"/>
      <c r="BI95" s="987"/>
      <c r="BJ95" s="988"/>
    </row>
    <row r="96" spans="1:62" ht="57">
      <c r="A96" s="3445"/>
      <c r="B96" s="3445"/>
      <c r="C96" s="3446"/>
      <c r="D96" s="3606"/>
      <c r="E96" s="3607"/>
      <c r="F96" s="3608"/>
      <c r="G96" s="3684"/>
      <c r="H96" s="3685"/>
      <c r="I96" s="3686"/>
      <c r="J96" s="3625">
        <v>247</v>
      </c>
      <c r="K96" s="3457" t="s">
        <v>1038</v>
      </c>
      <c r="L96" s="3462" t="s">
        <v>1039</v>
      </c>
      <c r="M96" s="3625">
        <v>1</v>
      </c>
      <c r="N96" s="3468">
        <v>1</v>
      </c>
      <c r="O96" s="3462" t="s">
        <v>1040</v>
      </c>
      <c r="P96" s="3491">
        <v>42</v>
      </c>
      <c r="Q96" s="3457" t="s">
        <v>1041</v>
      </c>
      <c r="R96" s="3590">
        <v>1</v>
      </c>
      <c r="S96" s="3496">
        <v>25000000</v>
      </c>
      <c r="T96" s="3457" t="s">
        <v>1042</v>
      </c>
      <c r="U96" s="3457" t="s">
        <v>1043</v>
      </c>
      <c r="V96" s="1040" t="s">
        <v>1044</v>
      </c>
      <c r="W96" s="1636">
        <v>4000000</v>
      </c>
      <c r="X96" s="1647">
        <v>4000000</v>
      </c>
      <c r="Y96" s="1647">
        <v>4000000</v>
      </c>
      <c r="Z96" s="3625">
        <v>20</v>
      </c>
      <c r="AA96" s="3455" t="s">
        <v>232</v>
      </c>
      <c r="AB96" s="3696"/>
      <c r="AC96" s="3693"/>
      <c r="AD96" s="3696"/>
      <c r="AE96" s="3693"/>
      <c r="AF96" s="3696"/>
      <c r="AG96" s="3693"/>
      <c r="AH96" s="3696"/>
      <c r="AI96" s="3693"/>
      <c r="AJ96" s="3467">
        <v>100</v>
      </c>
      <c r="AK96" s="3600">
        <v>100</v>
      </c>
      <c r="AL96" s="3696"/>
      <c r="AM96" s="3693"/>
      <c r="AN96" s="3696"/>
      <c r="AO96" s="3693"/>
      <c r="AP96" s="3696"/>
      <c r="AQ96" s="3693"/>
      <c r="AR96" s="3696"/>
      <c r="AS96" s="3693"/>
      <c r="AT96" s="3696"/>
      <c r="AU96" s="3693"/>
      <c r="AV96" s="3696"/>
      <c r="AW96" s="3693"/>
      <c r="AX96" s="3696"/>
      <c r="AY96" s="3693"/>
      <c r="AZ96" s="3467">
        <v>10</v>
      </c>
      <c r="BA96" s="3699">
        <f>SUM(X96:X98)</f>
        <v>23151587</v>
      </c>
      <c r="BB96" s="3702">
        <f>SUM($Y$96:$Y$98)</f>
        <v>23151587</v>
      </c>
      <c r="BC96" s="3593">
        <f>BB96/BA96</f>
        <v>1</v>
      </c>
      <c r="BD96" s="3467">
        <v>20</v>
      </c>
      <c r="BE96" s="3681" t="s">
        <v>1045</v>
      </c>
      <c r="BF96" s="995">
        <v>42597</v>
      </c>
      <c r="BG96" s="996">
        <v>42597</v>
      </c>
      <c r="BH96" s="997">
        <v>42719</v>
      </c>
      <c r="BI96" s="998">
        <v>42724</v>
      </c>
      <c r="BJ96" s="3664" t="s">
        <v>2148</v>
      </c>
    </row>
    <row r="97" spans="1:62" ht="45.75" customHeight="1">
      <c r="A97" s="3445"/>
      <c r="B97" s="3445"/>
      <c r="C97" s="3446"/>
      <c r="D97" s="3606"/>
      <c r="E97" s="3607"/>
      <c r="F97" s="3608"/>
      <c r="G97" s="3687"/>
      <c r="H97" s="3688"/>
      <c r="I97" s="3689"/>
      <c r="J97" s="3626"/>
      <c r="K97" s="3500"/>
      <c r="L97" s="3463"/>
      <c r="M97" s="3626"/>
      <c r="N97" s="3589"/>
      <c r="O97" s="3463"/>
      <c r="P97" s="3492"/>
      <c r="Q97" s="3500"/>
      <c r="R97" s="3591"/>
      <c r="S97" s="3497"/>
      <c r="T97" s="3500"/>
      <c r="U97" s="3500"/>
      <c r="V97" s="1040" t="s">
        <v>1046</v>
      </c>
      <c r="W97" s="1636">
        <v>11000000</v>
      </c>
      <c r="X97" s="1647">
        <v>9151587</v>
      </c>
      <c r="Y97" s="1647">
        <v>9151587</v>
      </c>
      <c r="Z97" s="3626"/>
      <c r="AA97" s="3465"/>
      <c r="AB97" s="3697"/>
      <c r="AC97" s="3694"/>
      <c r="AD97" s="3697"/>
      <c r="AE97" s="3694"/>
      <c r="AF97" s="3697"/>
      <c r="AG97" s="3694"/>
      <c r="AH97" s="3697"/>
      <c r="AI97" s="3694"/>
      <c r="AJ97" s="3599"/>
      <c r="AK97" s="3601"/>
      <c r="AL97" s="3697"/>
      <c r="AM97" s="3694"/>
      <c r="AN97" s="3697"/>
      <c r="AO97" s="3694"/>
      <c r="AP97" s="3697"/>
      <c r="AQ97" s="3694"/>
      <c r="AR97" s="3697"/>
      <c r="AS97" s="3694"/>
      <c r="AT97" s="3697"/>
      <c r="AU97" s="3694"/>
      <c r="AV97" s="3697"/>
      <c r="AW97" s="3694"/>
      <c r="AX97" s="3697"/>
      <c r="AY97" s="3694"/>
      <c r="AZ97" s="3599"/>
      <c r="BA97" s="3700"/>
      <c r="BB97" s="3703"/>
      <c r="BC97" s="3594"/>
      <c r="BD97" s="3599"/>
      <c r="BE97" s="3682"/>
      <c r="BF97" s="995">
        <v>42597</v>
      </c>
      <c r="BG97" s="996">
        <v>42597</v>
      </c>
      <c r="BH97" s="997">
        <v>42719</v>
      </c>
      <c r="BI97" s="998">
        <v>42724</v>
      </c>
      <c r="BJ97" s="3664"/>
    </row>
    <row r="98" spans="1:62" ht="57">
      <c r="A98" s="3445"/>
      <c r="B98" s="3445"/>
      <c r="C98" s="3446"/>
      <c r="D98" s="3609"/>
      <c r="E98" s="3610"/>
      <c r="F98" s="3611"/>
      <c r="G98" s="3690"/>
      <c r="H98" s="3691"/>
      <c r="I98" s="3692"/>
      <c r="J98" s="3627"/>
      <c r="K98" s="3458"/>
      <c r="L98" s="3464"/>
      <c r="M98" s="3627"/>
      <c r="N98" s="3469"/>
      <c r="O98" s="3464"/>
      <c r="P98" s="3523"/>
      <c r="Q98" s="3458"/>
      <c r="R98" s="3592"/>
      <c r="S98" s="3498"/>
      <c r="T98" s="3458"/>
      <c r="U98" s="3458"/>
      <c r="V98" s="963" t="s">
        <v>1047</v>
      </c>
      <c r="W98" s="1636">
        <v>10000000</v>
      </c>
      <c r="X98" s="1647">
        <v>10000000</v>
      </c>
      <c r="Y98" s="1647">
        <v>10000000</v>
      </c>
      <c r="Z98" s="3626"/>
      <c r="AA98" s="3465"/>
      <c r="AB98" s="3698"/>
      <c r="AC98" s="3695"/>
      <c r="AD98" s="3698"/>
      <c r="AE98" s="3695"/>
      <c r="AF98" s="3698"/>
      <c r="AG98" s="3695"/>
      <c r="AH98" s="3698"/>
      <c r="AI98" s="3695"/>
      <c r="AJ98" s="3475"/>
      <c r="AK98" s="3602"/>
      <c r="AL98" s="3698"/>
      <c r="AM98" s="3695"/>
      <c r="AN98" s="3698"/>
      <c r="AO98" s="3695"/>
      <c r="AP98" s="3698"/>
      <c r="AQ98" s="3695"/>
      <c r="AR98" s="3698"/>
      <c r="AS98" s="3695"/>
      <c r="AT98" s="3698"/>
      <c r="AU98" s="3695"/>
      <c r="AV98" s="3698"/>
      <c r="AW98" s="3695"/>
      <c r="AX98" s="3698"/>
      <c r="AY98" s="3695"/>
      <c r="AZ98" s="3475"/>
      <c r="BA98" s="3701"/>
      <c r="BB98" s="3704"/>
      <c r="BC98" s="3595"/>
      <c r="BD98" s="3475"/>
      <c r="BE98" s="3683"/>
      <c r="BF98" s="995">
        <v>42597</v>
      </c>
      <c r="BG98" s="996">
        <v>42597</v>
      </c>
      <c r="BH98" s="997">
        <v>42719</v>
      </c>
      <c r="BI98" s="998">
        <v>42724</v>
      </c>
      <c r="BJ98" s="3664"/>
    </row>
    <row r="99" spans="1:62" ht="25.5" customHeight="1">
      <c r="A99" s="3445"/>
      <c r="B99" s="3445"/>
      <c r="C99" s="3446"/>
      <c r="D99" s="1055">
        <v>27</v>
      </c>
      <c r="E99" s="1051" t="s">
        <v>259</v>
      </c>
      <c r="F99" s="1052"/>
      <c r="G99" s="1052"/>
      <c r="H99" s="1052"/>
      <c r="I99" s="1052"/>
      <c r="J99" s="1052"/>
      <c r="K99" s="1052"/>
      <c r="L99" s="1052"/>
      <c r="M99" s="1052"/>
      <c r="N99" s="2587"/>
      <c r="O99" s="1052"/>
      <c r="P99" s="1052"/>
      <c r="Q99" s="1052"/>
      <c r="R99" s="1052"/>
      <c r="S99" s="1052"/>
      <c r="T99" s="1052"/>
      <c r="U99" s="1052"/>
      <c r="V99" s="1052"/>
      <c r="W99" s="1052"/>
      <c r="X99" s="1053"/>
      <c r="Y99" s="1053"/>
      <c r="Z99" s="1052"/>
      <c r="AA99" s="1052"/>
      <c r="AB99" s="1052"/>
      <c r="AC99" s="1053"/>
      <c r="AD99" s="1052"/>
      <c r="AE99" s="1053"/>
      <c r="AF99" s="1052"/>
      <c r="AG99" s="1053"/>
      <c r="AH99" s="1052"/>
      <c r="AI99" s="1053"/>
      <c r="AJ99" s="1052"/>
      <c r="AK99" s="1053"/>
      <c r="AL99" s="1052"/>
      <c r="AM99" s="1053"/>
      <c r="AN99" s="1052"/>
      <c r="AO99" s="1053"/>
      <c r="AP99" s="1052"/>
      <c r="AQ99" s="1053"/>
      <c r="AR99" s="1052"/>
      <c r="AS99" s="1053"/>
      <c r="AT99" s="1052"/>
      <c r="AU99" s="1053"/>
      <c r="AV99" s="1052"/>
      <c r="AW99" s="1053"/>
      <c r="AX99" s="1052"/>
      <c r="AY99" s="1053"/>
      <c r="AZ99" s="1052"/>
      <c r="BA99" s="1052"/>
      <c r="BB99" s="1052"/>
      <c r="BC99" s="1052"/>
      <c r="BD99" s="1052"/>
      <c r="BE99" s="1052"/>
      <c r="BF99" s="1052"/>
      <c r="BG99" s="1053"/>
      <c r="BH99" s="1002"/>
      <c r="BI99" s="1003"/>
      <c r="BJ99" s="1004"/>
    </row>
    <row r="100" spans="1:62" ht="28.5" customHeight="1">
      <c r="A100" s="3445"/>
      <c r="B100" s="3445"/>
      <c r="C100" s="3446"/>
      <c r="D100" s="3603"/>
      <c r="E100" s="3607"/>
      <c r="F100" s="3608"/>
      <c r="G100" s="1035">
        <v>85</v>
      </c>
      <c r="H100" s="932" t="s">
        <v>260</v>
      </c>
      <c r="I100" s="933"/>
      <c r="J100" s="933"/>
      <c r="K100" s="933"/>
      <c r="L100" s="933"/>
      <c r="M100" s="933"/>
      <c r="N100" s="2582"/>
      <c r="O100" s="933"/>
      <c r="P100" s="933"/>
      <c r="Q100" s="933"/>
      <c r="R100" s="933"/>
      <c r="S100" s="933"/>
      <c r="T100" s="933"/>
      <c r="U100" s="933"/>
      <c r="V100" s="933"/>
      <c r="W100" s="933"/>
      <c r="X100" s="934"/>
      <c r="Y100" s="934"/>
      <c r="Z100" s="933"/>
      <c r="AA100" s="933"/>
      <c r="AB100" s="933"/>
      <c r="AC100" s="934"/>
      <c r="AD100" s="933"/>
      <c r="AE100" s="934"/>
      <c r="AF100" s="933"/>
      <c r="AG100" s="934"/>
      <c r="AH100" s="933"/>
      <c r="AI100" s="934"/>
      <c r="AJ100" s="933"/>
      <c r="AK100" s="934"/>
      <c r="AL100" s="933"/>
      <c r="AM100" s="934"/>
      <c r="AN100" s="933"/>
      <c r="AO100" s="934"/>
      <c r="AP100" s="933"/>
      <c r="AQ100" s="934"/>
      <c r="AR100" s="933"/>
      <c r="AS100" s="934"/>
      <c r="AT100" s="933"/>
      <c r="AU100" s="934"/>
      <c r="AV100" s="933"/>
      <c r="AW100" s="934"/>
      <c r="AX100" s="933"/>
      <c r="AY100" s="934"/>
      <c r="AZ100" s="933"/>
      <c r="BA100" s="933"/>
      <c r="BB100" s="933"/>
      <c r="BC100" s="933"/>
      <c r="BD100" s="933"/>
      <c r="BE100" s="933"/>
      <c r="BF100" s="933"/>
      <c r="BG100" s="934"/>
      <c r="BH100" s="933"/>
      <c r="BI100" s="934"/>
      <c r="BJ100" s="935"/>
    </row>
    <row r="101" spans="1:62" ht="116.25" customHeight="1">
      <c r="A101" s="3445"/>
      <c r="B101" s="3445"/>
      <c r="C101" s="3446"/>
      <c r="D101" s="3606"/>
      <c r="E101" s="3607"/>
      <c r="F101" s="3608"/>
      <c r="G101" s="3603"/>
      <c r="H101" s="3604"/>
      <c r="I101" s="3605"/>
      <c r="J101" s="3467">
        <v>250</v>
      </c>
      <c r="K101" s="3476" t="s">
        <v>1048</v>
      </c>
      <c r="L101" s="3705" t="s">
        <v>873</v>
      </c>
      <c r="M101" s="3467">
        <v>3</v>
      </c>
      <c r="N101" s="3461">
        <v>3</v>
      </c>
      <c r="O101" s="3462" t="s">
        <v>1049</v>
      </c>
      <c r="P101" s="3491">
        <v>39</v>
      </c>
      <c r="Q101" s="3457" t="s">
        <v>1050</v>
      </c>
      <c r="R101" s="3590">
        <f>+(W101+W102+W103)/S101</f>
        <v>0.23083333333333333</v>
      </c>
      <c r="S101" s="3496">
        <v>300000000</v>
      </c>
      <c r="T101" s="3457" t="s">
        <v>1051</v>
      </c>
      <c r="U101" s="3457" t="s">
        <v>1052</v>
      </c>
      <c r="V101" s="1056" t="s">
        <v>1053</v>
      </c>
      <c r="W101" s="1652">
        <v>33750000</v>
      </c>
      <c r="X101" s="1647">
        <v>29228333</v>
      </c>
      <c r="Y101" s="1647">
        <v>29228333</v>
      </c>
      <c r="Z101" s="3713">
        <v>20</v>
      </c>
      <c r="AA101" s="3455" t="s">
        <v>1054</v>
      </c>
      <c r="AB101" s="3467">
        <v>31154</v>
      </c>
      <c r="AC101" s="3600">
        <v>7664</v>
      </c>
      <c r="AD101" s="3467">
        <v>35075</v>
      </c>
      <c r="AE101" s="3600">
        <v>8628</v>
      </c>
      <c r="AF101" s="3467">
        <v>13344</v>
      </c>
      <c r="AG101" s="3600">
        <v>3283</v>
      </c>
      <c r="AH101" s="3467">
        <v>42175</v>
      </c>
      <c r="AI101" s="3600">
        <v>10375</v>
      </c>
      <c r="AJ101" s="3467">
        <v>114821</v>
      </c>
      <c r="AK101" s="3600">
        <v>28245</v>
      </c>
      <c r="AL101" s="3467">
        <v>39524</v>
      </c>
      <c r="AM101" s="3600">
        <v>9723</v>
      </c>
      <c r="AN101" s="3707"/>
      <c r="AO101" s="3709"/>
      <c r="AP101" s="3707"/>
      <c r="AQ101" s="3709"/>
      <c r="AR101" s="3707"/>
      <c r="AS101" s="3709"/>
      <c r="AT101" s="3707"/>
      <c r="AU101" s="3709"/>
      <c r="AV101" s="3707"/>
      <c r="AW101" s="3709"/>
      <c r="AX101" s="3707"/>
      <c r="AY101" s="3709"/>
      <c r="AZ101" s="3467">
        <v>15</v>
      </c>
      <c r="BA101" s="3637">
        <f>SUM($X$101:$X$109)</f>
        <v>79798333</v>
      </c>
      <c r="BB101" s="3637">
        <f>SUM($Y$101:$Y$109)</f>
        <v>79798333</v>
      </c>
      <c r="BC101" s="3711">
        <f>BB101/BA101</f>
        <v>1</v>
      </c>
      <c r="BD101" s="3467">
        <v>20</v>
      </c>
      <c r="BE101" s="3467" t="s">
        <v>1045</v>
      </c>
      <c r="BF101" s="995">
        <v>42628</v>
      </c>
      <c r="BG101" s="996">
        <v>42597</v>
      </c>
      <c r="BH101" s="997">
        <v>42719</v>
      </c>
      <c r="BI101" s="998">
        <v>42724</v>
      </c>
      <c r="BJ101" s="3664" t="s">
        <v>2146</v>
      </c>
    </row>
    <row r="102" spans="1:62" ht="90" customHeight="1">
      <c r="A102" s="3445"/>
      <c r="B102" s="3445"/>
      <c r="C102" s="3446"/>
      <c r="D102" s="3606"/>
      <c r="E102" s="3607"/>
      <c r="F102" s="3608"/>
      <c r="G102" s="3606"/>
      <c r="H102" s="3607"/>
      <c r="I102" s="3608"/>
      <c r="J102" s="3599"/>
      <c r="K102" s="3536"/>
      <c r="L102" s="3706"/>
      <c r="M102" s="3599"/>
      <c r="N102" s="3461"/>
      <c r="O102" s="3463"/>
      <c r="P102" s="3492"/>
      <c r="Q102" s="3500"/>
      <c r="R102" s="3591"/>
      <c r="S102" s="3497"/>
      <c r="T102" s="3500"/>
      <c r="U102" s="3500"/>
      <c r="V102" s="1056" t="s">
        <v>1055</v>
      </c>
      <c r="W102" s="1652">
        <v>18000000</v>
      </c>
      <c r="X102" s="1647">
        <v>18000000</v>
      </c>
      <c r="Y102" s="1647">
        <v>18000000</v>
      </c>
      <c r="Z102" s="3714"/>
      <c r="AA102" s="3465"/>
      <c r="AB102" s="3599"/>
      <c r="AC102" s="3601"/>
      <c r="AD102" s="3599"/>
      <c r="AE102" s="3601"/>
      <c r="AF102" s="3599"/>
      <c r="AG102" s="3601"/>
      <c r="AH102" s="3599"/>
      <c r="AI102" s="3601"/>
      <c r="AJ102" s="3599"/>
      <c r="AK102" s="3601"/>
      <c r="AL102" s="3599"/>
      <c r="AM102" s="3601"/>
      <c r="AN102" s="3708"/>
      <c r="AO102" s="3710"/>
      <c r="AP102" s="3708"/>
      <c r="AQ102" s="3710"/>
      <c r="AR102" s="3708"/>
      <c r="AS102" s="3710"/>
      <c r="AT102" s="3708"/>
      <c r="AU102" s="3710"/>
      <c r="AV102" s="3708"/>
      <c r="AW102" s="3710"/>
      <c r="AX102" s="3708"/>
      <c r="AY102" s="3710"/>
      <c r="AZ102" s="3599"/>
      <c r="BA102" s="3638"/>
      <c r="BB102" s="3638"/>
      <c r="BC102" s="3712"/>
      <c r="BD102" s="3599"/>
      <c r="BE102" s="3599"/>
      <c r="BF102" s="995">
        <v>42597</v>
      </c>
      <c r="BG102" s="996">
        <v>42597</v>
      </c>
      <c r="BH102" s="997">
        <v>42719</v>
      </c>
      <c r="BI102" s="998">
        <v>42724</v>
      </c>
      <c r="BJ102" s="3664"/>
    </row>
    <row r="103" spans="1:62" ht="56.25" customHeight="1">
      <c r="A103" s="3445"/>
      <c r="B103" s="3445"/>
      <c r="C103" s="3446"/>
      <c r="D103" s="3606"/>
      <c r="E103" s="3607"/>
      <c r="F103" s="3608"/>
      <c r="G103" s="3606"/>
      <c r="H103" s="3607"/>
      <c r="I103" s="3608"/>
      <c r="J103" s="3599"/>
      <c r="K103" s="3536"/>
      <c r="L103" s="3706"/>
      <c r="M103" s="3599"/>
      <c r="N103" s="3461"/>
      <c r="O103" s="3463"/>
      <c r="P103" s="3492"/>
      <c r="Q103" s="3500"/>
      <c r="R103" s="3591"/>
      <c r="S103" s="3497"/>
      <c r="T103" s="3500"/>
      <c r="U103" s="3500"/>
      <c r="V103" s="1056" t="s">
        <v>1056</v>
      </c>
      <c r="W103" s="1652">
        <v>17500000</v>
      </c>
      <c r="X103" s="1647">
        <v>0</v>
      </c>
      <c r="Y103" s="1647">
        <v>0</v>
      </c>
      <c r="Z103" s="3714"/>
      <c r="AA103" s="3465"/>
      <c r="AB103" s="3599"/>
      <c r="AC103" s="3601"/>
      <c r="AD103" s="3599"/>
      <c r="AE103" s="3601"/>
      <c r="AF103" s="3599"/>
      <c r="AG103" s="3601"/>
      <c r="AH103" s="3599"/>
      <c r="AI103" s="3601"/>
      <c r="AJ103" s="3599"/>
      <c r="AK103" s="3601"/>
      <c r="AL103" s="3599"/>
      <c r="AM103" s="3601"/>
      <c r="AN103" s="3708"/>
      <c r="AO103" s="3710"/>
      <c r="AP103" s="3708"/>
      <c r="AQ103" s="3710"/>
      <c r="AR103" s="3708"/>
      <c r="AS103" s="3710"/>
      <c r="AT103" s="3708"/>
      <c r="AU103" s="3710"/>
      <c r="AV103" s="3708"/>
      <c r="AW103" s="3710"/>
      <c r="AX103" s="3708"/>
      <c r="AY103" s="3710"/>
      <c r="AZ103" s="3599"/>
      <c r="BA103" s="3638"/>
      <c r="BB103" s="3638"/>
      <c r="BC103" s="3712"/>
      <c r="BD103" s="3599"/>
      <c r="BE103" s="3599"/>
      <c r="BF103" s="995">
        <v>42628</v>
      </c>
      <c r="BG103" s="996"/>
      <c r="BH103" s="997">
        <v>42719</v>
      </c>
      <c r="BI103" s="998"/>
      <c r="BJ103" s="3664"/>
    </row>
    <row r="104" spans="1:62" ht="99" customHeight="1">
      <c r="A104" s="3445"/>
      <c r="B104" s="3445"/>
      <c r="C104" s="3446"/>
      <c r="D104" s="3606"/>
      <c r="E104" s="3607"/>
      <c r="F104" s="3608"/>
      <c r="G104" s="3606"/>
      <c r="H104" s="3607"/>
      <c r="I104" s="3608"/>
      <c r="J104" s="3467">
        <v>251</v>
      </c>
      <c r="K104" s="3476" t="s">
        <v>1057</v>
      </c>
      <c r="L104" s="3466" t="s">
        <v>873</v>
      </c>
      <c r="M104" s="3467">
        <v>1</v>
      </c>
      <c r="N104" s="3461">
        <v>1</v>
      </c>
      <c r="O104" s="3463"/>
      <c r="P104" s="3492"/>
      <c r="Q104" s="3500"/>
      <c r="R104" s="3590">
        <f>+(W104+W105+W106+W107+W108)/S101</f>
        <v>0.6858333333333333</v>
      </c>
      <c r="S104" s="3497"/>
      <c r="T104" s="3500"/>
      <c r="U104" s="3640"/>
      <c r="V104" s="1056" t="s">
        <v>1058</v>
      </c>
      <c r="W104" s="1652">
        <v>16250000</v>
      </c>
      <c r="X104" s="1647">
        <v>5000000</v>
      </c>
      <c r="Y104" s="1647">
        <v>5000000</v>
      </c>
      <c r="Z104" s="3714"/>
      <c r="AA104" s="3465"/>
      <c r="AB104" s="3599"/>
      <c r="AC104" s="3601"/>
      <c r="AD104" s="3599"/>
      <c r="AE104" s="3601"/>
      <c r="AF104" s="3599"/>
      <c r="AG104" s="3601"/>
      <c r="AH104" s="3599"/>
      <c r="AI104" s="3601"/>
      <c r="AJ104" s="3599"/>
      <c r="AK104" s="3601"/>
      <c r="AL104" s="3599"/>
      <c r="AM104" s="3601"/>
      <c r="AN104" s="3708"/>
      <c r="AO104" s="3710"/>
      <c r="AP104" s="3708"/>
      <c r="AQ104" s="3710"/>
      <c r="AR104" s="3708"/>
      <c r="AS104" s="3710"/>
      <c r="AT104" s="3708"/>
      <c r="AU104" s="3710"/>
      <c r="AV104" s="3708"/>
      <c r="AW104" s="3710"/>
      <c r="AX104" s="3708"/>
      <c r="AY104" s="3710"/>
      <c r="AZ104" s="3599"/>
      <c r="BA104" s="3638"/>
      <c r="BB104" s="3638"/>
      <c r="BC104" s="3712"/>
      <c r="BD104" s="3599"/>
      <c r="BE104" s="3599"/>
      <c r="BF104" s="995">
        <v>42597</v>
      </c>
      <c r="BG104" s="996">
        <v>42597</v>
      </c>
      <c r="BH104" s="997">
        <v>42719</v>
      </c>
      <c r="BI104" s="998">
        <v>42597</v>
      </c>
      <c r="BJ104" s="3664"/>
    </row>
    <row r="105" spans="1:62" ht="97.5" customHeight="1">
      <c r="A105" s="3445"/>
      <c r="B105" s="3445"/>
      <c r="C105" s="3446"/>
      <c r="D105" s="3606"/>
      <c r="E105" s="3607"/>
      <c r="F105" s="3608"/>
      <c r="G105" s="3606"/>
      <c r="H105" s="3607"/>
      <c r="I105" s="3608"/>
      <c r="J105" s="3599"/>
      <c r="K105" s="3536"/>
      <c r="L105" s="3512"/>
      <c r="M105" s="3599"/>
      <c r="N105" s="3461"/>
      <c r="O105" s="3463"/>
      <c r="P105" s="3492"/>
      <c r="Q105" s="3500"/>
      <c r="R105" s="3591"/>
      <c r="S105" s="3497"/>
      <c r="T105" s="3500"/>
      <c r="U105" s="3640"/>
      <c r="V105" s="1056" t="s">
        <v>1059</v>
      </c>
      <c r="W105" s="1652">
        <v>22500000</v>
      </c>
      <c r="X105" s="1647">
        <v>5000000</v>
      </c>
      <c r="Y105" s="1647">
        <v>5000000</v>
      </c>
      <c r="Z105" s="3714"/>
      <c r="AA105" s="3465"/>
      <c r="AB105" s="3599"/>
      <c r="AC105" s="3601"/>
      <c r="AD105" s="3599"/>
      <c r="AE105" s="3601"/>
      <c r="AF105" s="3599"/>
      <c r="AG105" s="3601"/>
      <c r="AH105" s="3599"/>
      <c r="AI105" s="3601"/>
      <c r="AJ105" s="3599"/>
      <c r="AK105" s="3601"/>
      <c r="AL105" s="3599"/>
      <c r="AM105" s="3601"/>
      <c r="AN105" s="3708"/>
      <c r="AO105" s="3710"/>
      <c r="AP105" s="3708"/>
      <c r="AQ105" s="3710"/>
      <c r="AR105" s="3708"/>
      <c r="AS105" s="3710"/>
      <c r="AT105" s="3708"/>
      <c r="AU105" s="3710"/>
      <c r="AV105" s="3708"/>
      <c r="AW105" s="3710"/>
      <c r="AX105" s="3708"/>
      <c r="AY105" s="3710"/>
      <c r="AZ105" s="3599"/>
      <c r="BA105" s="3638"/>
      <c r="BB105" s="3638"/>
      <c r="BC105" s="3712"/>
      <c r="BD105" s="3599"/>
      <c r="BE105" s="3599"/>
      <c r="BF105" s="995">
        <v>42628</v>
      </c>
      <c r="BG105" s="996">
        <v>42629</v>
      </c>
      <c r="BH105" s="997">
        <v>42719</v>
      </c>
      <c r="BI105" s="998">
        <v>42720</v>
      </c>
      <c r="BJ105" s="3664"/>
    </row>
    <row r="106" spans="1:62" ht="90" customHeight="1">
      <c r="A106" s="3445"/>
      <c r="B106" s="3445"/>
      <c r="C106" s="3446"/>
      <c r="D106" s="3606"/>
      <c r="E106" s="3607"/>
      <c r="F106" s="3608"/>
      <c r="G106" s="3606"/>
      <c r="H106" s="3607"/>
      <c r="I106" s="3608"/>
      <c r="J106" s="3599"/>
      <c r="K106" s="3536"/>
      <c r="L106" s="3512"/>
      <c r="M106" s="3599"/>
      <c r="N106" s="3461"/>
      <c r="O106" s="3463"/>
      <c r="P106" s="3492"/>
      <c r="Q106" s="3500"/>
      <c r="R106" s="3591"/>
      <c r="S106" s="3497"/>
      <c r="T106" s="3500"/>
      <c r="U106" s="3640"/>
      <c r="V106" s="1056" t="s">
        <v>1060</v>
      </c>
      <c r="W106" s="1652">
        <v>15000000</v>
      </c>
      <c r="X106" s="1647">
        <v>5870000</v>
      </c>
      <c r="Y106" s="1647">
        <v>5870000</v>
      </c>
      <c r="Z106" s="3714"/>
      <c r="AA106" s="3465"/>
      <c r="AB106" s="3599"/>
      <c r="AC106" s="3601"/>
      <c r="AD106" s="3599"/>
      <c r="AE106" s="3601"/>
      <c r="AF106" s="3599"/>
      <c r="AG106" s="3601"/>
      <c r="AH106" s="3599"/>
      <c r="AI106" s="3601"/>
      <c r="AJ106" s="3599"/>
      <c r="AK106" s="3601"/>
      <c r="AL106" s="3599"/>
      <c r="AM106" s="3601"/>
      <c r="AN106" s="3708"/>
      <c r="AO106" s="3710"/>
      <c r="AP106" s="3708"/>
      <c r="AQ106" s="3710"/>
      <c r="AR106" s="3708"/>
      <c r="AS106" s="3710"/>
      <c r="AT106" s="3708"/>
      <c r="AU106" s="3710"/>
      <c r="AV106" s="3708"/>
      <c r="AW106" s="3710"/>
      <c r="AX106" s="3708"/>
      <c r="AY106" s="3710"/>
      <c r="AZ106" s="3599"/>
      <c r="BA106" s="3638"/>
      <c r="BB106" s="3638"/>
      <c r="BC106" s="3712"/>
      <c r="BD106" s="3599"/>
      <c r="BE106" s="3599"/>
      <c r="BF106" s="995">
        <v>42628</v>
      </c>
      <c r="BG106" s="996">
        <v>42629</v>
      </c>
      <c r="BH106" s="997">
        <v>42719</v>
      </c>
      <c r="BI106" s="998">
        <v>42720</v>
      </c>
      <c r="BJ106" s="3664"/>
    </row>
    <row r="107" spans="1:62" ht="52.5" customHeight="1">
      <c r="A107" s="3445"/>
      <c r="B107" s="3445"/>
      <c r="C107" s="3446"/>
      <c r="D107" s="3606"/>
      <c r="E107" s="3607"/>
      <c r="F107" s="3608"/>
      <c r="G107" s="3606"/>
      <c r="H107" s="3607"/>
      <c r="I107" s="3608"/>
      <c r="J107" s="3599"/>
      <c r="K107" s="3536"/>
      <c r="L107" s="3512"/>
      <c r="M107" s="3599"/>
      <c r="N107" s="3461"/>
      <c r="O107" s="3463"/>
      <c r="P107" s="3492"/>
      <c r="Q107" s="3500"/>
      <c r="R107" s="3591"/>
      <c r="S107" s="3497"/>
      <c r="T107" s="3500"/>
      <c r="U107" s="3640"/>
      <c r="V107" s="1056" t="s">
        <v>1061</v>
      </c>
      <c r="W107" s="1652">
        <f>100000000+35000000</f>
        <v>135000000</v>
      </c>
      <c r="X107" s="1647">
        <v>0</v>
      </c>
      <c r="Y107" s="1647">
        <v>0</v>
      </c>
      <c r="Z107" s="3714"/>
      <c r="AA107" s="3465"/>
      <c r="AB107" s="3599"/>
      <c r="AC107" s="3601"/>
      <c r="AD107" s="3599"/>
      <c r="AE107" s="3601"/>
      <c r="AF107" s="3599"/>
      <c r="AG107" s="3601"/>
      <c r="AH107" s="3599"/>
      <c r="AI107" s="3601"/>
      <c r="AJ107" s="3599"/>
      <c r="AK107" s="3601"/>
      <c r="AL107" s="3599"/>
      <c r="AM107" s="3601"/>
      <c r="AN107" s="3708"/>
      <c r="AO107" s="3710"/>
      <c r="AP107" s="3708"/>
      <c r="AQ107" s="3710"/>
      <c r="AR107" s="3708"/>
      <c r="AS107" s="3710"/>
      <c r="AT107" s="3708"/>
      <c r="AU107" s="3710"/>
      <c r="AV107" s="3708"/>
      <c r="AW107" s="3710"/>
      <c r="AX107" s="3708"/>
      <c r="AY107" s="3710"/>
      <c r="AZ107" s="3599"/>
      <c r="BA107" s="3638"/>
      <c r="BB107" s="3638"/>
      <c r="BC107" s="3712"/>
      <c r="BD107" s="3599"/>
      <c r="BE107" s="3599"/>
      <c r="BF107" s="995">
        <v>42628</v>
      </c>
      <c r="BG107" s="996"/>
      <c r="BH107" s="997">
        <v>42719</v>
      </c>
      <c r="BI107" s="998"/>
      <c r="BJ107" s="3664"/>
    </row>
    <row r="108" spans="1:62" ht="52.5" customHeight="1">
      <c r="A108" s="3445"/>
      <c r="B108" s="3445"/>
      <c r="C108" s="3446"/>
      <c r="D108" s="3606"/>
      <c r="E108" s="3607"/>
      <c r="F108" s="3608"/>
      <c r="G108" s="3606"/>
      <c r="H108" s="3607"/>
      <c r="I108" s="3608"/>
      <c r="J108" s="3475"/>
      <c r="K108" s="3477"/>
      <c r="L108" s="3472"/>
      <c r="M108" s="3475"/>
      <c r="N108" s="3461"/>
      <c r="O108" s="3463"/>
      <c r="P108" s="3492"/>
      <c r="Q108" s="3500"/>
      <c r="R108" s="3592"/>
      <c r="S108" s="3497"/>
      <c r="T108" s="3500"/>
      <c r="U108" s="3640"/>
      <c r="V108" s="1056" t="s">
        <v>1056</v>
      </c>
      <c r="W108" s="1652">
        <v>17000000</v>
      </c>
      <c r="X108" s="1647">
        <v>0</v>
      </c>
      <c r="Y108" s="1647">
        <v>0</v>
      </c>
      <c r="Z108" s="3714"/>
      <c r="AA108" s="3465"/>
      <c r="AB108" s="3599"/>
      <c r="AC108" s="3601"/>
      <c r="AD108" s="3599"/>
      <c r="AE108" s="3601"/>
      <c r="AF108" s="3599"/>
      <c r="AG108" s="3601"/>
      <c r="AH108" s="3599"/>
      <c r="AI108" s="3601"/>
      <c r="AJ108" s="3599"/>
      <c r="AK108" s="3601"/>
      <c r="AL108" s="3599"/>
      <c r="AM108" s="3601"/>
      <c r="AN108" s="3708"/>
      <c r="AO108" s="3710"/>
      <c r="AP108" s="3708"/>
      <c r="AQ108" s="3710"/>
      <c r="AR108" s="3708"/>
      <c r="AS108" s="3710"/>
      <c r="AT108" s="3708"/>
      <c r="AU108" s="3710"/>
      <c r="AV108" s="3708"/>
      <c r="AW108" s="3710"/>
      <c r="AX108" s="3708"/>
      <c r="AY108" s="3710"/>
      <c r="AZ108" s="3599"/>
      <c r="BA108" s="3638"/>
      <c r="BB108" s="3638"/>
      <c r="BC108" s="3712"/>
      <c r="BD108" s="3599"/>
      <c r="BE108" s="3599"/>
      <c r="BF108" s="995">
        <v>42597</v>
      </c>
      <c r="BG108" s="996"/>
      <c r="BH108" s="997">
        <v>42719</v>
      </c>
      <c r="BI108" s="998"/>
      <c r="BJ108" s="3664"/>
    </row>
    <row r="109" spans="1:62" ht="99.75" customHeight="1">
      <c r="A109" s="3445"/>
      <c r="B109" s="3445"/>
      <c r="C109" s="3446"/>
      <c r="D109" s="3606"/>
      <c r="E109" s="3607"/>
      <c r="F109" s="3608"/>
      <c r="G109" s="3606"/>
      <c r="H109" s="3607"/>
      <c r="I109" s="3608"/>
      <c r="J109" s="1042">
        <v>254</v>
      </c>
      <c r="K109" s="1043" t="s">
        <v>1062</v>
      </c>
      <c r="L109" s="1057" t="s">
        <v>873</v>
      </c>
      <c r="M109" s="1009">
        <v>1</v>
      </c>
      <c r="N109" s="2588">
        <v>0.5</v>
      </c>
      <c r="O109" s="3463"/>
      <c r="P109" s="3492"/>
      <c r="Q109" s="3500"/>
      <c r="R109" s="1661">
        <f>+W109/S101</f>
        <v>0.08333333333333333</v>
      </c>
      <c r="S109" s="3497"/>
      <c r="T109" s="3500"/>
      <c r="U109" s="3640"/>
      <c r="V109" s="964" t="s">
        <v>1063</v>
      </c>
      <c r="W109" s="1639">
        <v>25000000</v>
      </c>
      <c r="X109" s="1653">
        <v>16700000</v>
      </c>
      <c r="Y109" s="1647">
        <v>16700000</v>
      </c>
      <c r="Z109" s="3714"/>
      <c r="AA109" s="3465"/>
      <c r="AB109" s="3599"/>
      <c r="AC109" s="3601"/>
      <c r="AD109" s="3599"/>
      <c r="AE109" s="3601"/>
      <c r="AF109" s="3599"/>
      <c r="AG109" s="3601"/>
      <c r="AH109" s="3599"/>
      <c r="AI109" s="3601"/>
      <c r="AJ109" s="3599"/>
      <c r="AK109" s="3601"/>
      <c r="AL109" s="3599"/>
      <c r="AM109" s="3601"/>
      <c r="AN109" s="3708"/>
      <c r="AO109" s="3710"/>
      <c r="AP109" s="3708"/>
      <c r="AQ109" s="3710"/>
      <c r="AR109" s="3708"/>
      <c r="AS109" s="3710"/>
      <c r="AT109" s="3708"/>
      <c r="AU109" s="3710"/>
      <c r="AV109" s="3708"/>
      <c r="AW109" s="3710"/>
      <c r="AX109" s="3708"/>
      <c r="AY109" s="3710"/>
      <c r="AZ109" s="3599"/>
      <c r="BA109" s="3638"/>
      <c r="BB109" s="3638"/>
      <c r="BC109" s="3712"/>
      <c r="BD109" s="3599"/>
      <c r="BE109" s="3599"/>
      <c r="BF109" s="1010">
        <v>42597</v>
      </c>
      <c r="BG109" s="1011">
        <v>42597</v>
      </c>
      <c r="BH109" s="1012">
        <v>42719</v>
      </c>
      <c r="BI109" s="1013">
        <v>42724</v>
      </c>
      <c r="BJ109" s="3681"/>
    </row>
    <row r="110" spans="1:62" ht="36" customHeight="1">
      <c r="A110" s="3445"/>
      <c r="B110" s="3445"/>
      <c r="C110" s="3446"/>
      <c r="D110" s="3606"/>
      <c r="E110" s="3607"/>
      <c r="F110" s="3608"/>
      <c r="G110" s="1035">
        <v>86</v>
      </c>
      <c r="H110" s="986" t="s">
        <v>1064</v>
      </c>
      <c r="I110" s="1006"/>
      <c r="J110" s="1006"/>
      <c r="K110" s="1006"/>
      <c r="L110" s="1006"/>
      <c r="M110" s="1006"/>
      <c r="N110" s="2579"/>
      <c r="O110" s="1006"/>
      <c r="P110" s="1006"/>
      <c r="Q110" s="1006"/>
      <c r="R110" s="1006"/>
      <c r="S110" s="1006"/>
      <c r="T110" s="1006"/>
      <c r="U110" s="1006"/>
      <c r="V110" s="1006"/>
      <c r="W110" s="1006"/>
      <c r="X110" s="987"/>
      <c r="Y110" s="934"/>
      <c r="Z110" s="986"/>
      <c r="AA110" s="1006"/>
      <c r="AB110" s="1006"/>
      <c r="AC110" s="987"/>
      <c r="AD110" s="1006"/>
      <c r="AE110" s="987"/>
      <c r="AF110" s="1006"/>
      <c r="AG110" s="987"/>
      <c r="AH110" s="1006"/>
      <c r="AI110" s="987"/>
      <c r="AJ110" s="1006"/>
      <c r="AK110" s="987"/>
      <c r="AL110" s="1006"/>
      <c r="AM110" s="987"/>
      <c r="AN110" s="1006"/>
      <c r="AO110" s="987"/>
      <c r="AP110" s="1006"/>
      <c r="AQ110" s="987"/>
      <c r="AR110" s="1006"/>
      <c r="AS110" s="987"/>
      <c r="AT110" s="1006"/>
      <c r="AU110" s="987"/>
      <c r="AV110" s="1006"/>
      <c r="AW110" s="987"/>
      <c r="AX110" s="1006"/>
      <c r="AY110" s="987"/>
      <c r="AZ110" s="1006"/>
      <c r="BA110" s="1006"/>
      <c r="BB110" s="1006"/>
      <c r="BC110" s="1006"/>
      <c r="BD110" s="1006"/>
      <c r="BE110" s="1006"/>
      <c r="BF110" s="1006"/>
      <c r="BG110" s="987"/>
      <c r="BH110" s="1006"/>
      <c r="BI110" s="987"/>
      <c r="BJ110" s="988"/>
    </row>
    <row r="111" spans="1:62" ht="51" customHeight="1">
      <c r="A111" s="3445"/>
      <c r="B111" s="3445"/>
      <c r="C111" s="3446"/>
      <c r="D111" s="3606"/>
      <c r="E111" s="3607"/>
      <c r="F111" s="3608"/>
      <c r="G111" s="3603"/>
      <c r="H111" s="3604"/>
      <c r="I111" s="3605"/>
      <c r="J111" s="3467">
        <v>255</v>
      </c>
      <c r="K111" s="3457" t="s">
        <v>1065</v>
      </c>
      <c r="L111" s="3462" t="s">
        <v>1066</v>
      </c>
      <c r="M111" s="3625">
        <v>12</v>
      </c>
      <c r="N111" s="3468">
        <v>11</v>
      </c>
      <c r="O111" s="3462" t="s">
        <v>1067</v>
      </c>
      <c r="P111" s="3491">
        <v>40</v>
      </c>
      <c r="Q111" s="3494" t="s">
        <v>1068</v>
      </c>
      <c r="R111" s="3590">
        <v>1</v>
      </c>
      <c r="S111" s="3496">
        <v>76685000</v>
      </c>
      <c r="T111" s="3457" t="s">
        <v>1069</v>
      </c>
      <c r="U111" s="3457" t="s">
        <v>1070</v>
      </c>
      <c r="V111" s="1040" t="s">
        <v>1071</v>
      </c>
      <c r="W111" s="1636">
        <v>15000000</v>
      </c>
      <c r="X111" s="1647">
        <v>15000000</v>
      </c>
      <c r="Y111" s="1647">
        <v>15000000</v>
      </c>
      <c r="Z111" s="3569">
        <v>20</v>
      </c>
      <c r="AA111" s="3455" t="s">
        <v>232</v>
      </c>
      <c r="AB111" s="3696"/>
      <c r="AC111" s="3693"/>
      <c r="AD111" s="3696"/>
      <c r="AE111" s="3693"/>
      <c r="AF111" s="3696"/>
      <c r="AG111" s="3693"/>
      <c r="AH111" s="3696"/>
      <c r="AI111" s="3693"/>
      <c r="AJ111" s="3467">
        <v>4200</v>
      </c>
      <c r="AK111" s="3600">
        <v>2788</v>
      </c>
      <c r="AL111" s="3696"/>
      <c r="AM111" s="3693"/>
      <c r="AN111" s="3696"/>
      <c r="AO111" s="3693"/>
      <c r="AP111" s="3696"/>
      <c r="AQ111" s="3693"/>
      <c r="AR111" s="3696"/>
      <c r="AS111" s="3693"/>
      <c r="AT111" s="3696"/>
      <c r="AU111" s="3693"/>
      <c r="AV111" s="3696"/>
      <c r="AW111" s="3693"/>
      <c r="AX111" s="3696"/>
      <c r="AY111" s="3693"/>
      <c r="AZ111" s="3467">
        <v>14</v>
      </c>
      <c r="BA111" s="3699">
        <f>SUM($X$111:$X$118)</f>
        <v>53096500</v>
      </c>
      <c r="BB111" s="3467">
        <f>SUM($Y$111:$Y$118)</f>
        <v>53096500</v>
      </c>
      <c r="BC111" s="3593">
        <f>BB111/BA111</f>
        <v>1</v>
      </c>
      <c r="BD111" s="3467">
        <v>20</v>
      </c>
      <c r="BE111" s="3718" t="s">
        <v>1045</v>
      </c>
      <c r="BF111" s="995">
        <v>42628</v>
      </c>
      <c r="BG111" s="996">
        <v>42597</v>
      </c>
      <c r="BH111" s="997">
        <v>42719</v>
      </c>
      <c r="BI111" s="998">
        <v>42724</v>
      </c>
      <c r="BJ111" s="3664" t="s">
        <v>2146</v>
      </c>
    </row>
    <row r="112" spans="1:62" ht="57">
      <c r="A112" s="3445"/>
      <c r="B112" s="3445"/>
      <c r="C112" s="3446"/>
      <c r="D112" s="3606"/>
      <c r="E112" s="3607"/>
      <c r="F112" s="3608"/>
      <c r="G112" s="3606"/>
      <c r="H112" s="3607"/>
      <c r="I112" s="3608"/>
      <c r="J112" s="3599"/>
      <c r="K112" s="3500"/>
      <c r="L112" s="3463"/>
      <c r="M112" s="3626"/>
      <c r="N112" s="3589"/>
      <c r="O112" s="3463"/>
      <c r="P112" s="3492"/>
      <c r="Q112" s="3612"/>
      <c r="R112" s="3591"/>
      <c r="S112" s="3497"/>
      <c r="T112" s="3500"/>
      <c r="U112" s="3500"/>
      <c r="V112" s="1040" t="s">
        <v>1072</v>
      </c>
      <c r="W112" s="1636">
        <v>15000000</v>
      </c>
      <c r="X112" s="1647">
        <v>11411500</v>
      </c>
      <c r="Y112" s="1647">
        <v>11411500</v>
      </c>
      <c r="Z112" s="3570"/>
      <c r="AA112" s="3465"/>
      <c r="AB112" s="3697"/>
      <c r="AC112" s="3694"/>
      <c r="AD112" s="3697"/>
      <c r="AE112" s="3694"/>
      <c r="AF112" s="3697"/>
      <c r="AG112" s="3694"/>
      <c r="AH112" s="3697"/>
      <c r="AI112" s="3694"/>
      <c r="AJ112" s="3599"/>
      <c r="AK112" s="3601"/>
      <c r="AL112" s="3697"/>
      <c r="AM112" s="3694"/>
      <c r="AN112" s="3697"/>
      <c r="AO112" s="3694"/>
      <c r="AP112" s="3697"/>
      <c r="AQ112" s="3694"/>
      <c r="AR112" s="3697"/>
      <c r="AS112" s="3694"/>
      <c r="AT112" s="3697"/>
      <c r="AU112" s="3694"/>
      <c r="AV112" s="3697"/>
      <c r="AW112" s="3694"/>
      <c r="AX112" s="3697"/>
      <c r="AY112" s="3694"/>
      <c r="AZ112" s="3599"/>
      <c r="BA112" s="3700"/>
      <c r="BB112" s="3599"/>
      <c r="BC112" s="3594"/>
      <c r="BD112" s="3599"/>
      <c r="BE112" s="3719"/>
      <c r="BF112" s="995">
        <v>42628</v>
      </c>
      <c r="BG112" s="996">
        <v>42629</v>
      </c>
      <c r="BH112" s="998">
        <v>42719</v>
      </c>
      <c r="BI112" s="998">
        <v>42720</v>
      </c>
      <c r="BJ112" s="3664"/>
    </row>
    <row r="113" spans="1:62" ht="38.25" customHeight="1">
      <c r="A113" s="3445"/>
      <c r="B113" s="3445"/>
      <c r="C113" s="3446"/>
      <c r="D113" s="3606"/>
      <c r="E113" s="3607"/>
      <c r="F113" s="3608"/>
      <c r="G113" s="3606"/>
      <c r="H113" s="3607"/>
      <c r="I113" s="3608"/>
      <c r="J113" s="3599"/>
      <c r="K113" s="3500"/>
      <c r="L113" s="3463"/>
      <c r="M113" s="3626"/>
      <c r="N113" s="3589"/>
      <c r="O113" s="3463"/>
      <c r="P113" s="3492"/>
      <c r="Q113" s="3612"/>
      <c r="R113" s="3591"/>
      <c r="S113" s="3497"/>
      <c r="T113" s="3500"/>
      <c r="U113" s="3500"/>
      <c r="V113" s="1040" t="s">
        <v>1073</v>
      </c>
      <c r="W113" s="1636">
        <v>1000000</v>
      </c>
      <c r="X113" s="1647">
        <v>1000000</v>
      </c>
      <c r="Y113" s="1647">
        <v>1000000</v>
      </c>
      <c r="Z113" s="3570"/>
      <c r="AA113" s="3465"/>
      <c r="AB113" s="3697"/>
      <c r="AC113" s="3694"/>
      <c r="AD113" s="3697"/>
      <c r="AE113" s="3694"/>
      <c r="AF113" s="3697"/>
      <c r="AG113" s="3694"/>
      <c r="AH113" s="3697"/>
      <c r="AI113" s="3694"/>
      <c r="AJ113" s="3599"/>
      <c r="AK113" s="3601"/>
      <c r="AL113" s="3697"/>
      <c r="AM113" s="3694"/>
      <c r="AN113" s="3697"/>
      <c r="AO113" s="3694"/>
      <c r="AP113" s="3697"/>
      <c r="AQ113" s="3694"/>
      <c r="AR113" s="3697"/>
      <c r="AS113" s="3694"/>
      <c r="AT113" s="3697"/>
      <c r="AU113" s="3694"/>
      <c r="AV113" s="3697"/>
      <c r="AW113" s="3694"/>
      <c r="AX113" s="3697"/>
      <c r="AY113" s="3694"/>
      <c r="AZ113" s="3599"/>
      <c r="BA113" s="3700"/>
      <c r="BB113" s="3599"/>
      <c r="BC113" s="3594"/>
      <c r="BD113" s="3599"/>
      <c r="BE113" s="3719"/>
      <c r="BF113" s="995">
        <v>42653</v>
      </c>
      <c r="BG113" s="996">
        <v>42654</v>
      </c>
      <c r="BH113" s="998">
        <v>42699</v>
      </c>
      <c r="BI113" s="998">
        <v>42700</v>
      </c>
      <c r="BJ113" s="3664"/>
    </row>
    <row r="114" spans="1:62" ht="66.75" customHeight="1">
      <c r="A114" s="3445"/>
      <c r="B114" s="3445"/>
      <c r="C114" s="3446"/>
      <c r="D114" s="3606"/>
      <c r="E114" s="3607"/>
      <c r="F114" s="3608"/>
      <c r="G114" s="3606"/>
      <c r="H114" s="3607"/>
      <c r="I114" s="3608"/>
      <c r="J114" s="3599"/>
      <c r="K114" s="3500"/>
      <c r="L114" s="3463"/>
      <c r="M114" s="3626"/>
      <c r="N114" s="3589"/>
      <c r="O114" s="3463"/>
      <c r="P114" s="3492"/>
      <c r="Q114" s="3612"/>
      <c r="R114" s="3591"/>
      <c r="S114" s="3497"/>
      <c r="T114" s="3500"/>
      <c r="U114" s="3500"/>
      <c r="V114" s="1040" t="s">
        <v>1074</v>
      </c>
      <c r="W114" s="1636">
        <v>5000000</v>
      </c>
      <c r="X114" s="1647">
        <v>5000000</v>
      </c>
      <c r="Y114" s="1647">
        <v>5000000</v>
      </c>
      <c r="Z114" s="3570"/>
      <c r="AA114" s="3465"/>
      <c r="AB114" s="3697"/>
      <c r="AC114" s="3694"/>
      <c r="AD114" s="3697"/>
      <c r="AE114" s="3694"/>
      <c r="AF114" s="3697"/>
      <c r="AG114" s="3694"/>
      <c r="AH114" s="3697"/>
      <c r="AI114" s="3694"/>
      <c r="AJ114" s="3599"/>
      <c r="AK114" s="3601"/>
      <c r="AL114" s="3697"/>
      <c r="AM114" s="3694"/>
      <c r="AN114" s="3697"/>
      <c r="AO114" s="3694"/>
      <c r="AP114" s="3697"/>
      <c r="AQ114" s="3694"/>
      <c r="AR114" s="3697"/>
      <c r="AS114" s="3694"/>
      <c r="AT114" s="3697"/>
      <c r="AU114" s="3694"/>
      <c r="AV114" s="3697"/>
      <c r="AW114" s="3694"/>
      <c r="AX114" s="3697"/>
      <c r="AY114" s="3694"/>
      <c r="AZ114" s="3599"/>
      <c r="BA114" s="3700"/>
      <c r="BB114" s="3599"/>
      <c r="BC114" s="3594"/>
      <c r="BD114" s="3599"/>
      <c r="BE114" s="3719"/>
      <c r="BF114" s="995">
        <v>42628</v>
      </c>
      <c r="BG114" s="996">
        <v>42597</v>
      </c>
      <c r="BH114" s="997">
        <v>42719</v>
      </c>
      <c r="BI114" s="998">
        <v>42724</v>
      </c>
      <c r="BJ114" s="3664"/>
    </row>
    <row r="115" spans="1:62" ht="109.5" customHeight="1">
      <c r="A115" s="3445"/>
      <c r="B115" s="3445"/>
      <c r="C115" s="3446"/>
      <c r="D115" s="3606"/>
      <c r="E115" s="3607"/>
      <c r="F115" s="3608"/>
      <c r="G115" s="3606"/>
      <c r="H115" s="3607"/>
      <c r="I115" s="3608"/>
      <c r="J115" s="3599"/>
      <c r="K115" s="3500"/>
      <c r="L115" s="3463"/>
      <c r="M115" s="3626"/>
      <c r="N115" s="3589"/>
      <c r="O115" s="3463"/>
      <c r="P115" s="3492"/>
      <c r="Q115" s="3612"/>
      <c r="R115" s="3591"/>
      <c r="S115" s="3497"/>
      <c r="T115" s="3500"/>
      <c r="U115" s="3500"/>
      <c r="V115" s="1040" t="s">
        <v>1075</v>
      </c>
      <c r="W115" s="1636">
        <v>20000000</v>
      </c>
      <c r="X115" s="1647">
        <v>0</v>
      </c>
      <c r="Y115" s="1647">
        <v>0</v>
      </c>
      <c r="Z115" s="3570"/>
      <c r="AA115" s="3465"/>
      <c r="AB115" s="3697"/>
      <c r="AC115" s="3694"/>
      <c r="AD115" s="3697"/>
      <c r="AE115" s="3694"/>
      <c r="AF115" s="3697"/>
      <c r="AG115" s="3694"/>
      <c r="AH115" s="3697"/>
      <c r="AI115" s="3694"/>
      <c r="AJ115" s="3599"/>
      <c r="AK115" s="3601"/>
      <c r="AL115" s="3697"/>
      <c r="AM115" s="3694"/>
      <c r="AN115" s="3697"/>
      <c r="AO115" s="3694"/>
      <c r="AP115" s="3697"/>
      <c r="AQ115" s="3694"/>
      <c r="AR115" s="3697"/>
      <c r="AS115" s="3694"/>
      <c r="AT115" s="3697"/>
      <c r="AU115" s="3694"/>
      <c r="AV115" s="3697"/>
      <c r="AW115" s="3694"/>
      <c r="AX115" s="3697"/>
      <c r="AY115" s="3694"/>
      <c r="AZ115" s="3599"/>
      <c r="BA115" s="3700"/>
      <c r="BB115" s="3599"/>
      <c r="BC115" s="3594"/>
      <c r="BD115" s="3599"/>
      <c r="BE115" s="3719"/>
      <c r="BF115" s="995">
        <v>42628</v>
      </c>
      <c r="BG115" s="996"/>
      <c r="BH115" s="997">
        <v>42719</v>
      </c>
      <c r="BI115" s="998"/>
      <c r="BJ115" s="3664"/>
    </row>
    <row r="116" spans="1:62" ht="60" customHeight="1">
      <c r="A116" s="3445"/>
      <c r="B116" s="3445"/>
      <c r="C116" s="3446"/>
      <c r="D116" s="3606"/>
      <c r="E116" s="3607"/>
      <c r="F116" s="3608"/>
      <c r="G116" s="3606"/>
      <c r="H116" s="3607"/>
      <c r="I116" s="3608"/>
      <c r="J116" s="3599"/>
      <c r="K116" s="3500"/>
      <c r="L116" s="3463"/>
      <c r="M116" s="3626"/>
      <c r="N116" s="3589"/>
      <c r="O116" s="3463"/>
      <c r="P116" s="3492"/>
      <c r="Q116" s="3612"/>
      <c r="R116" s="3591"/>
      <c r="S116" s="3497"/>
      <c r="T116" s="3500"/>
      <c r="U116" s="3500"/>
      <c r="V116" s="963" t="s">
        <v>1076</v>
      </c>
      <c r="W116" s="1636">
        <v>4000000</v>
      </c>
      <c r="X116" s="1647">
        <v>4000000</v>
      </c>
      <c r="Y116" s="1647">
        <v>4000000</v>
      </c>
      <c r="Z116" s="3570"/>
      <c r="AA116" s="3465"/>
      <c r="AB116" s="3697"/>
      <c r="AC116" s="3694"/>
      <c r="AD116" s="3697"/>
      <c r="AE116" s="3694"/>
      <c r="AF116" s="3697"/>
      <c r="AG116" s="3694"/>
      <c r="AH116" s="3697"/>
      <c r="AI116" s="3694"/>
      <c r="AJ116" s="3599"/>
      <c r="AK116" s="3601"/>
      <c r="AL116" s="3697"/>
      <c r="AM116" s="3694"/>
      <c r="AN116" s="3697"/>
      <c r="AO116" s="3694"/>
      <c r="AP116" s="3697"/>
      <c r="AQ116" s="3694"/>
      <c r="AR116" s="3697"/>
      <c r="AS116" s="3694"/>
      <c r="AT116" s="3697"/>
      <c r="AU116" s="3694"/>
      <c r="AV116" s="3697"/>
      <c r="AW116" s="3694"/>
      <c r="AX116" s="3697"/>
      <c r="AY116" s="3694"/>
      <c r="AZ116" s="3599"/>
      <c r="BA116" s="3700"/>
      <c r="BB116" s="3599"/>
      <c r="BC116" s="3594"/>
      <c r="BD116" s="3599"/>
      <c r="BE116" s="3719"/>
      <c r="BF116" s="995">
        <v>42597</v>
      </c>
      <c r="BG116" s="996">
        <v>42597</v>
      </c>
      <c r="BH116" s="997">
        <v>42719</v>
      </c>
      <c r="BI116" s="998">
        <v>42724</v>
      </c>
      <c r="BJ116" s="3664"/>
    </row>
    <row r="117" spans="1:62" ht="71.25" customHeight="1">
      <c r="A117" s="3445"/>
      <c r="B117" s="3445"/>
      <c r="C117" s="3446"/>
      <c r="D117" s="3606"/>
      <c r="E117" s="3607"/>
      <c r="F117" s="3608"/>
      <c r="G117" s="3606"/>
      <c r="H117" s="3607"/>
      <c r="I117" s="3608"/>
      <c r="J117" s="3599"/>
      <c r="K117" s="3500"/>
      <c r="L117" s="3463"/>
      <c r="M117" s="3626"/>
      <c r="N117" s="3589"/>
      <c r="O117" s="3463"/>
      <c r="P117" s="3492"/>
      <c r="Q117" s="3612"/>
      <c r="R117" s="3591"/>
      <c r="S117" s="3497"/>
      <c r="T117" s="3500"/>
      <c r="U117" s="3500"/>
      <c r="V117" s="963" t="s">
        <v>1077</v>
      </c>
      <c r="W117" s="1636">
        <v>5885000</v>
      </c>
      <c r="X117" s="1647">
        <v>5885000</v>
      </c>
      <c r="Y117" s="1647">
        <v>5885000</v>
      </c>
      <c r="Z117" s="3570"/>
      <c r="AA117" s="3465"/>
      <c r="AB117" s="3697"/>
      <c r="AC117" s="3694"/>
      <c r="AD117" s="3697"/>
      <c r="AE117" s="3694"/>
      <c r="AF117" s="3697"/>
      <c r="AG117" s="3694"/>
      <c r="AH117" s="3697"/>
      <c r="AI117" s="3694"/>
      <c r="AJ117" s="3599"/>
      <c r="AK117" s="3601"/>
      <c r="AL117" s="3697"/>
      <c r="AM117" s="3694"/>
      <c r="AN117" s="3697"/>
      <c r="AO117" s="3694"/>
      <c r="AP117" s="3697"/>
      <c r="AQ117" s="3694"/>
      <c r="AR117" s="3697"/>
      <c r="AS117" s="3694"/>
      <c r="AT117" s="3697"/>
      <c r="AU117" s="3694"/>
      <c r="AV117" s="3697"/>
      <c r="AW117" s="3694"/>
      <c r="AX117" s="3697"/>
      <c r="AY117" s="3694"/>
      <c r="AZ117" s="3599"/>
      <c r="BA117" s="3700"/>
      <c r="BB117" s="3599"/>
      <c r="BC117" s="3594"/>
      <c r="BD117" s="3599"/>
      <c r="BE117" s="3719"/>
      <c r="BF117" s="995">
        <v>42628</v>
      </c>
      <c r="BG117" s="996">
        <v>42629</v>
      </c>
      <c r="BH117" s="997">
        <v>42719</v>
      </c>
      <c r="BI117" s="998">
        <v>42720</v>
      </c>
      <c r="BJ117" s="3664"/>
    </row>
    <row r="118" spans="1:62" ht="71.25">
      <c r="A118" s="3445"/>
      <c r="B118" s="3445"/>
      <c r="C118" s="3446"/>
      <c r="D118" s="3606"/>
      <c r="E118" s="3607"/>
      <c r="F118" s="3608"/>
      <c r="G118" s="3606"/>
      <c r="H118" s="3607"/>
      <c r="I118" s="3608"/>
      <c r="J118" s="3475"/>
      <c r="K118" s="3500"/>
      <c r="L118" s="3464"/>
      <c r="M118" s="3627"/>
      <c r="N118" s="3469"/>
      <c r="O118" s="3464"/>
      <c r="P118" s="3523"/>
      <c r="Q118" s="3613"/>
      <c r="R118" s="3592"/>
      <c r="S118" s="3498"/>
      <c r="T118" s="3458"/>
      <c r="U118" s="3458"/>
      <c r="V118" s="963" t="s">
        <v>1078</v>
      </c>
      <c r="W118" s="1636">
        <v>10800000</v>
      </c>
      <c r="X118" s="1647">
        <v>10800000</v>
      </c>
      <c r="Y118" s="1647">
        <v>10800000</v>
      </c>
      <c r="Z118" s="3571"/>
      <c r="AA118" s="3456"/>
      <c r="AB118" s="3698"/>
      <c r="AC118" s="3695"/>
      <c r="AD118" s="3698"/>
      <c r="AE118" s="3695"/>
      <c r="AF118" s="3698"/>
      <c r="AG118" s="3695"/>
      <c r="AH118" s="3698"/>
      <c r="AI118" s="3695"/>
      <c r="AJ118" s="3475"/>
      <c r="AK118" s="3602"/>
      <c r="AL118" s="3698"/>
      <c r="AM118" s="3695"/>
      <c r="AN118" s="3698"/>
      <c r="AO118" s="3695"/>
      <c r="AP118" s="3698"/>
      <c r="AQ118" s="3695"/>
      <c r="AR118" s="3698"/>
      <c r="AS118" s="3695"/>
      <c r="AT118" s="3698"/>
      <c r="AU118" s="3695"/>
      <c r="AV118" s="3698"/>
      <c r="AW118" s="3695"/>
      <c r="AX118" s="3698"/>
      <c r="AY118" s="3695"/>
      <c r="AZ118" s="3475"/>
      <c r="BA118" s="3701"/>
      <c r="BB118" s="3475"/>
      <c r="BC118" s="3595"/>
      <c r="BD118" s="3475"/>
      <c r="BE118" s="3720"/>
      <c r="BF118" s="995">
        <v>42628</v>
      </c>
      <c r="BG118" s="996">
        <v>42629</v>
      </c>
      <c r="BH118" s="997">
        <v>42719</v>
      </c>
      <c r="BI118" s="998">
        <v>42720</v>
      </c>
      <c r="BJ118" s="3664"/>
    </row>
    <row r="119" spans="1:62" ht="112.5" customHeight="1" thickBot="1">
      <c r="A119" s="3445"/>
      <c r="B119" s="3445"/>
      <c r="C119" s="3446"/>
      <c r="D119" s="3606"/>
      <c r="E119" s="3607"/>
      <c r="F119" s="3608"/>
      <c r="G119" s="3606"/>
      <c r="H119" s="3607"/>
      <c r="I119" s="3608"/>
      <c r="J119" s="1058">
        <v>255</v>
      </c>
      <c r="K119" s="1059" t="s">
        <v>1079</v>
      </c>
      <c r="L119" s="1060" t="s">
        <v>941</v>
      </c>
      <c r="M119" s="1061">
        <v>12</v>
      </c>
      <c r="N119" s="2588">
        <v>1</v>
      </c>
      <c r="O119" s="1062" t="s">
        <v>1080</v>
      </c>
      <c r="P119" s="1063">
        <v>41</v>
      </c>
      <c r="Q119" s="964" t="s">
        <v>1081</v>
      </c>
      <c r="R119" s="1661">
        <v>1</v>
      </c>
      <c r="S119" s="962">
        <v>3315000</v>
      </c>
      <c r="T119" s="989" t="s">
        <v>1082</v>
      </c>
      <c r="U119" s="989" t="s">
        <v>1083</v>
      </c>
      <c r="V119" s="1031" t="s">
        <v>1084</v>
      </c>
      <c r="W119" s="1639">
        <v>3315000</v>
      </c>
      <c r="X119" s="1653">
        <v>3315000</v>
      </c>
      <c r="Y119" s="1653">
        <v>3315000</v>
      </c>
      <c r="Z119" s="2100">
        <v>20</v>
      </c>
      <c r="AA119" s="1009" t="s">
        <v>1831</v>
      </c>
      <c r="AB119" s="1064"/>
      <c r="AC119" s="1065"/>
      <c r="AD119" s="1064"/>
      <c r="AE119" s="1065"/>
      <c r="AF119" s="1064"/>
      <c r="AG119" s="1065"/>
      <c r="AH119" s="1064"/>
      <c r="AI119" s="1065"/>
      <c r="AJ119" s="1066">
        <v>350</v>
      </c>
      <c r="AK119" s="1067">
        <v>350</v>
      </c>
      <c r="AL119" s="1064"/>
      <c r="AM119" s="1065"/>
      <c r="AN119" s="1064"/>
      <c r="AO119" s="1065"/>
      <c r="AP119" s="1064"/>
      <c r="AQ119" s="1065"/>
      <c r="AR119" s="1064"/>
      <c r="AS119" s="1065"/>
      <c r="AT119" s="1068"/>
      <c r="AU119" s="1069"/>
      <c r="AV119" s="1068"/>
      <c r="AW119" s="1069"/>
      <c r="AX119" s="1068"/>
      <c r="AY119" s="1069"/>
      <c r="AZ119" s="1066">
        <v>1</v>
      </c>
      <c r="BA119" s="1070">
        <v>3315000</v>
      </c>
      <c r="BB119" s="1070">
        <v>3315000</v>
      </c>
      <c r="BC119" s="1071">
        <v>1</v>
      </c>
      <c r="BD119" s="1066">
        <v>20</v>
      </c>
      <c r="BE119" s="1064" t="s">
        <v>1045</v>
      </c>
      <c r="BF119" s="1010">
        <v>42459</v>
      </c>
      <c r="BG119" s="1011">
        <v>42561</v>
      </c>
      <c r="BH119" s="1012">
        <v>42485</v>
      </c>
      <c r="BI119" s="1013">
        <v>42581</v>
      </c>
      <c r="BJ119" s="3681"/>
    </row>
    <row r="120" spans="1:64" s="1086" customFormat="1" ht="31.5" customHeight="1" thickBot="1">
      <c r="A120" s="3715" t="s">
        <v>96</v>
      </c>
      <c r="B120" s="3716"/>
      <c r="C120" s="3716"/>
      <c r="D120" s="3716"/>
      <c r="E120" s="3716"/>
      <c r="F120" s="3716"/>
      <c r="G120" s="3716"/>
      <c r="H120" s="3716"/>
      <c r="I120" s="3716"/>
      <c r="J120" s="3716"/>
      <c r="K120" s="3716"/>
      <c r="L120" s="3716"/>
      <c r="M120" s="3716"/>
      <c r="N120" s="3716"/>
      <c r="O120" s="3716"/>
      <c r="P120" s="3716"/>
      <c r="Q120" s="3716"/>
      <c r="R120" s="3717"/>
      <c r="S120" s="1072">
        <f>SUM(S10:S119)</f>
        <v>7721924915</v>
      </c>
      <c r="T120" s="1073"/>
      <c r="U120" s="1074"/>
      <c r="V120" s="1075"/>
      <c r="W120" s="1076">
        <f>SUM(W10:W119)</f>
        <v>7721924914.85</v>
      </c>
      <c r="X120" s="1630">
        <f>SUM(X10:X119)</f>
        <v>1409368015</v>
      </c>
      <c r="Y120" s="1630">
        <f>SUM(Y10:Y119)</f>
        <v>1335245363</v>
      </c>
      <c r="Z120" s="1076"/>
      <c r="AA120" s="1077"/>
      <c r="AB120" s="1078"/>
      <c r="AC120" s="1079"/>
      <c r="AD120" s="1078"/>
      <c r="AE120" s="1079"/>
      <c r="AF120" s="1078"/>
      <c r="AG120" s="1079"/>
      <c r="AH120" s="1078"/>
      <c r="AI120" s="1079"/>
      <c r="AJ120" s="1078"/>
      <c r="AK120" s="1079"/>
      <c r="AL120" s="1078"/>
      <c r="AM120" s="1079"/>
      <c r="AN120" s="1078"/>
      <c r="AO120" s="1079"/>
      <c r="AP120" s="1078"/>
      <c r="AQ120" s="1079"/>
      <c r="AR120" s="1078"/>
      <c r="AS120" s="1079"/>
      <c r="AT120" s="1078"/>
      <c r="AU120" s="1079"/>
      <c r="AV120" s="1078"/>
      <c r="AW120" s="1079"/>
      <c r="AX120" s="1078"/>
      <c r="AY120" s="1079"/>
      <c r="AZ120" s="1078"/>
      <c r="BA120" s="1078">
        <f>SUM(BA13:BA119)</f>
        <v>1409368015</v>
      </c>
      <c r="BB120" s="1078">
        <f>SUM(BB13:BB119)</f>
        <v>1335245363</v>
      </c>
      <c r="BC120" s="1078"/>
      <c r="BD120" s="1078"/>
      <c r="BE120" s="1078"/>
      <c r="BF120" s="1080"/>
      <c r="BG120" s="1081"/>
      <c r="BH120" s="1082"/>
      <c r="BI120" s="1083"/>
      <c r="BJ120" s="1084"/>
      <c r="BK120" s="1085"/>
      <c r="BL120" s="1085"/>
    </row>
    <row r="121" spans="1:62" ht="14.25">
      <c r="A121" s="1088"/>
      <c r="B121" s="1088"/>
      <c r="C121" s="1088"/>
      <c r="D121" s="1088"/>
      <c r="E121" s="1088"/>
      <c r="F121" s="1088"/>
      <c r="G121" s="1088"/>
      <c r="H121" s="1088"/>
      <c r="I121" s="1088"/>
      <c r="J121" s="1088"/>
      <c r="K121" s="1088"/>
      <c r="L121" s="1089"/>
      <c r="M121" s="1088"/>
      <c r="N121" s="2589"/>
      <c r="O121" s="1088"/>
      <c r="P121" s="1090"/>
      <c r="Q121" s="1091"/>
      <c r="R121" s="1092"/>
      <c r="S121" s="1093"/>
      <c r="T121" s="1088"/>
      <c r="U121" s="1088"/>
      <c r="V121" s="1094"/>
      <c r="W121" s="1654"/>
      <c r="X121" s="1655"/>
      <c r="Y121" s="1655"/>
      <c r="Z121" s="1095"/>
      <c r="AA121" s="1094"/>
      <c r="AB121" s="1087"/>
      <c r="AC121" s="1096"/>
      <c r="AD121" s="1087"/>
      <c r="AE121" s="1096"/>
      <c r="AF121" s="1087"/>
      <c r="AG121" s="1096"/>
      <c r="AH121" s="1087"/>
      <c r="AI121" s="1096"/>
      <c r="AJ121" s="1087"/>
      <c r="AK121" s="1096"/>
      <c r="AL121" s="1087"/>
      <c r="AM121" s="1096"/>
      <c r="AN121" s="1087"/>
      <c r="AO121" s="1096"/>
      <c r="AP121" s="1087"/>
      <c r="AQ121" s="1096"/>
      <c r="AR121" s="1087"/>
      <c r="AS121" s="1096"/>
      <c r="AT121" s="1087"/>
      <c r="AU121" s="1096"/>
      <c r="AV121" s="1087"/>
      <c r="AW121" s="1096"/>
      <c r="AX121" s="1087"/>
      <c r="AY121" s="1096"/>
      <c r="AZ121" s="1087"/>
      <c r="BA121" s="1087"/>
      <c r="BB121" s="1087"/>
      <c r="BC121" s="1087"/>
      <c r="BD121" s="1087"/>
      <c r="BE121" s="1087"/>
      <c r="BF121" s="1097"/>
      <c r="BG121" s="1098"/>
      <c r="BH121" s="1099"/>
      <c r="BI121" s="1100"/>
      <c r="BJ121" s="1101"/>
    </row>
    <row r="122" spans="1:62" ht="14.25">
      <c r="A122" s="1088"/>
      <c r="B122" s="1088"/>
      <c r="C122" s="1088"/>
      <c r="D122" s="1088"/>
      <c r="E122" s="1088"/>
      <c r="F122" s="1088"/>
      <c r="G122" s="1088"/>
      <c r="H122" s="1088"/>
      <c r="I122" s="1088"/>
      <c r="J122" s="1088"/>
      <c r="K122" s="1088"/>
      <c r="L122" s="1089"/>
      <c r="M122" s="1088"/>
      <c r="N122" s="2589"/>
      <c r="O122" s="1088"/>
      <c r="P122" s="2648"/>
      <c r="Q122" s="2649"/>
      <c r="R122" s="2650"/>
      <c r="S122" s="2651"/>
      <c r="T122" s="2652"/>
      <c r="U122" s="2652"/>
      <c r="V122" s="2653"/>
      <c r="W122" s="2654"/>
      <c r="X122" s="2655"/>
      <c r="Y122" s="2655"/>
      <c r="Z122" s="2656"/>
      <c r="AA122" s="2653"/>
      <c r="AB122" s="2652"/>
      <c r="AC122" s="2657"/>
      <c r="AD122" s="2652"/>
      <c r="AE122" s="2657"/>
      <c r="AF122" s="2652"/>
      <c r="AG122" s="2657"/>
      <c r="AH122" s="2652"/>
      <c r="AI122" s="2657"/>
      <c r="AJ122" s="2652"/>
      <c r="AK122" s="2657"/>
      <c r="AL122" s="2652"/>
      <c r="AM122" s="2657"/>
      <c r="AN122" s="2652"/>
      <c r="AO122" s="2657"/>
      <c r="AP122" s="2652"/>
      <c r="AQ122" s="2657"/>
      <c r="AR122" s="2652"/>
      <c r="AS122" s="2657"/>
      <c r="AT122" s="2652"/>
      <c r="AU122" s="2657"/>
      <c r="AV122" s="2652"/>
      <c r="AW122" s="2657"/>
      <c r="AX122" s="2652"/>
      <c r="AY122" s="2657"/>
      <c r="AZ122" s="2652"/>
      <c r="BA122" s="2652"/>
      <c r="BB122" s="2652"/>
      <c r="BC122" s="1087"/>
      <c r="BD122" s="1087"/>
      <c r="BE122" s="1087"/>
      <c r="BF122" s="1097"/>
      <c r="BG122" s="1098"/>
      <c r="BH122" s="1099"/>
      <c r="BI122" s="1100"/>
      <c r="BJ122" s="1101"/>
    </row>
    <row r="123" spans="1:62" ht="33" customHeight="1">
      <c r="A123" s="1088"/>
      <c r="B123" s="1088"/>
      <c r="C123" s="1088"/>
      <c r="D123" s="1088"/>
      <c r="E123" s="1088"/>
      <c r="F123" s="1088"/>
      <c r="G123" s="1088"/>
      <c r="H123" s="1088"/>
      <c r="I123" s="1088"/>
      <c r="J123" s="1088"/>
      <c r="K123" s="1088"/>
      <c r="L123" s="1089"/>
      <c r="M123" s="1088"/>
      <c r="N123" s="2589"/>
      <c r="O123" s="1088"/>
      <c r="P123" s="2648"/>
      <c r="Q123" s="2649"/>
      <c r="R123" s="2650"/>
      <c r="S123" s="2658"/>
      <c r="T123" s="2652"/>
      <c r="U123" s="908"/>
      <c r="V123" s="2659"/>
      <c r="W123" s="2660"/>
      <c r="X123" s="2661"/>
      <c r="Y123" s="2661"/>
      <c r="Z123" s="2662"/>
      <c r="AA123" s="2659"/>
      <c r="AB123" s="908"/>
      <c r="AC123" s="2663"/>
      <c r="AD123" s="908"/>
      <c r="AE123" s="2663"/>
      <c r="AF123" s="908"/>
      <c r="AG123" s="2663"/>
      <c r="AH123" s="908"/>
      <c r="AI123" s="2663"/>
      <c r="AJ123" s="908"/>
      <c r="AK123" s="2663"/>
      <c r="AL123" s="908"/>
      <c r="AM123" s="2663"/>
      <c r="AN123" s="908"/>
      <c r="AO123" s="2663"/>
      <c r="AP123" s="908"/>
      <c r="AQ123" s="2663"/>
      <c r="AR123" s="908"/>
      <c r="AS123" s="2663"/>
      <c r="AT123" s="908"/>
      <c r="AU123" s="2663"/>
      <c r="AV123" s="908"/>
      <c r="AW123" s="2663"/>
      <c r="AX123" s="908"/>
      <c r="AY123" s="2663"/>
      <c r="AZ123" s="908"/>
      <c r="BA123" s="2661"/>
      <c r="BB123" s="2661"/>
      <c r="BD123" s="1087"/>
      <c r="BE123" s="1087"/>
      <c r="BF123" s="1097"/>
      <c r="BG123" s="1098"/>
      <c r="BH123" s="1099"/>
      <c r="BI123" s="1100"/>
      <c r="BJ123" s="1101"/>
    </row>
    <row r="124" spans="1:62" ht="14.25">
      <c r="A124" s="1088"/>
      <c r="B124" s="1088"/>
      <c r="C124" s="1088"/>
      <c r="D124" s="1088"/>
      <c r="E124" s="1088"/>
      <c r="F124" s="1088"/>
      <c r="G124" s="1088"/>
      <c r="H124" s="1088"/>
      <c r="I124" s="1088"/>
      <c r="J124" s="1088"/>
      <c r="K124" s="1088"/>
      <c r="L124" s="1089"/>
      <c r="M124" s="1088"/>
      <c r="N124" s="2589"/>
      <c r="O124" s="1088"/>
      <c r="P124" s="2648"/>
      <c r="Q124" s="2649"/>
      <c r="R124" s="2650"/>
      <c r="S124" s="2651"/>
      <c r="T124" s="2652"/>
      <c r="U124" s="908"/>
      <c r="V124" s="2659"/>
      <c r="W124" s="2664"/>
      <c r="X124" s="2665"/>
      <c r="Y124" s="2665"/>
      <c r="Z124" s="2662"/>
      <c r="AA124" s="2659"/>
      <c r="AB124" s="908"/>
      <c r="AC124" s="2663"/>
      <c r="AD124" s="908"/>
      <c r="AE124" s="2663"/>
      <c r="AF124" s="908"/>
      <c r="AG124" s="2663"/>
      <c r="AH124" s="908"/>
      <c r="AI124" s="2663"/>
      <c r="AJ124" s="908"/>
      <c r="AK124" s="2663"/>
      <c r="AL124" s="908"/>
      <c r="AM124" s="2663"/>
      <c r="AN124" s="908"/>
      <c r="AO124" s="2663"/>
      <c r="AP124" s="908"/>
      <c r="AQ124" s="2663"/>
      <c r="AR124" s="908"/>
      <c r="AS124" s="2663"/>
      <c r="AT124" s="908"/>
      <c r="AU124" s="2663"/>
      <c r="AV124" s="908"/>
      <c r="AW124" s="2663"/>
      <c r="AX124" s="908"/>
      <c r="AY124" s="2663"/>
      <c r="AZ124" s="908"/>
      <c r="BA124" s="908"/>
      <c r="BB124" s="908"/>
      <c r="BD124" s="1087"/>
      <c r="BE124" s="1087"/>
      <c r="BF124" s="1097"/>
      <c r="BG124" s="1098"/>
      <c r="BH124" s="1099"/>
      <c r="BI124" s="1100"/>
      <c r="BJ124" s="1101"/>
    </row>
    <row r="129" spans="10:12" ht="15">
      <c r="J129" s="1918" t="s">
        <v>1085</v>
      </c>
      <c r="K129" s="1106"/>
      <c r="L129" s="1107"/>
    </row>
    <row r="130" ht="14.25">
      <c r="J130" s="941" t="s">
        <v>1086</v>
      </c>
    </row>
  </sheetData>
  <sheetProtection/>
  <mergeCells count="746">
    <mergeCell ref="A120:R120"/>
    <mergeCell ref="BA111:BA118"/>
    <mergeCell ref="BB111:BB118"/>
    <mergeCell ref="BC111:BC118"/>
    <mergeCell ref="BD111:BD118"/>
    <mergeCell ref="BE111:BE118"/>
    <mergeCell ref="BJ111:BJ119"/>
    <mergeCell ref="AU111:AU118"/>
    <mergeCell ref="AV111:AV118"/>
    <mergeCell ref="AW111:AW118"/>
    <mergeCell ref="AX111:AX118"/>
    <mergeCell ref="AY111:AY118"/>
    <mergeCell ref="AZ111:AZ118"/>
    <mergeCell ref="AO111:AO118"/>
    <mergeCell ref="AP111:AP118"/>
    <mergeCell ref="AQ111:AQ118"/>
    <mergeCell ref="AR111:AR118"/>
    <mergeCell ref="AS111:AS118"/>
    <mergeCell ref="AT111:AT118"/>
    <mergeCell ref="AI111:AI118"/>
    <mergeCell ref="AJ111:AJ118"/>
    <mergeCell ref="AK111:AK118"/>
    <mergeCell ref="AL111:AL118"/>
    <mergeCell ref="AM111:AM118"/>
    <mergeCell ref="T101:T109"/>
    <mergeCell ref="U101:U109"/>
    <mergeCell ref="Z101:Z109"/>
    <mergeCell ref="AA101:AA109"/>
    <mergeCell ref="AB101:AB109"/>
    <mergeCell ref="AC101:AC109"/>
    <mergeCell ref="N101:N103"/>
    <mergeCell ref="O101:O109"/>
    <mergeCell ref="AN111:AN118"/>
    <mergeCell ref="AC111:AC118"/>
    <mergeCell ref="AD111:AD118"/>
    <mergeCell ref="AE111:AE118"/>
    <mergeCell ref="AF111:AF118"/>
    <mergeCell ref="AG111:AG118"/>
    <mergeCell ref="AH111:AH118"/>
    <mergeCell ref="S111:S118"/>
    <mergeCell ref="T111:T118"/>
    <mergeCell ref="U111:U118"/>
    <mergeCell ref="Z111:Z118"/>
    <mergeCell ref="AA111:AA118"/>
    <mergeCell ref="AB111:AB118"/>
    <mergeCell ref="P101:P109"/>
    <mergeCell ref="Q101:Q109"/>
    <mergeCell ref="R101:R103"/>
    <mergeCell ref="BB101:BB109"/>
    <mergeCell ref="BC101:BC109"/>
    <mergeCell ref="BD101:BD109"/>
    <mergeCell ref="AO101:AO109"/>
    <mergeCell ref="AD101:AD109"/>
    <mergeCell ref="AE101:AE109"/>
    <mergeCell ref="AF101:AF109"/>
    <mergeCell ref="AG101:AG109"/>
    <mergeCell ref="AH101:AH109"/>
    <mergeCell ref="AI101:AI109"/>
    <mergeCell ref="BE101:BE109"/>
    <mergeCell ref="BJ101:BJ109"/>
    <mergeCell ref="J104:J108"/>
    <mergeCell ref="K104:K108"/>
    <mergeCell ref="L104:L108"/>
    <mergeCell ref="M104:M108"/>
    <mergeCell ref="N104:N108"/>
    <mergeCell ref="AV101:AV109"/>
    <mergeCell ref="AW101:AW109"/>
    <mergeCell ref="AX101:AX109"/>
    <mergeCell ref="AY101:AY109"/>
    <mergeCell ref="AZ101:AZ109"/>
    <mergeCell ref="BA101:BA109"/>
    <mergeCell ref="AP101:AP109"/>
    <mergeCell ref="AQ101:AQ109"/>
    <mergeCell ref="AR101:AR109"/>
    <mergeCell ref="AS101:AS109"/>
    <mergeCell ref="AT101:AT109"/>
    <mergeCell ref="AU101:AU109"/>
    <mergeCell ref="AJ101:AJ109"/>
    <mergeCell ref="AK101:AK109"/>
    <mergeCell ref="AL101:AL109"/>
    <mergeCell ref="AM101:AM109"/>
    <mergeCell ref="AN101:AN109"/>
    <mergeCell ref="S101:S109"/>
    <mergeCell ref="R104:R108"/>
    <mergeCell ref="D100:F119"/>
    <mergeCell ref="G101:I109"/>
    <mergeCell ref="J101:J103"/>
    <mergeCell ref="K101:K103"/>
    <mergeCell ref="L101:L103"/>
    <mergeCell ref="M101:M103"/>
    <mergeCell ref="G111:I119"/>
    <mergeCell ref="J111:J118"/>
    <mergeCell ref="K111:K118"/>
    <mergeCell ref="L111:L118"/>
    <mergeCell ref="M111:M118"/>
    <mergeCell ref="N111:N118"/>
    <mergeCell ref="O111:O118"/>
    <mergeCell ref="P111:P118"/>
    <mergeCell ref="Q111:Q118"/>
    <mergeCell ref="R111:R118"/>
    <mergeCell ref="BA96:BA98"/>
    <mergeCell ref="BB96:BB98"/>
    <mergeCell ref="BC96:BC98"/>
    <mergeCell ref="BD96:BD98"/>
    <mergeCell ref="BE96:BE98"/>
    <mergeCell ref="BJ96:BJ98"/>
    <mergeCell ref="AU96:AU98"/>
    <mergeCell ref="AV96:AV98"/>
    <mergeCell ref="AW96:AW98"/>
    <mergeCell ref="AX96:AX98"/>
    <mergeCell ref="AY96:AY98"/>
    <mergeCell ref="AZ96:AZ98"/>
    <mergeCell ref="AO96:AO98"/>
    <mergeCell ref="AP96:AP98"/>
    <mergeCell ref="AQ96:AQ98"/>
    <mergeCell ref="AR96:AR98"/>
    <mergeCell ref="AS96:AS98"/>
    <mergeCell ref="AT96:AT98"/>
    <mergeCell ref="AI96:AI98"/>
    <mergeCell ref="AJ96:AJ98"/>
    <mergeCell ref="AK96:AK98"/>
    <mergeCell ref="AL96:AL98"/>
    <mergeCell ref="AM96:AM98"/>
    <mergeCell ref="AN96:AN98"/>
    <mergeCell ref="AC96:AC98"/>
    <mergeCell ref="AD96:AD98"/>
    <mergeCell ref="AE96:AE98"/>
    <mergeCell ref="AF96:AF98"/>
    <mergeCell ref="AG96:AG98"/>
    <mergeCell ref="AH96:AH98"/>
    <mergeCell ref="S96:S98"/>
    <mergeCell ref="T96:T98"/>
    <mergeCell ref="U96:U98"/>
    <mergeCell ref="Z96:Z98"/>
    <mergeCell ref="AA96:AA98"/>
    <mergeCell ref="AB96:AB98"/>
    <mergeCell ref="M96:M98"/>
    <mergeCell ref="N96:N98"/>
    <mergeCell ref="O96:O98"/>
    <mergeCell ref="P96:P98"/>
    <mergeCell ref="Q96:Q98"/>
    <mergeCell ref="R96:R98"/>
    <mergeCell ref="BC89:BC92"/>
    <mergeCell ref="BD89:BD92"/>
    <mergeCell ref="BE89:BE92"/>
    <mergeCell ref="AP89:AP92"/>
    <mergeCell ref="AE89:AE92"/>
    <mergeCell ref="AF89:AF92"/>
    <mergeCell ref="AG89:AG92"/>
    <mergeCell ref="AH89:AH92"/>
    <mergeCell ref="AI89:AI92"/>
    <mergeCell ref="AJ89:AJ92"/>
    <mergeCell ref="U89:U92"/>
    <mergeCell ref="Z89:Z92"/>
    <mergeCell ref="AA89:AA92"/>
    <mergeCell ref="AB89:AB92"/>
    <mergeCell ref="AC89:AC92"/>
    <mergeCell ref="AD89:AD92"/>
    <mergeCell ref="O89:O92"/>
    <mergeCell ref="P89:P92"/>
    <mergeCell ref="G89:I92"/>
    <mergeCell ref="J89:J91"/>
    <mergeCell ref="K89:K91"/>
    <mergeCell ref="L89:L91"/>
    <mergeCell ref="M89:M91"/>
    <mergeCell ref="N89:N91"/>
    <mergeCell ref="BJ89:BJ92"/>
    <mergeCell ref="A94:C119"/>
    <mergeCell ref="D95:F98"/>
    <mergeCell ref="G96:I98"/>
    <mergeCell ref="J96:J98"/>
    <mergeCell ref="K96:K98"/>
    <mergeCell ref="L96:L98"/>
    <mergeCell ref="AW89:AW92"/>
    <mergeCell ref="AX89:AX92"/>
    <mergeCell ref="AY89:AY92"/>
    <mergeCell ref="AZ89:AZ92"/>
    <mergeCell ref="BA89:BA92"/>
    <mergeCell ref="BB89:BB92"/>
    <mergeCell ref="AQ89:AQ92"/>
    <mergeCell ref="AR89:AR92"/>
    <mergeCell ref="AS89:AS92"/>
    <mergeCell ref="AT89:AT92"/>
    <mergeCell ref="AU89:AU92"/>
    <mergeCell ref="Q89:Q92"/>
    <mergeCell ref="R89:R91"/>
    <mergeCell ref="S89:S92"/>
    <mergeCell ref="T89:T92"/>
    <mergeCell ref="AV89:AV92"/>
    <mergeCell ref="AK89:AK92"/>
    <mergeCell ref="AL89:AL92"/>
    <mergeCell ref="AM89:AM92"/>
    <mergeCell ref="AN89:AN92"/>
    <mergeCell ref="AO89:AO92"/>
    <mergeCell ref="BD80:BD87"/>
    <mergeCell ref="BE80:BE87"/>
    <mergeCell ref="J84:J87"/>
    <mergeCell ref="K84:K87"/>
    <mergeCell ref="L84:L87"/>
    <mergeCell ref="M84:M87"/>
    <mergeCell ref="N84:N87"/>
    <mergeCell ref="R84:R87"/>
    <mergeCell ref="AX80:AX87"/>
    <mergeCell ref="AY80:AY87"/>
    <mergeCell ref="AZ80:AZ87"/>
    <mergeCell ref="BA80:BA87"/>
    <mergeCell ref="BB80:BB87"/>
    <mergeCell ref="BC80:BC87"/>
    <mergeCell ref="AR80:AR87"/>
    <mergeCell ref="AS80:AS87"/>
    <mergeCell ref="AT80:AT87"/>
    <mergeCell ref="AU80:AU87"/>
    <mergeCell ref="AV80:AV87"/>
    <mergeCell ref="J80:J82"/>
    <mergeCell ref="K80:K82"/>
    <mergeCell ref="L80:L82"/>
    <mergeCell ref="M80:M82"/>
    <mergeCell ref="N80:N82"/>
    <mergeCell ref="AW67:AW79"/>
    <mergeCell ref="AL67:AL79"/>
    <mergeCell ref="AM67:AM79"/>
    <mergeCell ref="AP80:AP87"/>
    <mergeCell ref="AQ80:AQ87"/>
    <mergeCell ref="AF80:AF87"/>
    <mergeCell ref="AG80:AG87"/>
    <mergeCell ref="AH80:AH87"/>
    <mergeCell ref="AI80:AI87"/>
    <mergeCell ref="AJ80:AJ87"/>
    <mergeCell ref="AK80:AK87"/>
    <mergeCell ref="AJ67:AJ79"/>
    <mergeCell ref="AF67:AF79"/>
    <mergeCell ref="AG67:AG79"/>
    <mergeCell ref="AH67:AH79"/>
    <mergeCell ref="AI67:AI79"/>
    <mergeCell ref="AU67:AU79"/>
    <mergeCell ref="AW80:AW87"/>
    <mergeCell ref="AL80:AL87"/>
    <mergeCell ref="AM80:AM87"/>
    <mergeCell ref="AN80:AN87"/>
    <mergeCell ref="AO80:AO87"/>
    <mergeCell ref="T67:T79"/>
    <mergeCell ref="U67:U79"/>
    <mergeCell ref="O80:O87"/>
    <mergeCell ref="P67:P79"/>
    <mergeCell ref="Q67:Q79"/>
    <mergeCell ref="R67:R69"/>
    <mergeCell ref="R78:R79"/>
    <mergeCell ref="R75:R76"/>
    <mergeCell ref="AV67:AV79"/>
    <mergeCell ref="AA80:AA87"/>
    <mergeCell ref="AB80:AB87"/>
    <mergeCell ref="AC80:AC87"/>
    <mergeCell ref="AD80:AD87"/>
    <mergeCell ref="AE80:AE87"/>
    <mergeCell ref="Z80:Z87"/>
    <mergeCell ref="S80:S87"/>
    <mergeCell ref="T80:T87"/>
    <mergeCell ref="U80:U87"/>
    <mergeCell ref="BD67:BD79"/>
    <mergeCell ref="BE67:BE79"/>
    <mergeCell ref="BJ67:BJ87"/>
    <mergeCell ref="J70:J74"/>
    <mergeCell ref="K70:K74"/>
    <mergeCell ref="L70:L74"/>
    <mergeCell ref="M70:M74"/>
    <mergeCell ref="N70:N74"/>
    <mergeCell ref="R70:R74"/>
    <mergeCell ref="J75:J76"/>
    <mergeCell ref="AX67:AX79"/>
    <mergeCell ref="AY67:AY79"/>
    <mergeCell ref="AZ67:AZ79"/>
    <mergeCell ref="BA67:BA79"/>
    <mergeCell ref="BB67:BB79"/>
    <mergeCell ref="BC67:BC79"/>
    <mergeCell ref="AR67:AR79"/>
    <mergeCell ref="AS67:AS79"/>
    <mergeCell ref="AT67:AT79"/>
    <mergeCell ref="N78:N79"/>
    <mergeCell ref="P80:P87"/>
    <mergeCell ref="Q80:Q87"/>
    <mergeCell ref="R80:R82"/>
    <mergeCell ref="S67:S79"/>
    <mergeCell ref="AE64:AE65"/>
    <mergeCell ref="AF64:AF65"/>
    <mergeCell ref="AG64:AG65"/>
    <mergeCell ref="AH64:AH65"/>
    <mergeCell ref="AI64:AI65"/>
    <mergeCell ref="AJ64:AJ65"/>
    <mergeCell ref="Z64:Z65"/>
    <mergeCell ref="AA64:AA65"/>
    <mergeCell ref="AB64:AB65"/>
    <mergeCell ref="AC64:AC65"/>
    <mergeCell ref="AD64:AD65"/>
    <mergeCell ref="AY64:AY65"/>
    <mergeCell ref="AZ64:AZ65"/>
    <mergeCell ref="BA64:BA65"/>
    <mergeCell ref="BB64:BB65"/>
    <mergeCell ref="AQ64:AQ65"/>
    <mergeCell ref="AR64:AR65"/>
    <mergeCell ref="AS64:AS65"/>
    <mergeCell ref="AT64:AT65"/>
    <mergeCell ref="AU64:AU65"/>
    <mergeCell ref="AV64:AV65"/>
    <mergeCell ref="G67:I87"/>
    <mergeCell ref="J67:J69"/>
    <mergeCell ref="K67:K69"/>
    <mergeCell ref="L67:L69"/>
    <mergeCell ref="M67:M69"/>
    <mergeCell ref="N67:N69"/>
    <mergeCell ref="O67:O79"/>
    <mergeCell ref="AW64:AW65"/>
    <mergeCell ref="AX64:AX65"/>
    <mergeCell ref="AK64:AK65"/>
    <mergeCell ref="U64:U65"/>
    <mergeCell ref="AL64:AL65"/>
    <mergeCell ref="Z67:Z79"/>
    <mergeCell ref="AA67:AA79"/>
    <mergeCell ref="AB67:AB79"/>
    <mergeCell ref="AC67:AC79"/>
    <mergeCell ref="AD67:AD79"/>
    <mergeCell ref="AE67:AE79"/>
    <mergeCell ref="AN67:AN79"/>
    <mergeCell ref="AO67:AO79"/>
    <mergeCell ref="AP67:AP79"/>
    <mergeCell ref="AQ67:AQ79"/>
    <mergeCell ref="AK67:AK79"/>
    <mergeCell ref="AP64:AP65"/>
    <mergeCell ref="Q64:Q65"/>
    <mergeCell ref="T64:T65"/>
    <mergeCell ref="BJ61:BJ65"/>
    <mergeCell ref="AZ61:AZ63"/>
    <mergeCell ref="BA61:BA63"/>
    <mergeCell ref="BB61:BB63"/>
    <mergeCell ref="U61:U63"/>
    <mergeCell ref="Z61:Z63"/>
    <mergeCell ref="AA61:AA63"/>
    <mergeCell ref="AB61:AB63"/>
    <mergeCell ref="AC61:AC63"/>
    <mergeCell ref="AD61:AD63"/>
    <mergeCell ref="AM64:AM65"/>
    <mergeCell ref="AN64:AN65"/>
    <mergeCell ref="AO64:AO65"/>
    <mergeCell ref="BD61:BD63"/>
    <mergeCell ref="BE61:BE63"/>
    <mergeCell ref="AP61:AP63"/>
    <mergeCell ref="AN61:AN63"/>
    <mergeCell ref="AO61:AO63"/>
    <mergeCell ref="BC61:BC63"/>
    <mergeCell ref="BC64:BC65"/>
    <mergeCell ref="BD64:BD65"/>
    <mergeCell ref="BE64:BE65"/>
    <mergeCell ref="J62:J63"/>
    <mergeCell ref="K62:K63"/>
    <mergeCell ref="L62:L63"/>
    <mergeCell ref="M62:M63"/>
    <mergeCell ref="N62:N63"/>
    <mergeCell ref="R62:R63"/>
    <mergeCell ref="AW61:AW63"/>
    <mergeCell ref="AX61:AX63"/>
    <mergeCell ref="AY61:AY63"/>
    <mergeCell ref="AQ61:AQ63"/>
    <mergeCell ref="AR61:AR63"/>
    <mergeCell ref="AS61:AS63"/>
    <mergeCell ref="AT61:AT63"/>
    <mergeCell ref="AU61:AU63"/>
    <mergeCell ref="AV61:AV63"/>
    <mergeCell ref="AK61:AK63"/>
    <mergeCell ref="AL61:AL63"/>
    <mergeCell ref="AM61:AM63"/>
    <mergeCell ref="AE61:AE63"/>
    <mergeCell ref="AF61:AF63"/>
    <mergeCell ref="AG61:AG63"/>
    <mergeCell ref="AH61:AH63"/>
    <mergeCell ref="AI61:AI63"/>
    <mergeCell ref="AJ61:AJ63"/>
    <mergeCell ref="BC57:BC59"/>
    <mergeCell ref="BD57:BD59"/>
    <mergeCell ref="J58:J59"/>
    <mergeCell ref="K58:K59"/>
    <mergeCell ref="L58:L59"/>
    <mergeCell ref="M58:M59"/>
    <mergeCell ref="N58:N59"/>
    <mergeCell ref="R58:R59"/>
    <mergeCell ref="AW57:AW59"/>
    <mergeCell ref="AX57:AX59"/>
    <mergeCell ref="AY57:AY59"/>
    <mergeCell ref="AZ57:AZ59"/>
    <mergeCell ref="BA57:BA59"/>
    <mergeCell ref="BB57:BB59"/>
    <mergeCell ref="AQ57:AQ59"/>
    <mergeCell ref="AR57:AR59"/>
    <mergeCell ref="AS57:AS59"/>
    <mergeCell ref="AT57:AT59"/>
    <mergeCell ref="AU57:AU59"/>
    <mergeCell ref="AV57:AV59"/>
    <mergeCell ref="AK57:AK59"/>
    <mergeCell ref="AL57:AL59"/>
    <mergeCell ref="AM57:AM59"/>
    <mergeCell ref="AN57:AN59"/>
    <mergeCell ref="AO57:AO59"/>
    <mergeCell ref="AP57:AP59"/>
    <mergeCell ref="AE57:AE59"/>
    <mergeCell ref="AF57:AF59"/>
    <mergeCell ref="AG57:AG59"/>
    <mergeCell ref="AH57:AH59"/>
    <mergeCell ref="AI57:AI59"/>
    <mergeCell ref="AJ57:AJ59"/>
    <mergeCell ref="U57:U59"/>
    <mergeCell ref="Z57:Z59"/>
    <mergeCell ref="AA57:AA59"/>
    <mergeCell ref="AB57:AB59"/>
    <mergeCell ref="AC57:AC59"/>
    <mergeCell ref="AD57:AD59"/>
    <mergeCell ref="BE53:BE59"/>
    <mergeCell ref="BJ53:BJ59"/>
    <mergeCell ref="J55:J56"/>
    <mergeCell ref="K55:K56"/>
    <mergeCell ref="L55:L56"/>
    <mergeCell ref="M55:M56"/>
    <mergeCell ref="N55:N56"/>
    <mergeCell ref="R55:R56"/>
    <mergeCell ref="S55:S56"/>
    <mergeCell ref="O57:O59"/>
    <mergeCell ref="AY53:AY56"/>
    <mergeCell ref="AZ53:AZ56"/>
    <mergeCell ref="BA53:BA56"/>
    <mergeCell ref="BB53:BB56"/>
    <mergeCell ref="BC53:BC56"/>
    <mergeCell ref="BD53:BD56"/>
    <mergeCell ref="AQ53:AQ56"/>
    <mergeCell ref="AR53:AR56"/>
    <mergeCell ref="AS53:AS56"/>
    <mergeCell ref="AT53:AT56"/>
    <mergeCell ref="AU53:AU56"/>
    <mergeCell ref="AW53:AW56"/>
    <mergeCell ref="AK53:AK56"/>
    <mergeCell ref="AL53:AL56"/>
    <mergeCell ref="AM53:AM56"/>
    <mergeCell ref="AN53:AN56"/>
    <mergeCell ref="AO53:AO56"/>
    <mergeCell ref="AP53:AP56"/>
    <mergeCell ref="AE53:AE56"/>
    <mergeCell ref="AF53:AF56"/>
    <mergeCell ref="AG53:AG56"/>
    <mergeCell ref="AH53:AH56"/>
    <mergeCell ref="AI53:AI56"/>
    <mergeCell ref="AJ53:AJ56"/>
    <mergeCell ref="U53:U56"/>
    <mergeCell ref="Z53:Z56"/>
    <mergeCell ref="AA53:AA56"/>
    <mergeCell ref="AB53:AB56"/>
    <mergeCell ref="AC53:AC56"/>
    <mergeCell ref="AD53:AD56"/>
    <mergeCell ref="D52:F92"/>
    <mergeCell ref="G53:I59"/>
    <mergeCell ref="O53:O56"/>
    <mergeCell ref="P53:P56"/>
    <mergeCell ref="Q53:Q56"/>
    <mergeCell ref="T53:T56"/>
    <mergeCell ref="P57:P59"/>
    <mergeCell ref="Q57:Q59"/>
    <mergeCell ref="S57:S59"/>
    <mergeCell ref="T57:T59"/>
    <mergeCell ref="G61:I65"/>
    <mergeCell ref="O61:O63"/>
    <mergeCell ref="P61:P63"/>
    <mergeCell ref="Q61:Q63"/>
    <mergeCell ref="S61:S63"/>
    <mergeCell ref="T61:T63"/>
    <mergeCell ref="O64:O65"/>
    <mergeCell ref="P64:P65"/>
    <mergeCell ref="BF45:BF46"/>
    <mergeCell ref="BG45:BG46"/>
    <mergeCell ref="BH45:BH46"/>
    <mergeCell ref="BI45:BI46"/>
    <mergeCell ref="J47:J50"/>
    <mergeCell ref="K47:K50"/>
    <mergeCell ref="L47:L50"/>
    <mergeCell ref="M47:M50"/>
    <mergeCell ref="N47:N50"/>
    <mergeCell ref="R47:R50"/>
    <mergeCell ref="AZ45:AZ50"/>
    <mergeCell ref="BA45:BA50"/>
    <mergeCell ref="BB45:BB50"/>
    <mergeCell ref="BC45:BC50"/>
    <mergeCell ref="BD45:BD50"/>
    <mergeCell ref="BE45:BE50"/>
    <mergeCell ref="AT45:AT50"/>
    <mergeCell ref="AU45:AU50"/>
    <mergeCell ref="AV45:AV50"/>
    <mergeCell ref="AW45:AW50"/>
    <mergeCell ref="AX45:AX50"/>
    <mergeCell ref="AY45:AY50"/>
    <mergeCell ref="AN45:AN50"/>
    <mergeCell ref="AO45:AO50"/>
    <mergeCell ref="AP45:AP50"/>
    <mergeCell ref="AQ45:AQ50"/>
    <mergeCell ref="AR45:AR50"/>
    <mergeCell ref="AS45:AS50"/>
    <mergeCell ref="AH45:AH50"/>
    <mergeCell ref="AI45:AI50"/>
    <mergeCell ref="AJ45:AJ50"/>
    <mergeCell ref="AK45:AK50"/>
    <mergeCell ref="AL45:AL50"/>
    <mergeCell ref="AM45:AM50"/>
    <mergeCell ref="AB45:AB50"/>
    <mergeCell ref="AC45:AC50"/>
    <mergeCell ref="AD45:AD50"/>
    <mergeCell ref="AE45:AE50"/>
    <mergeCell ref="AF45:AF50"/>
    <mergeCell ref="AG45:AG50"/>
    <mergeCell ref="V45:V46"/>
    <mergeCell ref="W45:W46"/>
    <mergeCell ref="X45:X46"/>
    <mergeCell ref="Y45:Y46"/>
    <mergeCell ref="Z45:Z50"/>
    <mergeCell ref="AA45:AA50"/>
    <mergeCell ref="P45:P50"/>
    <mergeCell ref="Q45:Q50"/>
    <mergeCell ref="R45:R46"/>
    <mergeCell ref="S45:S50"/>
    <mergeCell ref="T45:T50"/>
    <mergeCell ref="U45:U50"/>
    <mergeCell ref="J45:J46"/>
    <mergeCell ref="K45:K46"/>
    <mergeCell ref="L45:L46"/>
    <mergeCell ref="M45:M46"/>
    <mergeCell ref="N45:N46"/>
    <mergeCell ref="O45:O50"/>
    <mergeCell ref="BB33:BB44"/>
    <mergeCell ref="BC33:BC44"/>
    <mergeCell ref="BD33:BD44"/>
    <mergeCell ref="BE33:BE44"/>
    <mergeCell ref="BJ33:BJ50"/>
    <mergeCell ref="J43:J44"/>
    <mergeCell ref="K43:K44"/>
    <mergeCell ref="L43:L44"/>
    <mergeCell ref="M43:M44"/>
    <mergeCell ref="N43:N44"/>
    <mergeCell ref="AV33:AV44"/>
    <mergeCell ref="AW33:AW44"/>
    <mergeCell ref="AX33:AX44"/>
    <mergeCell ref="AY33:AY44"/>
    <mergeCell ref="AZ33:AZ44"/>
    <mergeCell ref="BA33:BA44"/>
    <mergeCell ref="AP33:AP44"/>
    <mergeCell ref="AQ33:AQ44"/>
    <mergeCell ref="AR33:AR44"/>
    <mergeCell ref="AS33:AS44"/>
    <mergeCell ref="AT33:AT44"/>
    <mergeCell ref="AU33:AU44"/>
    <mergeCell ref="AJ33:AJ44"/>
    <mergeCell ref="AK33:AK44"/>
    <mergeCell ref="AL33:AL44"/>
    <mergeCell ref="AM33:AM44"/>
    <mergeCell ref="AN33:AN44"/>
    <mergeCell ref="AO33:AO44"/>
    <mergeCell ref="AD33:AD44"/>
    <mergeCell ref="AE33:AE44"/>
    <mergeCell ref="AF33:AF44"/>
    <mergeCell ref="AG33:AG44"/>
    <mergeCell ref="AH33:AH44"/>
    <mergeCell ref="AI33:AI44"/>
    <mergeCell ref="T33:T44"/>
    <mergeCell ref="U33:U44"/>
    <mergeCell ref="Z33:Z44"/>
    <mergeCell ref="AA33:AA44"/>
    <mergeCell ref="AB33:AB44"/>
    <mergeCell ref="AC33:AC44"/>
    <mergeCell ref="M33:M39"/>
    <mergeCell ref="N33:N39"/>
    <mergeCell ref="P33:P44"/>
    <mergeCell ref="Q33:Q44"/>
    <mergeCell ref="R33:R39"/>
    <mergeCell ref="S33:S44"/>
    <mergeCell ref="R43:R44"/>
    <mergeCell ref="BC27:BC30"/>
    <mergeCell ref="BD27:BD30"/>
    <mergeCell ref="BE27:BE30"/>
    <mergeCell ref="BJ27:BJ30"/>
    <mergeCell ref="V29:V30"/>
    <mergeCell ref="D32:F50"/>
    <mergeCell ref="G33:I50"/>
    <mergeCell ref="J33:J39"/>
    <mergeCell ref="K33:K39"/>
    <mergeCell ref="L33:L39"/>
    <mergeCell ref="AW27:AW30"/>
    <mergeCell ref="AX27:AX30"/>
    <mergeCell ref="AY27:AY30"/>
    <mergeCell ref="AZ27:AZ30"/>
    <mergeCell ref="BA27:BA30"/>
    <mergeCell ref="BB27:BB30"/>
    <mergeCell ref="AQ27:AQ30"/>
    <mergeCell ref="AR27:AR30"/>
    <mergeCell ref="AS27:AS30"/>
    <mergeCell ref="AT27:AT30"/>
    <mergeCell ref="AU27:AU30"/>
    <mergeCell ref="AV27:AV30"/>
    <mergeCell ref="AK27:AK30"/>
    <mergeCell ref="AL27:AL30"/>
    <mergeCell ref="AM27:AM30"/>
    <mergeCell ref="AN27:AN30"/>
    <mergeCell ref="AO27:AO30"/>
    <mergeCell ref="AP27:AP30"/>
    <mergeCell ref="AE27:AE30"/>
    <mergeCell ref="AF27:AF30"/>
    <mergeCell ref="AG27:AG30"/>
    <mergeCell ref="AH27:AH30"/>
    <mergeCell ref="AI27:AI30"/>
    <mergeCell ref="AJ27:AJ30"/>
    <mergeCell ref="U27:U30"/>
    <mergeCell ref="Z27:Z30"/>
    <mergeCell ref="AA27:AA30"/>
    <mergeCell ref="AB27:AB30"/>
    <mergeCell ref="AC27:AC30"/>
    <mergeCell ref="AD27:AD30"/>
    <mergeCell ref="G27:I30"/>
    <mergeCell ref="O27:O30"/>
    <mergeCell ref="P27:P30"/>
    <mergeCell ref="Q27:Q30"/>
    <mergeCell ref="S27:S30"/>
    <mergeCell ref="T27:T30"/>
    <mergeCell ref="BJ13:BJ25"/>
    <mergeCell ref="J16:J17"/>
    <mergeCell ref="K16:K17"/>
    <mergeCell ref="L16:L17"/>
    <mergeCell ref="M16:M17"/>
    <mergeCell ref="N16:N17"/>
    <mergeCell ref="J18:J23"/>
    <mergeCell ref="K18:K23"/>
    <mergeCell ref="L18:L23"/>
    <mergeCell ref="M18:M23"/>
    <mergeCell ref="AZ13:AZ25"/>
    <mergeCell ref="BA13:BA25"/>
    <mergeCell ref="BB13:BB25"/>
    <mergeCell ref="BC13:BC25"/>
    <mergeCell ref="BD13:BD25"/>
    <mergeCell ref="BE13:BE25"/>
    <mergeCell ref="AT13:AT25"/>
    <mergeCell ref="AU13:AU25"/>
    <mergeCell ref="AV13:AV25"/>
    <mergeCell ref="AW13:AW25"/>
    <mergeCell ref="AX13:AX25"/>
    <mergeCell ref="AY13:AY25"/>
    <mergeCell ref="AN13:AN25"/>
    <mergeCell ref="AO13:AO25"/>
    <mergeCell ref="AP13:AP25"/>
    <mergeCell ref="AQ13:AQ25"/>
    <mergeCell ref="AR13:AR25"/>
    <mergeCell ref="AS13:AS25"/>
    <mergeCell ref="AH13:AH25"/>
    <mergeCell ref="AI13:AI25"/>
    <mergeCell ref="AJ13:AJ25"/>
    <mergeCell ref="AK13:AK25"/>
    <mergeCell ref="AL13:AL25"/>
    <mergeCell ref="AM13:AM25"/>
    <mergeCell ref="AC13:AC25"/>
    <mergeCell ref="AD13:AD25"/>
    <mergeCell ref="AE13:AE25"/>
    <mergeCell ref="AF13:AF25"/>
    <mergeCell ref="AG13:AG25"/>
    <mergeCell ref="P13:P25"/>
    <mergeCell ref="Q13:Q25"/>
    <mergeCell ref="R13:R14"/>
    <mergeCell ref="S13:S25"/>
    <mergeCell ref="T13:T25"/>
    <mergeCell ref="U13:U25"/>
    <mergeCell ref="R18:R23"/>
    <mergeCell ref="R24:R25"/>
    <mergeCell ref="W7:Y8"/>
    <mergeCell ref="Z7:Z9"/>
    <mergeCell ref="AA7:AA9"/>
    <mergeCell ref="Q7:Q9"/>
    <mergeCell ref="R7:R9"/>
    <mergeCell ref="S7:S9"/>
    <mergeCell ref="T7:T9"/>
    <mergeCell ref="U7:U9"/>
    <mergeCell ref="AB13:AB25"/>
    <mergeCell ref="R16:R17"/>
    <mergeCell ref="A11:C92"/>
    <mergeCell ref="D12:F30"/>
    <mergeCell ref="G13:I25"/>
    <mergeCell ref="J13:J14"/>
    <mergeCell ref="K13:K14"/>
    <mergeCell ref="L13:L14"/>
    <mergeCell ref="M13:M14"/>
    <mergeCell ref="N13:N14"/>
    <mergeCell ref="O13:O15"/>
    <mergeCell ref="N18:N23"/>
    <mergeCell ref="O20:O25"/>
    <mergeCell ref="J24:J25"/>
    <mergeCell ref="K24:K25"/>
    <mergeCell ref="L24:L25"/>
    <mergeCell ref="M24:M25"/>
    <mergeCell ref="N24:N25"/>
    <mergeCell ref="K75:K76"/>
    <mergeCell ref="L75:L76"/>
    <mergeCell ref="M75:M76"/>
    <mergeCell ref="N75:N76"/>
    <mergeCell ref="J78:J79"/>
    <mergeCell ref="K78:K79"/>
    <mergeCell ref="L78:L79"/>
    <mergeCell ref="M78:M79"/>
    <mergeCell ref="AF8:AG8"/>
    <mergeCell ref="AH8:AI8"/>
    <mergeCell ref="AJ8:AK8"/>
    <mergeCell ref="AL8:AM8"/>
    <mergeCell ref="AN8:AO8"/>
    <mergeCell ref="AB7:AM7"/>
    <mergeCell ref="AN7:AY7"/>
    <mergeCell ref="AZ7:BE7"/>
    <mergeCell ref="AP8:AQ8"/>
    <mergeCell ref="AR8:AS8"/>
    <mergeCell ref="AT8:AU8"/>
    <mergeCell ref="AV8:AW8"/>
    <mergeCell ref="BE8:BE9"/>
    <mergeCell ref="AX8:AY8"/>
    <mergeCell ref="AZ8:AZ9"/>
    <mergeCell ref="BA8:BA9"/>
    <mergeCell ref="BB8:BB9"/>
    <mergeCell ref="BC8:BC9"/>
    <mergeCell ref="BD8:BD9"/>
    <mergeCell ref="A1:BF4"/>
    <mergeCell ref="A5:M6"/>
    <mergeCell ref="Q5:BJ5"/>
    <mergeCell ref="Q6:AA6"/>
    <mergeCell ref="AB6:AY6"/>
    <mergeCell ref="BF6:BJ6"/>
    <mergeCell ref="V7:V9"/>
    <mergeCell ref="J7:J9"/>
    <mergeCell ref="K7:K9"/>
    <mergeCell ref="L7:L9"/>
    <mergeCell ref="M7:N8"/>
    <mergeCell ref="O7:O9"/>
    <mergeCell ref="P7:P9"/>
    <mergeCell ref="A7:A9"/>
    <mergeCell ref="B7:C9"/>
    <mergeCell ref="D7:D9"/>
    <mergeCell ref="E7:F9"/>
    <mergeCell ref="G7:G9"/>
    <mergeCell ref="H7:I9"/>
    <mergeCell ref="BF7:BG8"/>
    <mergeCell ref="BH7:BI8"/>
    <mergeCell ref="BJ7:BJ9"/>
    <mergeCell ref="AB8:AC8"/>
    <mergeCell ref="AD8:AE8"/>
  </mergeCells>
  <printOptions/>
  <pageMargins left="0.7" right="0.7" top="0.75" bottom="0.75" header="0.3" footer="0.3"/>
  <pageSetup horizontalDpi="600" verticalDpi="600" orientation="landscape" paperSize="190" scale="34" r:id="rId2"/>
  <rowBreaks count="1" manualBreakCount="1">
    <brk id="90" max="38" man="1"/>
  </rowBreaks>
  <colBreaks count="1" manualBreakCount="1">
    <brk id="62" max="65535" man="1"/>
  </colBreaks>
  <drawing r:id="rId1"/>
</worksheet>
</file>

<file path=xl/worksheets/sheet6.xml><?xml version="1.0" encoding="utf-8"?>
<worksheet xmlns="http://schemas.openxmlformats.org/spreadsheetml/2006/main" xmlns:r="http://schemas.openxmlformats.org/officeDocument/2006/relationships">
  <dimension ref="A1:BK92"/>
  <sheetViews>
    <sheetView zoomScale="55" zoomScaleNormal="55" zoomScalePageLayoutView="0" workbookViewId="0" topLeftCell="AS1">
      <selection activeCell="BJ1" sqref="BJ1"/>
    </sheetView>
  </sheetViews>
  <sheetFormatPr defaultColWidth="11.421875" defaultRowHeight="15"/>
  <cols>
    <col min="1" max="1" width="13.00390625" style="3" customWidth="1"/>
    <col min="2" max="2" width="4.00390625" style="3" customWidth="1"/>
    <col min="3" max="3" width="18.57421875" style="3" customWidth="1"/>
    <col min="4" max="4" width="13.8515625" style="3" customWidth="1"/>
    <col min="5" max="5" width="7.421875" style="3" customWidth="1"/>
    <col min="6" max="6" width="13.28125" style="3" customWidth="1"/>
    <col min="7" max="7" width="14.140625" style="3" customWidth="1"/>
    <col min="8" max="8" width="7.8515625" style="3" customWidth="1"/>
    <col min="9" max="9" width="6.8515625" style="3" customWidth="1"/>
    <col min="10" max="10" width="9.28125" style="3" customWidth="1"/>
    <col min="11" max="11" width="26.57421875" style="7" customWidth="1"/>
    <col min="12" max="12" width="16.7109375" style="3" customWidth="1"/>
    <col min="13" max="13" width="12.28125" style="23" customWidth="1"/>
    <col min="14" max="14" width="12.28125" style="844" customWidth="1"/>
    <col min="15" max="15" width="21.7109375" style="3" customWidth="1"/>
    <col min="16" max="16" width="14.28125" style="3" customWidth="1"/>
    <col min="17" max="17" width="22.57421875" style="6" customWidth="1"/>
    <col min="18" max="18" width="16.8515625" style="478" customWidth="1"/>
    <col min="19" max="19" width="21.140625" style="31" customWidth="1"/>
    <col min="20" max="20" width="25.7109375" style="3" customWidth="1"/>
    <col min="21" max="21" width="31.57421875" style="3" customWidth="1"/>
    <col min="22" max="22" width="27.8515625" style="7" customWidth="1"/>
    <col min="23" max="23" width="25.8515625" style="845" customWidth="1"/>
    <col min="24" max="25" width="25.8515625" style="463" customWidth="1"/>
    <col min="26" max="26" width="13.7109375" style="8" customWidth="1"/>
    <col min="27" max="27" width="25.421875" style="7" customWidth="1"/>
    <col min="28" max="28" width="10.421875" style="4" customWidth="1"/>
    <col min="29" max="29" width="10.421875" style="125" customWidth="1"/>
    <col min="30" max="30" width="10.421875" style="4" customWidth="1"/>
    <col min="31" max="31" width="10.421875" style="125" customWidth="1"/>
    <col min="32" max="32" width="10.421875" style="4" customWidth="1"/>
    <col min="33" max="33" width="10.421875" style="125" customWidth="1"/>
    <col min="34" max="34" width="10.421875" style="4" customWidth="1"/>
    <col min="35" max="35" width="10.421875" style="125" customWidth="1"/>
    <col min="36" max="36" width="10.421875" style="4" customWidth="1"/>
    <col min="37" max="37" width="10.421875" style="125" customWidth="1"/>
    <col min="38" max="38" width="10.421875" style="4" customWidth="1"/>
    <col min="39" max="39" width="10.421875" style="125" customWidth="1"/>
    <col min="40" max="40" width="10.421875" style="4" customWidth="1"/>
    <col min="41" max="41" width="10.421875" style="125" customWidth="1"/>
    <col min="42" max="42" width="10.421875" style="4" customWidth="1"/>
    <col min="43" max="43" width="10.7109375" style="125" customWidth="1"/>
    <col min="44" max="44" width="11.57421875" style="4" customWidth="1"/>
    <col min="45" max="45" width="11.57421875" style="125" customWidth="1"/>
    <col min="46" max="46" width="10.421875" style="4" customWidth="1"/>
    <col min="47" max="47" width="10.421875" style="125" customWidth="1"/>
    <col min="48" max="48" width="13.28125" style="4" customWidth="1"/>
    <col min="49" max="49" width="13.28125" style="125" customWidth="1"/>
    <col min="50" max="50" width="13.57421875" style="4" customWidth="1"/>
    <col min="51" max="51" width="13.57421875" style="125" customWidth="1"/>
    <col min="52" max="52" width="22.421875" style="787" customWidth="1"/>
    <col min="53" max="53" width="28.140625" style="787" customWidth="1"/>
    <col min="54" max="54" width="22.421875" style="787" customWidth="1"/>
    <col min="55" max="56" width="19.00390625" style="787" customWidth="1"/>
    <col min="57" max="57" width="21.57421875" style="787" customWidth="1"/>
    <col min="58" max="58" width="22.7109375" style="21" customWidth="1"/>
    <col min="59" max="59" width="22.7109375" style="482" customWidth="1"/>
    <col min="60" max="60" width="22.7109375" style="22" customWidth="1"/>
    <col min="61" max="61" width="22.7109375" style="483" customWidth="1"/>
    <col min="62" max="62" width="28.7109375" style="223" customWidth="1"/>
    <col min="63" max="16384" width="11.421875" style="20" customWidth="1"/>
  </cols>
  <sheetData>
    <row r="1" spans="1:62" s="4" customFormat="1" ht="21" customHeight="1">
      <c r="A1" s="3322" t="s">
        <v>110</v>
      </c>
      <c r="B1" s="3322"/>
      <c r="C1" s="3322"/>
      <c r="D1" s="3322"/>
      <c r="E1" s="3322"/>
      <c r="F1" s="3322"/>
      <c r="G1" s="3322"/>
      <c r="H1" s="3322"/>
      <c r="I1" s="3322"/>
      <c r="J1" s="3322"/>
      <c r="K1" s="3322"/>
      <c r="L1" s="3322"/>
      <c r="M1" s="3322"/>
      <c r="N1" s="3322"/>
      <c r="O1" s="3322"/>
      <c r="P1" s="3322"/>
      <c r="Q1" s="3322"/>
      <c r="R1" s="3322"/>
      <c r="S1" s="3322"/>
      <c r="T1" s="3322"/>
      <c r="U1" s="3322"/>
      <c r="V1" s="3322"/>
      <c r="W1" s="3322"/>
      <c r="X1" s="3322"/>
      <c r="Y1" s="3322"/>
      <c r="Z1" s="3322"/>
      <c r="AA1" s="3322"/>
      <c r="AB1" s="3322"/>
      <c r="AC1" s="3322"/>
      <c r="AD1" s="3322"/>
      <c r="AE1" s="3322"/>
      <c r="AF1" s="3322"/>
      <c r="AG1" s="3322"/>
      <c r="AH1" s="3322"/>
      <c r="AI1" s="3322"/>
      <c r="AJ1" s="3322"/>
      <c r="AK1" s="3322"/>
      <c r="AL1" s="3322"/>
      <c r="AM1" s="3322"/>
      <c r="AN1" s="3322"/>
      <c r="AO1" s="3322"/>
      <c r="AP1" s="3322"/>
      <c r="AQ1" s="3322"/>
      <c r="AR1" s="3322"/>
      <c r="AS1" s="3322"/>
      <c r="AT1" s="3322"/>
      <c r="AU1" s="3322"/>
      <c r="AV1" s="3322"/>
      <c r="AW1" s="3322"/>
      <c r="AX1" s="3322"/>
      <c r="AY1" s="3322"/>
      <c r="AZ1" s="3322"/>
      <c r="BA1" s="3322"/>
      <c r="BB1" s="3322"/>
      <c r="BC1" s="3322"/>
      <c r="BD1" s="3322"/>
      <c r="BE1" s="3322"/>
      <c r="BF1" s="3322"/>
      <c r="BG1" s="637"/>
      <c r="BI1" s="2633" t="s">
        <v>97</v>
      </c>
      <c r="BJ1" s="2633" t="s">
        <v>112</v>
      </c>
    </row>
    <row r="2" spans="1:62" s="4" customFormat="1" ht="21" customHeight="1">
      <c r="A2" s="3322"/>
      <c r="B2" s="3322"/>
      <c r="C2" s="3322"/>
      <c r="D2" s="3322"/>
      <c r="E2" s="3322"/>
      <c r="F2" s="3322"/>
      <c r="G2" s="3322"/>
      <c r="H2" s="3322"/>
      <c r="I2" s="3322"/>
      <c r="J2" s="3322"/>
      <c r="K2" s="3322"/>
      <c r="L2" s="3322"/>
      <c r="M2" s="3322"/>
      <c r="N2" s="3322"/>
      <c r="O2" s="3322"/>
      <c r="P2" s="3322"/>
      <c r="Q2" s="3322"/>
      <c r="R2" s="3322"/>
      <c r="S2" s="3322"/>
      <c r="T2" s="3322"/>
      <c r="U2" s="3322"/>
      <c r="V2" s="3322"/>
      <c r="W2" s="3322"/>
      <c r="X2" s="3322"/>
      <c r="Y2" s="3322"/>
      <c r="Z2" s="3322"/>
      <c r="AA2" s="3322"/>
      <c r="AB2" s="3322"/>
      <c r="AC2" s="3322"/>
      <c r="AD2" s="3322"/>
      <c r="AE2" s="3322"/>
      <c r="AF2" s="3322"/>
      <c r="AG2" s="3322"/>
      <c r="AH2" s="3322"/>
      <c r="AI2" s="3322"/>
      <c r="AJ2" s="3322"/>
      <c r="AK2" s="3322"/>
      <c r="AL2" s="3322"/>
      <c r="AM2" s="3322"/>
      <c r="AN2" s="3322"/>
      <c r="AO2" s="3322"/>
      <c r="AP2" s="3322"/>
      <c r="AQ2" s="3322"/>
      <c r="AR2" s="3322"/>
      <c r="AS2" s="3322"/>
      <c r="AT2" s="3322"/>
      <c r="AU2" s="3322"/>
      <c r="AV2" s="3322"/>
      <c r="AW2" s="3322"/>
      <c r="AX2" s="3322"/>
      <c r="AY2" s="3322"/>
      <c r="AZ2" s="3322"/>
      <c r="BA2" s="3322"/>
      <c r="BB2" s="3322"/>
      <c r="BC2" s="3322"/>
      <c r="BD2" s="3322"/>
      <c r="BE2" s="3322"/>
      <c r="BF2" s="3322"/>
      <c r="BG2" s="637"/>
      <c r="BI2" s="2634" t="s">
        <v>98</v>
      </c>
      <c r="BJ2" s="2635">
        <v>5</v>
      </c>
    </row>
    <row r="3" spans="1:62" s="4" customFormat="1" ht="21" customHeight="1">
      <c r="A3" s="3322"/>
      <c r="B3" s="3322"/>
      <c r="C3" s="3322"/>
      <c r="D3" s="3322"/>
      <c r="E3" s="3322"/>
      <c r="F3" s="3322"/>
      <c r="G3" s="3322"/>
      <c r="H3" s="3322"/>
      <c r="I3" s="3322"/>
      <c r="J3" s="3322"/>
      <c r="K3" s="3322"/>
      <c r="L3" s="3322"/>
      <c r="M3" s="3322"/>
      <c r="N3" s="3322"/>
      <c r="O3" s="3322"/>
      <c r="P3" s="3322"/>
      <c r="Q3" s="3322"/>
      <c r="R3" s="3322"/>
      <c r="S3" s="3322"/>
      <c r="T3" s="3322"/>
      <c r="U3" s="3322"/>
      <c r="V3" s="3322"/>
      <c r="W3" s="3322"/>
      <c r="X3" s="3322"/>
      <c r="Y3" s="3322"/>
      <c r="Z3" s="3322"/>
      <c r="AA3" s="3322"/>
      <c r="AB3" s="3322"/>
      <c r="AC3" s="3322"/>
      <c r="AD3" s="3322"/>
      <c r="AE3" s="3322"/>
      <c r="AF3" s="3322"/>
      <c r="AG3" s="3322"/>
      <c r="AH3" s="3322"/>
      <c r="AI3" s="3322"/>
      <c r="AJ3" s="3322"/>
      <c r="AK3" s="3322"/>
      <c r="AL3" s="3322"/>
      <c r="AM3" s="3322"/>
      <c r="AN3" s="3322"/>
      <c r="AO3" s="3322"/>
      <c r="AP3" s="3322"/>
      <c r="AQ3" s="3322"/>
      <c r="AR3" s="3322"/>
      <c r="AS3" s="3322"/>
      <c r="AT3" s="3322"/>
      <c r="AU3" s="3322"/>
      <c r="AV3" s="3322"/>
      <c r="AW3" s="3322"/>
      <c r="AX3" s="3322"/>
      <c r="AY3" s="3322"/>
      <c r="AZ3" s="3322"/>
      <c r="BA3" s="3322"/>
      <c r="BB3" s="3322"/>
      <c r="BC3" s="3322"/>
      <c r="BD3" s="3322"/>
      <c r="BE3" s="3322"/>
      <c r="BF3" s="3322"/>
      <c r="BG3" s="637"/>
      <c r="BI3" s="2633" t="s">
        <v>99</v>
      </c>
      <c r="BJ3" s="2636" t="s">
        <v>2149</v>
      </c>
    </row>
    <row r="4" spans="1:62" s="4" customFormat="1" ht="21" customHeight="1">
      <c r="A4" s="3790"/>
      <c r="B4" s="3790"/>
      <c r="C4" s="3790"/>
      <c r="D4" s="3790"/>
      <c r="E4" s="3790"/>
      <c r="F4" s="3790"/>
      <c r="G4" s="3790"/>
      <c r="H4" s="3790"/>
      <c r="I4" s="3790"/>
      <c r="J4" s="3790"/>
      <c r="K4" s="3790"/>
      <c r="L4" s="3790"/>
      <c r="M4" s="3790"/>
      <c r="N4" s="3790"/>
      <c r="O4" s="3790"/>
      <c r="P4" s="3790"/>
      <c r="Q4" s="3790"/>
      <c r="R4" s="3790"/>
      <c r="S4" s="3790"/>
      <c r="T4" s="3790"/>
      <c r="U4" s="3790"/>
      <c r="V4" s="3790"/>
      <c r="W4" s="3790"/>
      <c r="X4" s="3790"/>
      <c r="Y4" s="3790"/>
      <c r="Z4" s="3790"/>
      <c r="AA4" s="3790"/>
      <c r="AB4" s="3790"/>
      <c r="AC4" s="3790"/>
      <c r="AD4" s="3790"/>
      <c r="AE4" s="3790"/>
      <c r="AF4" s="3790"/>
      <c r="AG4" s="3790"/>
      <c r="AH4" s="3790"/>
      <c r="AI4" s="3790"/>
      <c r="AJ4" s="3790"/>
      <c r="AK4" s="3790"/>
      <c r="AL4" s="3790"/>
      <c r="AM4" s="3790"/>
      <c r="AN4" s="3790"/>
      <c r="AO4" s="3790"/>
      <c r="AP4" s="3790"/>
      <c r="AQ4" s="3790"/>
      <c r="AR4" s="3790"/>
      <c r="AS4" s="3790"/>
      <c r="AT4" s="3790"/>
      <c r="AU4" s="3790"/>
      <c r="AV4" s="3790"/>
      <c r="AW4" s="3790"/>
      <c r="AX4" s="3790"/>
      <c r="AY4" s="3790"/>
      <c r="AZ4" s="3790"/>
      <c r="BA4" s="3790"/>
      <c r="BB4" s="3790"/>
      <c r="BC4" s="3790"/>
      <c r="BD4" s="3790"/>
      <c r="BE4" s="3790"/>
      <c r="BF4" s="3790"/>
      <c r="BG4" s="124"/>
      <c r="BI4" s="842" t="s">
        <v>100</v>
      </c>
      <c r="BJ4" s="2637" t="s">
        <v>113</v>
      </c>
    </row>
    <row r="5" spans="1:62" s="4" customFormat="1" ht="15">
      <c r="A5" s="3049" t="s">
        <v>0</v>
      </c>
      <c r="B5" s="3049"/>
      <c r="C5" s="3049"/>
      <c r="D5" s="3049"/>
      <c r="E5" s="3049"/>
      <c r="F5" s="3049"/>
      <c r="G5" s="3049"/>
      <c r="H5" s="3049"/>
      <c r="I5" s="3049"/>
      <c r="J5" s="3049"/>
      <c r="K5" s="3049"/>
      <c r="L5" s="3049"/>
      <c r="M5" s="3049"/>
      <c r="N5" s="2834"/>
      <c r="O5" s="2834"/>
      <c r="P5" s="2834"/>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c r="BH5" s="3049"/>
      <c r="BI5" s="3049"/>
      <c r="BJ5" s="3049"/>
    </row>
    <row r="6" spans="1:62" s="4" customFormat="1" ht="14.25" customHeight="1">
      <c r="A6" s="3049"/>
      <c r="B6" s="3049"/>
      <c r="C6" s="3049"/>
      <c r="D6" s="3049"/>
      <c r="E6" s="3049"/>
      <c r="F6" s="3049"/>
      <c r="G6" s="3049"/>
      <c r="H6" s="3049"/>
      <c r="I6" s="3049"/>
      <c r="J6" s="3049"/>
      <c r="K6" s="3049"/>
      <c r="L6" s="3049"/>
      <c r="M6" s="3049"/>
      <c r="N6" s="2834"/>
      <c r="O6" s="2834"/>
      <c r="P6" s="2835"/>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2836"/>
      <c r="BA6" s="2836"/>
      <c r="BB6" s="2836"/>
      <c r="BC6" s="2836"/>
      <c r="BD6" s="2836"/>
      <c r="BE6" s="2836"/>
      <c r="BF6" s="3050"/>
      <c r="BG6" s="3051"/>
      <c r="BH6" s="3051"/>
      <c r="BI6" s="3051"/>
      <c r="BJ6" s="3052"/>
    </row>
    <row r="7" spans="1:62" s="4" customFormat="1" ht="28.5" customHeight="1" hidden="1">
      <c r="A7" s="3053" t="s">
        <v>3</v>
      </c>
      <c r="B7" s="3053" t="s">
        <v>4</v>
      </c>
      <c r="C7" s="3053"/>
      <c r="D7" s="3053" t="s">
        <v>3</v>
      </c>
      <c r="E7" s="3053" t="s">
        <v>5</v>
      </c>
      <c r="F7" s="3053"/>
      <c r="G7" s="3053" t="s">
        <v>3</v>
      </c>
      <c r="H7" s="3053" t="s">
        <v>6</v>
      </c>
      <c r="I7" s="3053"/>
      <c r="J7" s="3053" t="s">
        <v>3</v>
      </c>
      <c r="K7" s="3053" t="s">
        <v>7</v>
      </c>
      <c r="L7" s="3053" t="s">
        <v>8</v>
      </c>
      <c r="M7" s="3053" t="s">
        <v>9</v>
      </c>
      <c r="N7" s="3053"/>
      <c r="O7" s="3053" t="s">
        <v>10</v>
      </c>
      <c r="P7" s="3053" t="s">
        <v>3</v>
      </c>
      <c r="Q7" s="3053" t="s">
        <v>1</v>
      </c>
      <c r="R7" s="3053" t="s">
        <v>11</v>
      </c>
      <c r="S7" s="3791" t="s">
        <v>12</v>
      </c>
      <c r="T7" s="3053" t="s">
        <v>13</v>
      </c>
      <c r="U7" s="3053" t="s">
        <v>14</v>
      </c>
      <c r="V7" s="3053" t="s">
        <v>15</v>
      </c>
      <c r="W7" s="3791" t="s">
        <v>12</v>
      </c>
      <c r="X7" s="3791"/>
      <c r="Y7" s="3791"/>
      <c r="Z7" s="3056" t="s">
        <v>3</v>
      </c>
      <c r="AA7" s="3053" t="s">
        <v>16</v>
      </c>
      <c r="AB7" s="3788" t="s">
        <v>17</v>
      </c>
      <c r="AC7" s="3788"/>
      <c r="AD7" s="3788"/>
      <c r="AE7" s="3788"/>
      <c r="AF7" s="3788"/>
      <c r="AG7" s="3788"/>
      <c r="AH7" s="3788"/>
      <c r="AI7" s="3788"/>
      <c r="AJ7" s="3788"/>
      <c r="AK7" s="3788"/>
      <c r="AL7" s="3788"/>
      <c r="AM7" s="3788"/>
      <c r="AN7" s="3788" t="s">
        <v>18</v>
      </c>
      <c r="AO7" s="3788"/>
      <c r="AP7" s="3788"/>
      <c r="AQ7" s="3788"/>
      <c r="AR7" s="3788"/>
      <c r="AS7" s="3788"/>
      <c r="AT7" s="3788"/>
      <c r="AU7" s="3788"/>
      <c r="AV7" s="3788"/>
      <c r="AW7" s="3788"/>
      <c r="AX7" s="3788"/>
      <c r="AY7" s="3788"/>
      <c r="AZ7" s="3789" t="s">
        <v>119</v>
      </c>
      <c r="BA7" s="3789"/>
      <c r="BB7" s="3789"/>
      <c r="BC7" s="3789"/>
      <c r="BD7" s="3789"/>
      <c r="BE7" s="3789"/>
      <c r="BF7" s="3317" t="s">
        <v>19</v>
      </c>
      <c r="BG7" s="3317"/>
      <c r="BH7" s="3317" t="s">
        <v>20</v>
      </c>
      <c r="BI7" s="3317"/>
      <c r="BJ7" s="3056" t="s">
        <v>21</v>
      </c>
    </row>
    <row r="8" spans="1:62" s="4" customFormat="1" ht="28.5" customHeight="1" hidden="1">
      <c r="A8" s="3053"/>
      <c r="B8" s="3053"/>
      <c r="C8" s="3053"/>
      <c r="D8" s="3053"/>
      <c r="E8" s="3053"/>
      <c r="F8" s="3053"/>
      <c r="G8" s="3053"/>
      <c r="H8" s="3053"/>
      <c r="I8" s="3053"/>
      <c r="J8" s="3053"/>
      <c r="K8" s="3053"/>
      <c r="L8" s="3053"/>
      <c r="M8" s="3053"/>
      <c r="N8" s="3053"/>
      <c r="O8" s="3053"/>
      <c r="P8" s="3053"/>
      <c r="Q8" s="3053"/>
      <c r="R8" s="3053"/>
      <c r="S8" s="3791"/>
      <c r="T8" s="3053"/>
      <c r="U8" s="3053"/>
      <c r="V8" s="3053"/>
      <c r="W8" s="3791"/>
      <c r="X8" s="3791"/>
      <c r="Y8" s="3791"/>
      <c r="Z8" s="3056"/>
      <c r="AA8" s="3053"/>
      <c r="AB8" s="2609"/>
      <c r="AC8" s="789"/>
      <c r="AD8" s="2609"/>
      <c r="AE8" s="789"/>
      <c r="AF8" s="2609"/>
      <c r="AG8" s="789"/>
      <c r="AH8" s="2609"/>
      <c r="AI8" s="789"/>
      <c r="AJ8" s="2609"/>
      <c r="AK8" s="789"/>
      <c r="AL8" s="2609"/>
      <c r="AM8" s="789"/>
      <c r="AN8" s="2609"/>
      <c r="AO8" s="789"/>
      <c r="AP8" s="2609"/>
      <c r="AQ8" s="789"/>
      <c r="AR8" s="2609"/>
      <c r="AS8" s="789"/>
      <c r="AT8" s="2609"/>
      <c r="AU8" s="789"/>
      <c r="AV8" s="2609"/>
      <c r="AW8" s="789"/>
      <c r="AX8" s="2609"/>
      <c r="AY8" s="789"/>
      <c r="AZ8" s="2610"/>
      <c r="BA8" s="2610"/>
      <c r="BB8" s="2610"/>
      <c r="BC8" s="2610"/>
      <c r="BD8" s="2610"/>
      <c r="BE8" s="2610"/>
      <c r="BF8" s="3317"/>
      <c r="BG8" s="3317"/>
      <c r="BH8" s="3317"/>
      <c r="BI8" s="3317"/>
      <c r="BJ8" s="3056"/>
    </row>
    <row r="9" spans="1:62" s="4" customFormat="1" ht="28.5" customHeight="1" hidden="1">
      <c r="A9" s="3053"/>
      <c r="B9" s="3053"/>
      <c r="C9" s="3053"/>
      <c r="D9" s="3053"/>
      <c r="E9" s="3053"/>
      <c r="F9" s="3053"/>
      <c r="G9" s="3053"/>
      <c r="H9" s="3053"/>
      <c r="I9" s="3053"/>
      <c r="J9" s="3053"/>
      <c r="K9" s="3053"/>
      <c r="L9" s="3053"/>
      <c r="M9" s="3053"/>
      <c r="N9" s="3053"/>
      <c r="O9" s="3053"/>
      <c r="P9" s="3053"/>
      <c r="Q9" s="3053"/>
      <c r="R9" s="3053"/>
      <c r="S9" s="3791"/>
      <c r="T9" s="3053"/>
      <c r="U9" s="3053"/>
      <c r="V9" s="3053"/>
      <c r="W9" s="3791"/>
      <c r="X9" s="3791"/>
      <c r="Y9" s="3791"/>
      <c r="Z9" s="3056"/>
      <c r="AA9" s="3053"/>
      <c r="AB9" s="2609"/>
      <c r="AC9" s="789"/>
      <c r="AD9" s="2609"/>
      <c r="AE9" s="789"/>
      <c r="AF9" s="2609"/>
      <c r="AG9" s="789"/>
      <c r="AH9" s="2609"/>
      <c r="AI9" s="789"/>
      <c r="AJ9" s="2609"/>
      <c r="AK9" s="789"/>
      <c r="AL9" s="2609"/>
      <c r="AM9" s="789"/>
      <c r="AN9" s="2609"/>
      <c r="AO9" s="789"/>
      <c r="AP9" s="2609"/>
      <c r="AQ9" s="789"/>
      <c r="AR9" s="2609"/>
      <c r="AS9" s="789"/>
      <c r="AT9" s="2609"/>
      <c r="AU9" s="789"/>
      <c r="AV9" s="2609"/>
      <c r="AW9" s="789"/>
      <c r="AX9" s="2609"/>
      <c r="AY9" s="789"/>
      <c r="AZ9" s="2610"/>
      <c r="BA9" s="2610"/>
      <c r="BB9" s="2610"/>
      <c r="BC9" s="2610"/>
      <c r="BD9" s="2610"/>
      <c r="BE9" s="2610"/>
      <c r="BF9" s="3317"/>
      <c r="BG9" s="3317"/>
      <c r="BH9" s="3317"/>
      <c r="BI9" s="3317"/>
      <c r="BJ9" s="3056"/>
    </row>
    <row r="10" spans="1:62" s="4" customFormat="1" ht="28.5" customHeight="1" hidden="1">
      <c r="A10" s="3053"/>
      <c r="B10" s="3053"/>
      <c r="C10" s="3053"/>
      <c r="D10" s="3053"/>
      <c r="E10" s="3053"/>
      <c r="F10" s="3053"/>
      <c r="G10" s="3053"/>
      <c r="H10" s="3053"/>
      <c r="I10" s="3053"/>
      <c r="J10" s="3053"/>
      <c r="K10" s="3053"/>
      <c r="L10" s="3053"/>
      <c r="M10" s="3053"/>
      <c r="N10" s="3053"/>
      <c r="O10" s="3053"/>
      <c r="P10" s="3053"/>
      <c r="Q10" s="3053"/>
      <c r="R10" s="3053"/>
      <c r="S10" s="3791"/>
      <c r="T10" s="3053"/>
      <c r="U10" s="3053"/>
      <c r="V10" s="3053"/>
      <c r="W10" s="3791"/>
      <c r="X10" s="3791"/>
      <c r="Y10" s="3791"/>
      <c r="Z10" s="3056"/>
      <c r="AA10" s="3053"/>
      <c r="AB10" s="2609"/>
      <c r="AC10" s="789"/>
      <c r="AD10" s="2609"/>
      <c r="AE10" s="789"/>
      <c r="AF10" s="2609"/>
      <c r="AG10" s="789"/>
      <c r="AH10" s="2609"/>
      <c r="AI10" s="789"/>
      <c r="AJ10" s="2609"/>
      <c r="AK10" s="789"/>
      <c r="AL10" s="2609"/>
      <c r="AM10" s="789"/>
      <c r="AN10" s="2609"/>
      <c r="AO10" s="789"/>
      <c r="AP10" s="2609"/>
      <c r="AQ10" s="789"/>
      <c r="AR10" s="2609"/>
      <c r="AS10" s="789"/>
      <c r="AT10" s="2609"/>
      <c r="AU10" s="789"/>
      <c r="AV10" s="2609"/>
      <c r="AW10" s="789"/>
      <c r="AX10" s="2609"/>
      <c r="AY10" s="789"/>
      <c r="AZ10" s="2610"/>
      <c r="BA10" s="2610"/>
      <c r="BB10" s="2610"/>
      <c r="BC10" s="2610"/>
      <c r="BD10" s="2610"/>
      <c r="BE10" s="2610"/>
      <c r="BF10" s="3317"/>
      <c r="BG10" s="3317"/>
      <c r="BH10" s="3317"/>
      <c r="BI10" s="3317"/>
      <c r="BJ10" s="3056"/>
    </row>
    <row r="11" spans="1:62" s="4" customFormat="1" ht="28.5" customHeight="1" hidden="1">
      <c r="A11" s="3053"/>
      <c r="B11" s="3053"/>
      <c r="C11" s="3053"/>
      <c r="D11" s="3053"/>
      <c r="E11" s="3053"/>
      <c r="F11" s="3053"/>
      <c r="G11" s="3053"/>
      <c r="H11" s="3053"/>
      <c r="I11" s="3053"/>
      <c r="J11" s="3053"/>
      <c r="K11" s="3053"/>
      <c r="L11" s="3053"/>
      <c r="M11" s="3053"/>
      <c r="N11" s="3053"/>
      <c r="O11" s="3053"/>
      <c r="P11" s="3053"/>
      <c r="Q11" s="3053"/>
      <c r="R11" s="3053"/>
      <c r="S11" s="3791"/>
      <c r="T11" s="3053"/>
      <c r="U11" s="3053"/>
      <c r="V11" s="3053"/>
      <c r="W11" s="3791"/>
      <c r="X11" s="3791"/>
      <c r="Y11" s="3791"/>
      <c r="Z11" s="3056"/>
      <c r="AA11" s="3053"/>
      <c r="AB11" s="2609"/>
      <c r="AC11" s="789"/>
      <c r="AD11" s="2609"/>
      <c r="AE11" s="789"/>
      <c r="AF11" s="2609"/>
      <c r="AG11" s="789"/>
      <c r="AH11" s="2609"/>
      <c r="AI11" s="789"/>
      <c r="AJ11" s="2609"/>
      <c r="AK11" s="789"/>
      <c r="AL11" s="2609"/>
      <c r="AM11" s="789"/>
      <c r="AN11" s="2609"/>
      <c r="AO11" s="789"/>
      <c r="AP11" s="2609"/>
      <c r="AQ11" s="789"/>
      <c r="AR11" s="2609"/>
      <c r="AS11" s="789"/>
      <c r="AT11" s="2609"/>
      <c r="AU11" s="789"/>
      <c r="AV11" s="2609"/>
      <c r="AW11" s="789"/>
      <c r="AX11" s="2609"/>
      <c r="AY11" s="789"/>
      <c r="AZ11" s="2610"/>
      <c r="BA11" s="2610"/>
      <c r="BB11" s="2610"/>
      <c r="BC11" s="2610"/>
      <c r="BD11" s="2610"/>
      <c r="BE11" s="2610"/>
      <c r="BF11" s="3317"/>
      <c r="BG11" s="3317"/>
      <c r="BH11" s="3317"/>
      <c r="BI11" s="3317"/>
      <c r="BJ11" s="3056"/>
    </row>
    <row r="12" spans="1:62" s="4" customFormat="1" ht="28.5" customHeight="1">
      <c r="A12" s="3053"/>
      <c r="B12" s="3053"/>
      <c r="C12" s="3053"/>
      <c r="D12" s="3053"/>
      <c r="E12" s="3053"/>
      <c r="F12" s="3053"/>
      <c r="G12" s="3053"/>
      <c r="H12" s="3053"/>
      <c r="I12" s="3053"/>
      <c r="J12" s="3053"/>
      <c r="K12" s="3053"/>
      <c r="L12" s="3053"/>
      <c r="M12" s="3053"/>
      <c r="N12" s="3053"/>
      <c r="O12" s="3053"/>
      <c r="P12" s="3053"/>
      <c r="Q12" s="3053"/>
      <c r="R12" s="3053"/>
      <c r="S12" s="3791"/>
      <c r="T12" s="3053"/>
      <c r="U12" s="3053"/>
      <c r="V12" s="3053"/>
      <c r="W12" s="3791"/>
      <c r="X12" s="3791"/>
      <c r="Y12" s="3791"/>
      <c r="Z12" s="3056"/>
      <c r="AA12" s="3053"/>
      <c r="AB12" s="2609"/>
      <c r="AC12" s="789"/>
      <c r="AD12" s="2609"/>
      <c r="AE12" s="789"/>
      <c r="AF12" s="2609"/>
      <c r="AG12" s="789"/>
      <c r="AH12" s="2609"/>
      <c r="AI12" s="789"/>
      <c r="AJ12" s="2609"/>
      <c r="AK12" s="789"/>
      <c r="AL12" s="2609"/>
      <c r="AM12" s="789"/>
      <c r="AN12" s="2609"/>
      <c r="AO12" s="789"/>
      <c r="AP12" s="2609"/>
      <c r="AQ12" s="789"/>
      <c r="AR12" s="2609"/>
      <c r="AS12" s="789"/>
      <c r="AT12" s="2609"/>
      <c r="AU12" s="789"/>
      <c r="AV12" s="2609"/>
      <c r="AW12" s="789"/>
      <c r="AX12" s="2609"/>
      <c r="AY12" s="789"/>
      <c r="AZ12" s="2610"/>
      <c r="BA12" s="2610"/>
      <c r="BB12" s="2610"/>
      <c r="BC12" s="2610"/>
      <c r="BD12" s="2610"/>
      <c r="BE12" s="2610"/>
      <c r="BF12" s="3317"/>
      <c r="BG12" s="3317"/>
      <c r="BH12" s="3317"/>
      <c r="BI12" s="3317"/>
      <c r="BJ12" s="3056"/>
    </row>
    <row r="13" spans="1:62" s="4" customFormat="1" ht="67.5" customHeight="1">
      <c r="A13" s="3053"/>
      <c r="B13" s="3053"/>
      <c r="C13" s="3053"/>
      <c r="D13" s="3053"/>
      <c r="E13" s="3053"/>
      <c r="F13" s="3053"/>
      <c r="G13" s="3053"/>
      <c r="H13" s="3053"/>
      <c r="I13" s="3053"/>
      <c r="J13" s="3053"/>
      <c r="K13" s="3053"/>
      <c r="L13" s="3053"/>
      <c r="M13" s="3053"/>
      <c r="N13" s="3053"/>
      <c r="O13" s="3053"/>
      <c r="P13" s="3053"/>
      <c r="Q13" s="3053"/>
      <c r="R13" s="3053"/>
      <c r="S13" s="3791"/>
      <c r="T13" s="3053"/>
      <c r="U13" s="3053"/>
      <c r="V13" s="3053"/>
      <c r="W13" s="3791"/>
      <c r="X13" s="3791"/>
      <c r="Y13" s="3791"/>
      <c r="Z13" s="3056"/>
      <c r="AA13" s="3053"/>
      <c r="AB13" s="3053" t="s">
        <v>22</v>
      </c>
      <c r="AC13" s="3053"/>
      <c r="AD13" s="3787" t="s">
        <v>23</v>
      </c>
      <c r="AE13" s="3787"/>
      <c r="AF13" s="3053" t="s">
        <v>24</v>
      </c>
      <c r="AG13" s="3053"/>
      <c r="AH13" s="3053" t="s">
        <v>25</v>
      </c>
      <c r="AI13" s="3053"/>
      <c r="AJ13" s="3053" t="s">
        <v>26</v>
      </c>
      <c r="AK13" s="3053"/>
      <c r="AL13" s="3053" t="s">
        <v>27</v>
      </c>
      <c r="AM13" s="3053"/>
      <c r="AN13" s="3053" t="s">
        <v>28</v>
      </c>
      <c r="AO13" s="3053"/>
      <c r="AP13" s="3053" t="s">
        <v>29</v>
      </c>
      <c r="AQ13" s="3053"/>
      <c r="AR13" s="3053" t="s">
        <v>30</v>
      </c>
      <c r="AS13" s="3053"/>
      <c r="AT13" s="3053" t="s">
        <v>31</v>
      </c>
      <c r="AU13" s="3053"/>
      <c r="AV13" s="3053" t="s">
        <v>32</v>
      </c>
      <c r="AW13" s="3053"/>
      <c r="AX13" s="3053" t="s">
        <v>33</v>
      </c>
      <c r="AY13" s="3053"/>
      <c r="AZ13" s="3031" t="s">
        <v>116</v>
      </c>
      <c r="BA13" s="3032" t="s">
        <v>120</v>
      </c>
      <c r="BB13" s="3031" t="s">
        <v>121</v>
      </c>
      <c r="BC13" s="3033" t="s">
        <v>117</v>
      </c>
      <c r="BD13" s="3031" t="s">
        <v>118</v>
      </c>
      <c r="BE13" s="3031" t="s">
        <v>122</v>
      </c>
      <c r="BF13" s="3317"/>
      <c r="BG13" s="3317"/>
      <c r="BH13" s="3317"/>
      <c r="BI13" s="3317"/>
      <c r="BJ13" s="3056"/>
    </row>
    <row r="14" spans="1:62" s="4" customFormat="1" ht="34.5" customHeight="1">
      <c r="A14" s="3053"/>
      <c r="B14" s="3053"/>
      <c r="C14" s="3053"/>
      <c r="D14" s="3053"/>
      <c r="E14" s="3053"/>
      <c r="F14" s="3053"/>
      <c r="G14" s="3053"/>
      <c r="H14" s="3053"/>
      <c r="I14" s="3053"/>
      <c r="J14" s="3053"/>
      <c r="K14" s="3053"/>
      <c r="L14" s="3053"/>
      <c r="M14" s="2593" t="s">
        <v>106</v>
      </c>
      <c r="N14" s="92" t="s">
        <v>107</v>
      </c>
      <c r="O14" s="3053"/>
      <c r="P14" s="3053"/>
      <c r="Q14" s="3053"/>
      <c r="R14" s="3053"/>
      <c r="S14" s="3791"/>
      <c r="T14" s="3053"/>
      <c r="U14" s="3053"/>
      <c r="V14" s="3053"/>
      <c r="W14" s="2593" t="s">
        <v>105</v>
      </c>
      <c r="X14" s="92" t="s">
        <v>115</v>
      </c>
      <c r="Y14" s="92" t="s">
        <v>114</v>
      </c>
      <c r="Z14" s="3056"/>
      <c r="AA14" s="3053"/>
      <c r="AB14" s="2608" t="s">
        <v>106</v>
      </c>
      <c r="AC14" s="642" t="s">
        <v>107</v>
      </c>
      <c r="AD14" s="2608" t="s">
        <v>106</v>
      </c>
      <c r="AE14" s="642" t="s">
        <v>107</v>
      </c>
      <c r="AF14" s="2608" t="s">
        <v>106</v>
      </c>
      <c r="AG14" s="642" t="s">
        <v>107</v>
      </c>
      <c r="AH14" s="2608" t="s">
        <v>106</v>
      </c>
      <c r="AI14" s="642" t="s">
        <v>107</v>
      </c>
      <c r="AJ14" s="2608" t="s">
        <v>106</v>
      </c>
      <c r="AK14" s="642" t="s">
        <v>107</v>
      </c>
      <c r="AL14" s="2608" t="s">
        <v>106</v>
      </c>
      <c r="AM14" s="642" t="s">
        <v>107</v>
      </c>
      <c r="AN14" s="2608" t="s">
        <v>106</v>
      </c>
      <c r="AO14" s="642" t="s">
        <v>107</v>
      </c>
      <c r="AP14" s="2608" t="s">
        <v>106</v>
      </c>
      <c r="AQ14" s="642" t="s">
        <v>107</v>
      </c>
      <c r="AR14" s="2608" t="s">
        <v>106</v>
      </c>
      <c r="AS14" s="642" t="s">
        <v>107</v>
      </c>
      <c r="AT14" s="2608" t="s">
        <v>106</v>
      </c>
      <c r="AU14" s="642" t="s">
        <v>107</v>
      </c>
      <c r="AV14" s="2608" t="s">
        <v>106</v>
      </c>
      <c r="AW14" s="642" t="s">
        <v>107</v>
      </c>
      <c r="AX14" s="2608" t="s">
        <v>106</v>
      </c>
      <c r="AY14" s="642" t="s">
        <v>107</v>
      </c>
      <c r="AZ14" s="3031"/>
      <c r="BA14" s="3032"/>
      <c r="BB14" s="3031"/>
      <c r="BC14" s="3033"/>
      <c r="BD14" s="3031"/>
      <c r="BE14" s="3031"/>
      <c r="BF14" s="2602" t="s">
        <v>106</v>
      </c>
      <c r="BG14" s="117" t="s">
        <v>107</v>
      </c>
      <c r="BH14" s="2602" t="s">
        <v>106</v>
      </c>
      <c r="BI14" s="117" t="s">
        <v>107</v>
      </c>
      <c r="BJ14" s="3056"/>
    </row>
    <row r="15" spans="1:62" s="786" customFormat="1" ht="15">
      <c r="A15" s="790" t="s">
        <v>717</v>
      </c>
      <c r="B15" s="61" t="s">
        <v>718</v>
      </c>
      <c r="C15" s="791"/>
      <c r="D15" s="61"/>
      <c r="E15" s="61"/>
      <c r="F15" s="61"/>
      <c r="G15" s="61"/>
      <c r="H15" s="61"/>
      <c r="I15" s="61"/>
      <c r="J15" s="61"/>
      <c r="K15" s="61"/>
      <c r="L15" s="61"/>
      <c r="M15" s="61"/>
      <c r="N15" s="169"/>
      <c r="O15" s="61"/>
      <c r="P15" s="61"/>
      <c r="Q15" s="62"/>
      <c r="R15" s="61"/>
      <c r="S15" s="61"/>
      <c r="T15" s="62"/>
      <c r="U15" s="62"/>
      <c r="V15" s="62"/>
      <c r="W15" s="792"/>
      <c r="X15" s="793"/>
      <c r="Y15" s="793"/>
      <c r="Z15" s="794"/>
      <c r="AA15" s="792"/>
      <c r="AB15" s="61"/>
      <c r="AC15" s="169"/>
      <c r="AD15" s="61"/>
      <c r="AE15" s="169"/>
      <c r="AF15" s="61"/>
      <c r="AG15" s="169"/>
      <c r="AH15" s="61"/>
      <c r="AI15" s="169"/>
      <c r="AJ15" s="61"/>
      <c r="AK15" s="169"/>
      <c r="AL15" s="61"/>
      <c r="AM15" s="169"/>
      <c r="AN15" s="61"/>
      <c r="AO15" s="169"/>
      <c r="AP15" s="61"/>
      <c r="AQ15" s="169"/>
      <c r="AR15" s="61"/>
      <c r="AS15" s="169"/>
      <c r="AT15" s="61"/>
      <c r="AU15" s="169"/>
      <c r="AV15" s="61"/>
      <c r="AW15" s="169"/>
      <c r="AX15" s="61"/>
      <c r="AY15" s="169"/>
      <c r="AZ15" s="61"/>
      <c r="BA15" s="61"/>
      <c r="BB15" s="61"/>
      <c r="BC15" s="61"/>
      <c r="BD15" s="61"/>
      <c r="BE15" s="61"/>
      <c r="BF15" s="792"/>
      <c r="BG15" s="793"/>
      <c r="BH15" s="792"/>
      <c r="BI15" s="793"/>
      <c r="BJ15" s="795"/>
    </row>
    <row r="16" spans="1:62" s="2" customFormat="1" ht="15">
      <c r="A16" s="3733" t="s">
        <v>719</v>
      </c>
      <c r="B16" s="3734"/>
      <c r="C16" s="3735"/>
      <c r="D16" s="58" t="s">
        <v>720</v>
      </c>
      <c r="E16" s="59" t="s">
        <v>721</v>
      </c>
      <c r="F16" s="48"/>
      <c r="G16" s="48"/>
      <c r="H16" s="48"/>
      <c r="I16" s="48"/>
      <c r="J16" s="48"/>
      <c r="K16" s="48"/>
      <c r="L16" s="48"/>
      <c r="M16" s="48"/>
      <c r="N16" s="170"/>
      <c r="O16" s="48"/>
      <c r="P16" s="48"/>
      <c r="Q16" s="49"/>
      <c r="R16" s="48"/>
      <c r="S16" s="48"/>
      <c r="T16" s="49"/>
      <c r="U16" s="49"/>
      <c r="V16" s="49"/>
      <c r="W16" s="50"/>
      <c r="X16" s="796"/>
      <c r="Y16" s="796"/>
      <c r="Z16" s="797"/>
      <c r="AA16" s="50"/>
      <c r="AB16" s="48"/>
      <c r="AC16" s="170"/>
      <c r="AD16" s="48"/>
      <c r="AE16" s="170"/>
      <c r="AF16" s="48"/>
      <c r="AG16" s="170"/>
      <c r="AH16" s="48"/>
      <c r="AI16" s="170"/>
      <c r="AJ16" s="48"/>
      <c r="AK16" s="170"/>
      <c r="AL16" s="48"/>
      <c r="AM16" s="170"/>
      <c r="AN16" s="48"/>
      <c r="AO16" s="170"/>
      <c r="AP16" s="48"/>
      <c r="AQ16" s="170"/>
      <c r="AR16" s="48"/>
      <c r="AS16" s="170"/>
      <c r="AT16" s="48"/>
      <c r="AU16" s="170"/>
      <c r="AV16" s="48"/>
      <c r="AW16" s="170"/>
      <c r="AX16" s="48"/>
      <c r="AY16" s="170"/>
      <c r="AZ16" s="48"/>
      <c r="BA16" s="48"/>
      <c r="BB16" s="48"/>
      <c r="BC16" s="48"/>
      <c r="BD16" s="48"/>
      <c r="BE16" s="48"/>
      <c r="BF16" s="50"/>
      <c r="BG16" s="796"/>
      <c r="BH16" s="50"/>
      <c r="BI16" s="796"/>
      <c r="BJ16" s="60"/>
    </row>
    <row r="17" spans="1:62" s="2" customFormat="1" ht="15">
      <c r="A17" s="3736"/>
      <c r="B17" s="3737"/>
      <c r="C17" s="3738"/>
      <c r="D17" s="3733" t="s">
        <v>40</v>
      </c>
      <c r="E17" s="3734"/>
      <c r="F17" s="3735"/>
      <c r="G17" s="866" t="s">
        <v>722</v>
      </c>
      <c r="H17" s="52" t="s">
        <v>723</v>
      </c>
      <c r="I17" s="52"/>
      <c r="J17" s="51"/>
      <c r="K17" s="51"/>
      <c r="L17" s="51"/>
      <c r="M17" s="51"/>
      <c r="N17" s="475"/>
      <c r="O17" s="51"/>
      <c r="P17" s="51"/>
      <c r="Q17" s="476"/>
      <c r="R17" s="51"/>
      <c r="S17" s="51"/>
      <c r="T17" s="476"/>
      <c r="U17" s="476"/>
      <c r="V17" s="476"/>
      <c r="W17" s="798"/>
      <c r="X17" s="799"/>
      <c r="Y17" s="799"/>
      <c r="Z17" s="800"/>
      <c r="AA17" s="798"/>
      <c r="AB17" s="51"/>
      <c r="AC17" s="475"/>
      <c r="AD17" s="51"/>
      <c r="AE17" s="475"/>
      <c r="AF17" s="51"/>
      <c r="AG17" s="475"/>
      <c r="AH17" s="51"/>
      <c r="AI17" s="475"/>
      <c r="AJ17" s="51"/>
      <c r="AK17" s="475"/>
      <c r="AL17" s="51"/>
      <c r="AM17" s="475"/>
      <c r="AN17" s="51"/>
      <c r="AO17" s="475"/>
      <c r="AP17" s="51"/>
      <c r="AQ17" s="475"/>
      <c r="AR17" s="51"/>
      <c r="AS17" s="475"/>
      <c r="AT17" s="51"/>
      <c r="AU17" s="475"/>
      <c r="AV17" s="51"/>
      <c r="AW17" s="475"/>
      <c r="AX17" s="51"/>
      <c r="AY17" s="475"/>
      <c r="AZ17" s="51"/>
      <c r="BA17" s="51"/>
      <c r="BB17" s="51"/>
      <c r="BC17" s="51"/>
      <c r="BD17" s="51"/>
      <c r="BE17" s="51"/>
      <c r="BF17" s="798"/>
      <c r="BG17" s="799"/>
      <c r="BH17" s="798"/>
      <c r="BI17" s="799"/>
      <c r="BJ17" s="801"/>
    </row>
    <row r="18" spans="1:62" s="3" customFormat="1" ht="52.5" customHeight="1">
      <c r="A18" s="3736"/>
      <c r="B18" s="3737"/>
      <c r="C18" s="3738"/>
      <c r="D18" s="3736"/>
      <c r="E18" s="3737"/>
      <c r="F18" s="3738"/>
      <c r="G18" s="3733" t="s">
        <v>40</v>
      </c>
      <c r="H18" s="3734"/>
      <c r="I18" s="3735"/>
      <c r="J18" s="3776">
        <v>114</v>
      </c>
      <c r="K18" s="2941" t="s">
        <v>724</v>
      </c>
      <c r="L18" s="2941" t="s">
        <v>725</v>
      </c>
      <c r="M18" s="3782">
        <v>30</v>
      </c>
      <c r="N18" s="3754">
        <v>14</v>
      </c>
      <c r="O18" s="2941" t="s">
        <v>726</v>
      </c>
      <c r="P18" s="2941">
        <v>43</v>
      </c>
      <c r="Q18" s="2941" t="s">
        <v>727</v>
      </c>
      <c r="R18" s="802">
        <f>W18/S18</f>
        <v>0.15276971493171193</v>
      </c>
      <c r="S18" s="3783">
        <v>130916000</v>
      </c>
      <c r="T18" s="2973" t="s">
        <v>728</v>
      </c>
      <c r="U18" s="613" t="s">
        <v>729</v>
      </c>
      <c r="V18" s="613" t="s">
        <v>730</v>
      </c>
      <c r="W18" s="862">
        <v>20000000</v>
      </c>
      <c r="X18" s="366">
        <v>20000000</v>
      </c>
      <c r="Y18" s="366">
        <v>20000000</v>
      </c>
      <c r="Z18" s="2940">
        <v>20</v>
      </c>
      <c r="AA18" s="2888" t="s">
        <v>731</v>
      </c>
      <c r="AB18" s="3781">
        <v>64149</v>
      </c>
      <c r="AC18" s="3780">
        <v>200</v>
      </c>
      <c r="AD18" s="3781">
        <v>72224</v>
      </c>
      <c r="AE18" s="3780">
        <v>2340</v>
      </c>
      <c r="AF18" s="3781">
        <v>27477</v>
      </c>
      <c r="AG18" s="3780">
        <v>5780</v>
      </c>
      <c r="AH18" s="3781">
        <v>86843</v>
      </c>
      <c r="AI18" s="3780">
        <v>9723</v>
      </c>
      <c r="AJ18" s="3781">
        <v>236429</v>
      </c>
      <c r="AK18" s="3780">
        <v>4846</v>
      </c>
      <c r="AL18" s="3781"/>
      <c r="AM18" s="3780">
        <v>653</v>
      </c>
      <c r="AN18" s="3781">
        <v>13208</v>
      </c>
      <c r="AO18" s="3780">
        <v>20</v>
      </c>
      <c r="AP18" s="3781">
        <v>1817</v>
      </c>
      <c r="AQ18" s="3780"/>
      <c r="AR18" s="3781">
        <v>520</v>
      </c>
      <c r="AS18" s="3780"/>
      <c r="AT18" s="3781"/>
      <c r="AU18" s="3780"/>
      <c r="AV18" s="3781">
        <v>16897</v>
      </c>
      <c r="AW18" s="3780">
        <v>150</v>
      </c>
      <c r="AX18" s="3781"/>
      <c r="AY18" s="3780">
        <v>653</v>
      </c>
      <c r="AZ18" s="3183">
        <v>8</v>
      </c>
      <c r="BA18" s="3756">
        <f>16000000+5666000+16000000+20000000+20000000+27000000+6250000+20000000</f>
        <v>130916000</v>
      </c>
      <c r="BB18" s="3756">
        <f>16000000+5666000+16000000+20000000+20000000+27000000+6250000+20000000</f>
        <v>130916000</v>
      </c>
      <c r="BC18" s="2925">
        <f>BB18/BA18</f>
        <v>1</v>
      </c>
      <c r="BD18" s="2898" t="s">
        <v>38</v>
      </c>
      <c r="BE18" s="2898" t="s">
        <v>732</v>
      </c>
      <c r="BF18" s="2898">
        <v>42583</v>
      </c>
      <c r="BG18" s="2918">
        <v>42422</v>
      </c>
      <c r="BH18" s="2898">
        <v>42735</v>
      </c>
      <c r="BI18" s="2918">
        <v>42612</v>
      </c>
      <c r="BJ18" s="3756" t="s">
        <v>733</v>
      </c>
    </row>
    <row r="19" spans="1:62" s="3" customFormat="1" ht="49.5" customHeight="1">
      <c r="A19" s="3736"/>
      <c r="B19" s="3737"/>
      <c r="C19" s="3738"/>
      <c r="D19" s="3736"/>
      <c r="E19" s="3737"/>
      <c r="F19" s="3738"/>
      <c r="G19" s="3736"/>
      <c r="H19" s="3737"/>
      <c r="I19" s="3738"/>
      <c r="J19" s="3776"/>
      <c r="K19" s="2931"/>
      <c r="L19" s="2931"/>
      <c r="M19" s="3768"/>
      <c r="N19" s="3764"/>
      <c r="O19" s="2931"/>
      <c r="P19" s="2931"/>
      <c r="Q19" s="2931"/>
      <c r="R19" s="677">
        <f>W19/S18</f>
        <v>0.09102019615631397</v>
      </c>
      <c r="S19" s="2926"/>
      <c r="T19" s="2982"/>
      <c r="U19" s="624" t="s">
        <v>734</v>
      </c>
      <c r="V19" s="624" t="s">
        <v>735</v>
      </c>
      <c r="W19" s="863">
        <v>11916000</v>
      </c>
      <c r="X19" s="3777">
        <f>6250000+5666000+16000000+20000000+20000000+16000000+27000000</f>
        <v>110916000</v>
      </c>
      <c r="Y19" s="3777">
        <f>6250000+5666000+16000000+20000000+20000000+16000000+27000000</f>
        <v>110916000</v>
      </c>
      <c r="Z19" s="2983"/>
      <c r="AA19" s="2988"/>
      <c r="AB19" s="3773"/>
      <c r="AC19" s="3726"/>
      <c r="AD19" s="3773"/>
      <c r="AE19" s="3726"/>
      <c r="AF19" s="3773"/>
      <c r="AG19" s="3726"/>
      <c r="AH19" s="3773"/>
      <c r="AI19" s="3726"/>
      <c r="AJ19" s="3773"/>
      <c r="AK19" s="3726"/>
      <c r="AL19" s="3773"/>
      <c r="AM19" s="3726"/>
      <c r="AN19" s="3773"/>
      <c r="AO19" s="3726"/>
      <c r="AP19" s="3773"/>
      <c r="AQ19" s="3726"/>
      <c r="AR19" s="3773"/>
      <c r="AS19" s="3726"/>
      <c r="AT19" s="3773"/>
      <c r="AU19" s="3726"/>
      <c r="AV19" s="3773"/>
      <c r="AW19" s="3726"/>
      <c r="AX19" s="3773"/>
      <c r="AY19" s="3726"/>
      <c r="AZ19" s="3184"/>
      <c r="BA19" s="3722"/>
      <c r="BB19" s="3722"/>
      <c r="BC19" s="3271"/>
      <c r="BD19" s="2899"/>
      <c r="BE19" s="2899"/>
      <c r="BF19" s="2899"/>
      <c r="BG19" s="2919"/>
      <c r="BH19" s="2899"/>
      <c r="BI19" s="2919"/>
      <c r="BJ19" s="3722"/>
    </row>
    <row r="20" spans="1:62" s="3" customFormat="1" ht="72.75" customHeight="1">
      <c r="A20" s="3736"/>
      <c r="B20" s="3737"/>
      <c r="C20" s="3738"/>
      <c r="D20" s="3736"/>
      <c r="E20" s="3737"/>
      <c r="F20" s="3738"/>
      <c r="G20" s="3736"/>
      <c r="H20" s="3737"/>
      <c r="I20" s="3738"/>
      <c r="J20" s="3776"/>
      <c r="K20" s="2931"/>
      <c r="L20" s="2931"/>
      <c r="M20" s="3768"/>
      <c r="N20" s="3764"/>
      <c r="O20" s="2931"/>
      <c r="P20" s="2931"/>
      <c r="Q20" s="2931"/>
      <c r="R20" s="3755">
        <f>W20/S18</f>
        <v>0.756210088911974</v>
      </c>
      <c r="S20" s="2926"/>
      <c r="T20" s="2982"/>
      <c r="U20" s="2931" t="s">
        <v>736</v>
      </c>
      <c r="V20" s="2931" t="s">
        <v>737</v>
      </c>
      <c r="W20" s="3774">
        <v>99000000</v>
      </c>
      <c r="X20" s="3778"/>
      <c r="Y20" s="3778"/>
      <c r="Z20" s="2983"/>
      <c r="AA20" s="2988"/>
      <c r="AB20" s="3773"/>
      <c r="AC20" s="3726"/>
      <c r="AD20" s="3773"/>
      <c r="AE20" s="3726"/>
      <c r="AF20" s="3773"/>
      <c r="AG20" s="3726"/>
      <c r="AH20" s="3773"/>
      <c r="AI20" s="3726"/>
      <c r="AJ20" s="3773"/>
      <c r="AK20" s="3726"/>
      <c r="AL20" s="3773"/>
      <c r="AM20" s="3726"/>
      <c r="AN20" s="3773"/>
      <c r="AO20" s="3726"/>
      <c r="AP20" s="3773"/>
      <c r="AQ20" s="3726"/>
      <c r="AR20" s="3773"/>
      <c r="AS20" s="3726"/>
      <c r="AT20" s="3773"/>
      <c r="AU20" s="3726"/>
      <c r="AV20" s="3773"/>
      <c r="AW20" s="3726"/>
      <c r="AX20" s="3773"/>
      <c r="AY20" s="3726"/>
      <c r="AZ20" s="3184"/>
      <c r="BA20" s="3722"/>
      <c r="BB20" s="3722"/>
      <c r="BC20" s="3271"/>
      <c r="BD20" s="2899"/>
      <c r="BE20" s="2899"/>
      <c r="BF20" s="2899"/>
      <c r="BG20" s="2919"/>
      <c r="BH20" s="2899"/>
      <c r="BI20" s="2919"/>
      <c r="BJ20" s="3722"/>
    </row>
    <row r="21" spans="1:62" s="3" customFormat="1" ht="72.75" customHeight="1">
      <c r="A21" s="3736"/>
      <c r="B21" s="3737"/>
      <c r="C21" s="3738"/>
      <c r="D21" s="3736"/>
      <c r="E21" s="3737"/>
      <c r="F21" s="3738"/>
      <c r="G21" s="3736"/>
      <c r="H21" s="3737"/>
      <c r="I21" s="3738"/>
      <c r="J21" s="3776"/>
      <c r="K21" s="2931"/>
      <c r="L21" s="2931"/>
      <c r="M21" s="3768"/>
      <c r="N21" s="3764"/>
      <c r="O21" s="2931"/>
      <c r="P21" s="2931"/>
      <c r="Q21" s="2931"/>
      <c r="R21" s="3755"/>
      <c r="S21" s="2926"/>
      <c r="T21" s="2982"/>
      <c r="U21" s="2931"/>
      <c r="V21" s="2931"/>
      <c r="W21" s="3774"/>
      <c r="X21" s="3778"/>
      <c r="Y21" s="3778"/>
      <c r="Z21" s="2983"/>
      <c r="AA21" s="2988"/>
      <c r="AB21" s="3773"/>
      <c r="AC21" s="3726"/>
      <c r="AD21" s="3773"/>
      <c r="AE21" s="3726"/>
      <c r="AF21" s="3773"/>
      <c r="AG21" s="3726"/>
      <c r="AH21" s="3773"/>
      <c r="AI21" s="3726"/>
      <c r="AJ21" s="3773"/>
      <c r="AK21" s="3726"/>
      <c r="AL21" s="3773"/>
      <c r="AM21" s="3726"/>
      <c r="AN21" s="3773"/>
      <c r="AO21" s="3726"/>
      <c r="AP21" s="3773"/>
      <c r="AQ21" s="3726"/>
      <c r="AR21" s="3773"/>
      <c r="AS21" s="3726"/>
      <c r="AT21" s="3773"/>
      <c r="AU21" s="3726"/>
      <c r="AV21" s="3773"/>
      <c r="AW21" s="3726"/>
      <c r="AX21" s="3773"/>
      <c r="AY21" s="3726"/>
      <c r="AZ21" s="3184"/>
      <c r="BA21" s="3722"/>
      <c r="BB21" s="3722"/>
      <c r="BC21" s="3271"/>
      <c r="BD21" s="2899"/>
      <c r="BE21" s="2899"/>
      <c r="BF21" s="2899"/>
      <c r="BG21" s="2919"/>
      <c r="BH21" s="2899"/>
      <c r="BI21" s="2919"/>
      <c r="BJ21" s="3722"/>
    </row>
    <row r="22" spans="1:62" s="3" customFormat="1" ht="37.5" customHeight="1">
      <c r="A22" s="3736"/>
      <c r="B22" s="3737"/>
      <c r="C22" s="3738"/>
      <c r="D22" s="3736"/>
      <c r="E22" s="3737"/>
      <c r="F22" s="3738"/>
      <c r="G22" s="3736"/>
      <c r="H22" s="3737"/>
      <c r="I22" s="3738"/>
      <c r="J22" s="3776"/>
      <c r="K22" s="2931"/>
      <c r="L22" s="2931"/>
      <c r="M22" s="3768"/>
      <c r="N22" s="3764"/>
      <c r="O22" s="2931"/>
      <c r="P22" s="2931"/>
      <c r="Q22" s="2931"/>
      <c r="R22" s="3755"/>
      <c r="S22" s="2926"/>
      <c r="T22" s="2982"/>
      <c r="U22" s="2931"/>
      <c r="V22" s="2931"/>
      <c r="W22" s="3774"/>
      <c r="X22" s="3778"/>
      <c r="Y22" s="3778"/>
      <c r="Z22" s="2983"/>
      <c r="AA22" s="2988"/>
      <c r="AB22" s="3773"/>
      <c r="AC22" s="3726"/>
      <c r="AD22" s="3773"/>
      <c r="AE22" s="3726"/>
      <c r="AF22" s="3773"/>
      <c r="AG22" s="3726"/>
      <c r="AH22" s="3773"/>
      <c r="AI22" s="3726"/>
      <c r="AJ22" s="3773"/>
      <c r="AK22" s="3726"/>
      <c r="AL22" s="3773"/>
      <c r="AM22" s="3726"/>
      <c r="AN22" s="3773"/>
      <c r="AO22" s="3726"/>
      <c r="AP22" s="3773"/>
      <c r="AQ22" s="3726"/>
      <c r="AR22" s="3773"/>
      <c r="AS22" s="3726"/>
      <c r="AT22" s="3773"/>
      <c r="AU22" s="3726"/>
      <c r="AV22" s="3773"/>
      <c r="AW22" s="3726"/>
      <c r="AX22" s="3773"/>
      <c r="AY22" s="3726"/>
      <c r="AZ22" s="3184"/>
      <c r="BA22" s="3722"/>
      <c r="BB22" s="3722"/>
      <c r="BC22" s="3271"/>
      <c r="BD22" s="2899"/>
      <c r="BE22" s="2899"/>
      <c r="BF22" s="2899"/>
      <c r="BG22" s="2919"/>
      <c r="BH22" s="2899"/>
      <c r="BI22" s="2919"/>
      <c r="BJ22" s="3722"/>
    </row>
    <row r="23" spans="1:62" s="3" customFormat="1" ht="31.5" customHeight="1">
      <c r="A23" s="3736"/>
      <c r="B23" s="3737"/>
      <c r="C23" s="3738"/>
      <c r="D23" s="3736"/>
      <c r="E23" s="3737"/>
      <c r="F23" s="3738"/>
      <c r="G23" s="3736"/>
      <c r="H23" s="3737"/>
      <c r="I23" s="3738"/>
      <c r="J23" s="3776"/>
      <c r="K23" s="2931"/>
      <c r="L23" s="2931"/>
      <c r="M23" s="3768"/>
      <c r="N23" s="3764"/>
      <c r="O23" s="2931"/>
      <c r="P23" s="2931"/>
      <c r="Q23" s="2931"/>
      <c r="R23" s="3755"/>
      <c r="S23" s="2926"/>
      <c r="T23" s="2982"/>
      <c r="U23" s="2931"/>
      <c r="V23" s="2931"/>
      <c r="W23" s="3774"/>
      <c r="X23" s="3778"/>
      <c r="Y23" s="3778"/>
      <c r="Z23" s="2983"/>
      <c r="AA23" s="2988"/>
      <c r="AB23" s="3773"/>
      <c r="AC23" s="3726"/>
      <c r="AD23" s="3773"/>
      <c r="AE23" s="3726"/>
      <c r="AF23" s="3773"/>
      <c r="AG23" s="3726"/>
      <c r="AH23" s="3773"/>
      <c r="AI23" s="3726"/>
      <c r="AJ23" s="3773"/>
      <c r="AK23" s="3726"/>
      <c r="AL23" s="3773"/>
      <c r="AM23" s="3726"/>
      <c r="AN23" s="3773"/>
      <c r="AO23" s="3726"/>
      <c r="AP23" s="3773"/>
      <c r="AQ23" s="3726"/>
      <c r="AR23" s="3773"/>
      <c r="AS23" s="3726"/>
      <c r="AT23" s="3773"/>
      <c r="AU23" s="3726"/>
      <c r="AV23" s="3773"/>
      <c r="AW23" s="3726"/>
      <c r="AX23" s="3773"/>
      <c r="AY23" s="3726"/>
      <c r="AZ23" s="3184"/>
      <c r="BA23" s="3722"/>
      <c r="BB23" s="3722"/>
      <c r="BC23" s="3271"/>
      <c r="BD23" s="2899"/>
      <c r="BE23" s="2899"/>
      <c r="BF23" s="2899"/>
      <c r="BG23" s="2919"/>
      <c r="BH23" s="2899"/>
      <c r="BI23" s="2919"/>
      <c r="BJ23" s="3722"/>
    </row>
    <row r="24" spans="1:62" ht="27" customHeight="1">
      <c r="A24" s="3736"/>
      <c r="B24" s="3737"/>
      <c r="C24" s="3738"/>
      <c r="D24" s="3736"/>
      <c r="E24" s="3737"/>
      <c r="F24" s="3738"/>
      <c r="G24" s="3736"/>
      <c r="H24" s="3737"/>
      <c r="I24" s="3738"/>
      <c r="J24" s="3776"/>
      <c r="K24" s="2931"/>
      <c r="L24" s="2931"/>
      <c r="M24" s="3768"/>
      <c r="N24" s="3764"/>
      <c r="O24" s="2931"/>
      <c r="P24" s="2931"/>
      <c r="Q24" s="2931"/>
      <c r="R24" s="3755"/>
      <c r="S24" s="2926"/>
      <c r="T24" s="2982"/>
      <c r="U24" s="2931"/>
      <c r="V24" s="2931"/>
      <c r="W24" s="3774"/>
      <c r="X24" s="3778"/>
      <c r="Y24" s="3778"/>
      <c r="Z24" s="2983"/>
      <c r="AA24" s="2988"/>
      <c r="AB24" s="3773"/>
      <c r="AC24" s="3726"/>
      <c r="AD24" s="3773"/>
      <c r="AE24" s="3726"/>
      <c r="AF24" s="3773"/>
      <c r="AG24" s="3726"/>
      <c r="AH24" s="3773"/>
      <c r="AI24" s="3726"/>
      <c r="AJ24" s="3773"/>
      <c r="AK24" s="3726"/>
      <c r="AL24" s="3773"/>
      <c r="AM24" s="3726"/>
      <c r="AN24" s="3773"/>
      <c r="AO24" s="3726"/>
      <c r="AP24" s="3773"/>
      <c r="AQ24" s="3726"/>
      <c r="AR24" s="3773"/>
      <c r="AS24" s="3726"/>
      <c r="AT24" s="3773"/>
      <c r="AU24" s="3726"/>
      <c r="AV24" s="3773"/>
      <c r="AW24" s="3726"/>
      <c r="AX24" s="3773"/>
      <c r="AY24" s="3726"/>
      <c r="AZ24" s="3184"/>
      <c r="BA24" s="3722"/>
      <c r="BB24" s="3722"/>
      <c r="BC24" s="3271"/>
      <c r="BD24" s="2899"/>
      <c r="BE24" s="2899"/>
      <c r="BF24" s="2899"/>
      <c r="BG24" s="2919"/>
      <c r="BH24" s="2899"/>
      <c r="BI24" s="2919"/>
      <c r="BJ24" s="3722"/>
    </row>
    <row r="25" spans="1:62" ht="17.25" customHeight="1">
      <c r="A25" s="3736"/>
      <c r="B25" s="3737"/>
      <c r="C25" s="3738"/>
      <c r="D25" s="3736"/>
      <c r="E25" s="3737"/>
      <c r="F25" s="3738"/>
      <c r="G25" s="3736"/>
      <c r="H25" s="3737"/>
      <c r="I25" s="3738"/>
      <c r="J25" s="3776"/>
      <c r="K25" s="2931"/>
      <c r="L25" s="2931"/>
      <c r="M25" s="3768"/>
      <c r="N25" s="3764"/>
      <c r="O25" s="2931"/>
      <c r="P25" s="2931"/>
      <c r="Q25" s="2931"/>
      <c r="R25" s="3755"/>
      <c r="S25" s="2926"/>
      <c r="T25" s="2982"/>
      <c r="U25" s="2931"/>
      <c r="V25" s="2931"/>
      <c r="W25" s="3774"/>
      <c r="X25" s="3778"/>
      <c r="Y25" s="3778"/>
      <c r="Z25" s="2983"/>
      <c r="AA25" s="2988"/>
      <c r="AB25" s="3773"/>
      <c r="AC25" s="3726"/>
      <c r="AD25" s="3773"/>
      <c r="AE25" s="3726"/>
      <c r="AF25" s="3773"/>
      <c r="AG25" s="3726"/>
      <c r="AH25" s="3773"/>
      <c r="AI25" s="3726"/>
      <c r="AJ25" s="3773"/>
      <c r="AK25" s="3726"/>
      <c r="AL25" s="3773"/>
      <c r="AM25" s="3726"/>
      <c r="AN25" s="3773"/>
      <c r="AO25" s="3726"/>
      <c r="AP25" s="3773"/>
      <c r="AQ25" s="3726"/>
      <c r="AR25" s="3773"/>
      <c r="AS25" s="3726"/>
      <c r="AT25" s="3773"/>
      <c r="AU25" s="3726"/>
      <c r="AV25" s="3773"/>
      <c r="AW25" s="3726"/>
      <c r="AX25" s="3773"/>
      <c r="AY25" s="3726"/>
      <c r="AZ25" s="3184"/>
      <c r="BA25" s="3722"/>
      <c r="BB25" s="3722"/>
      <c r="BC25" s="3271"/>
      <c r="BD25" s="2899"/>
      <c r="BE25" s="2899"/>
      <c r="BF25" s="2899"/>
      <c r="BG25" s="2919"/>
      <c r="BH25" s="2899"/>
      <c r="BI25" s="2919"/>
      <c r="BJ25" s="3722"/>
    </row>
    <row r="26" spans="1:62" ht="25.5" customHeight="1">
      <c r="A26" s="3736"/>
      <c r="B26" s="3737"/>
      <c r="C26" s="3738"/>
      <c r="D26" s="3736"/>
      <c r="E26" s="3737"/>
      <c r="F26" s="3738"/>
      <c r="G26" s="3736"/>
      <c r="H26" s="3737"/>
      <c r="I26" s="3738"/>
      <c r="J26" s="3776"/>
      <c r="K26" s="2931"/>
      <c r="L26" s="2931"/>
      <c r="M26" s="3768"/>
      <c r="N26" s="3764"/>
      <c r="O26" s="2931"/>
      <c r="P26" s="2931"/>
      <c r="Q26" s="2931"/>
      <c r="R26" s="3755"/>
      <c r="S26" s="2926"/>
      <c r="T26" s="2982"/>
      <c r="U26" s="2931"/>
      <c r="V26" s="2931"/>
      <c r="W26" s="3774"/>
      <c r="X26" s="3779"/>
      <c r="Y26" s="3779"/>
      <c r="Z26" s="2983"/>
      <c r="AA26" s="2988"/>
      <c r="AB26" s="3773"/>
      <c r="AC26" s="3726"/>
      <c r="AD26" s="3773"/>
      <c r="AE26" s="3726"/>
      <c r="AF26" s="3773"/>
      <c r="AG26" s="3726"/>
      <c r="AH26" s="3773"/>
      <c r="AI26" s="3726"/>
      <c r="AJ26" s="3773"/>
      <c r="AK26" s="3726"/>
      <c r="AL26" s="3773"/>
      <c r="AM26" s="3726"/>
      <c r="AN26" s="3773"/>
      <c r="AO26" s="3726"/>
      <c r="AP26" s="3773"/>
      <c r="AQ26" s="3726"/>
      <c r="AR26" s="3773"/>
      <c r="AS26" s="3726"/>
      <c r="AT26" s="3773"/>
      <c r="AU26" s="3726"/>
      <c r="AV26" s="3773"/>
      <c r="AW26" s="3726"/>
      <c r="AX26" s="3773"/>
      <c r="AY26" s="3726"/>
      <c r="AZ26" s="3185"/>
      <c r="BA26" s="3722"/>
      <c r="BB26" s="3722"/>
      <c r="BC26" s="3272"/>
      <c r="BD26" s="3721"/>
      <c r="BE26" s="3721"/>
      <c r="BF26" s="3721"/>
      <c r="BG26" s="2937"/>
      <c r="BH26" s="3721"/>
      <c r="BI26" s="2937"/>
      <c r="BJ26" s="3722"/>
    </row>
    <row r="27" spans="1:62" ht="25.5" customHeight="1">
      <c r="A27" s="3736"/>
      <c r="B27" s="3737"/>
      <c r="C27" s="3738"/>
      <c r="D27" s="3736"/>
      <c r="E27" s="3737"/>
      <c r="F27" s="3738"/>
      <c r="G27" s="3736"/>
      <c r="H27" s="3737"/>
      <c r="I27" s="3738"/>
      <c r="J27" s="51"/>
      <c r="K27" s="51"/>
      <c r="L27" s="51"/>
      <c r="M27" s="51"/>
      <c r="N27" s="475"/>
      <c r="O27" s="51"/>
      <c r="P27" s="51"/>
      <c r="Q27" s="51"/>
      <c r="R27" s="51"/>
      <c r="S27" s="51"/>
      <c r="T27" s="51"/>
      <c r="U27" s="51"/>
      <c r="V27" s="51"/>
      <c r="W27" s="803"/>
      <c r="X27" s="804"/>
      <c r="Y27" s="804"/>
      <c r="Z27" s="51"/>
      <c r="AA27" s="51"/>
      <c r="AB27" s="51"/>
      <c r="AC27" s="475"/>
      <c r="AD27" s="51"/>
      <c r="AE27" s="475"/>
      <c r="AF27" s="51"/>
      <c r="AG27" s="475"/>
      <c r="AH27" s="51"/>
      <c r="AI27" s="475"/>
      <c r="AJ27" s="51"/>
      <c r="AK27" s="475"/>
      <c r="AL27" s="51"/>
      <c r="AM27" s="475"/>
      <c r="AN27" s="51"/>
      <c r="AO27" s="475"/>
      <c r="AP27" s="51"/>
      <c r="AQ27" s="475"/>
      <c r="AR27" s="51"/>
      <c r="AS27" s="475"/>
      <c r="AT27" s="51"/>
      <c r="AU27" s="475"/>
      <c r="AV27" s="51"/>
      <c r="AW27" s="475"/>
      <c r="AX27" s="51"/>
      <c r="AY27" s="475"/>
      <c r="AZ27" s="51"/>
      <c r="BA27" s="51"/>
      <c r="BB27" s="51"/>
      <c r="BC27" s="51"/>
      <c r="BD27" s="51"/>
      <c r="BE27" s="51"/>
      <c r="BF27" s="51"/>
      <c r="BG27" s="475"/>
      <c r="BH27" s="51"/>
      <c r="BI27" s="475"/>
      <c r="BJ27" s="51"/>
    </row>
    <row r="28" spans="1:62" ht="135" customHeight="1">
      <c r="A28" s="3736"/>
      <c r="B28" s="3737"/>
      <c r="C28" s="3738"/>
      <c r="D28" s="3736"/>
      <c r="E28" s="3737"/>
      <c r="F28" s="3738"/>
      <c r="G28" s="3736"/>
      <c r="H28" s="3737"/>
      <c r="I28" s="3738"/>
      <c r="J28" s="805">
        <v>114</v>
      </c>
      <c r="K28" s="671" t="s">
        <v>724</v>
      </c>
      <c r="L28" s="671" t="s">
        <v>725</v>
      </c>
      <c r="M28" s="806">
        <v>30</v>
      </c>
      <c r="N28" s="864">
        <v>0</v>
      </c>
      <c r="O28" s="624" t="s">
        <v>738</v>
      </c>
      <c r="P28" s="618">
        <v>44</v>
      </c>
      <c r="Q28" s="672" t="s">
        <v>739</v>
      </c>
      <c r="R28" s="709">
        <f>W28/S28</f>
        <v>1</v>
      </c>
      <c r="S28" s="622">
        <v>513599</v>
      </c>
      <c r="T28" s="671" t="s">
        <v>740</v>
      </c>
      <c r="U28" s="671" t="s">
        <v>741</v>
      </c>
      <c r="V28" s="672" t="s">
        <v>742</v>
      </c>
      <c r="W28" s="863">
        <v>513599</v>
      </c>
      <c r="X28" s="172"/>
      <c r="Y28" s="172"/>
      <c r="Z28" s="216" t="s">
        <v>743</v>
      </c>
      <c r="AA28" s="624" t="s">
        <v>744</v>
      </c>
      <c r="AB28" s="807">
        <v>64149</v>
      </c>
      <c r="AC28" s="808"/>
      <c r="AD28" s="809">
        <v>7224</v>
      </c>
      <c r="AE28" s="811"/>
      <c r="AF28" s="810">
        <v>27477</v>
      </c>
      <c r="AG28" s="811"/>
      <c r="AH28" s="810">
        <v>86843</v>
      </c>
      <c r="AI28" s="811"/>
      <c r="AJ28" s="810">
        <v>236429</v>
      </c>
      <c r="AK28" s="811"/>
      <c r="AL28" s="809">
        <v>0</v>
      </c>
      <c r="AM28" s="811"/>
      <c r="AN28" s="809">
        <v>13208</v>
      </c>
      <c r="AO28" s="811"/>
      <c r="AP28" s="809">
        <v>1817</v>
      </c>
      <c r="AQ28" s="811"/>
      <c r="AR28" s="809">
        <v>520</v>
      </c>
      <c r="AS28" s="811"/>
      <c r="AT28" s="809">
        <v>0</v>
      </c>
      <c r="AU28" s="811"/>
      <c r="AV28" s="809">
        <v>16897</v>
      </c>
      <c r="AW28" s="811"/>
      <c r="AX28" s="809">
        <v>0</v>
      </c>
      <c r="AY28" s="808"/>
      <c r="AZ28" s="474"/>
      <c r="BA28" s="812">
        <v>0</v>
      </c>
      <c r="BB28" s="812">
        <v>0</v>
      </c>
      <c r="BC28" s="813">
        <v>0</v>
      </c>
      <c r="BD28" s="814" t="s">
        <v>745</v>
      </c>
      <c r="BE28" s="216"/>
      <c r="BF28" s="815">
        <v>42583</v>
      </c>
      <c r="BG28" s="865"/>
      <c r="BH28" s="815">
        <v>42735</v>
      </c>
      <c r="BI28" s="865"/>
      <c r="BJ28" s="814" t="s">
        <v>733</v>
      </c>
    </row>
    <row r="29" spans="1:62" ht="30" customHeight="1">
      <c r="A29" s="3736"/>
      <c r="B29" s="3737"/>
      <c r="C29" s="3738"/>
      <c r="D29" s="3736"/>
      <c r="E29" s="3737"/>
      <c r="F29" s="3738"/>
      <c r="G29" s="3736"/>
      <c r="H29" s="3737"/>
      <c r="I29" s="3738"/>
      <c r="J29" s="51"/>
      <c r="K29" s="51"/>
      <c r="L29" s="51"/>
      <c r="M29" s="51"/>
      <c r="N29" s="475"/>
      <c r="O29" s="51"/>
      <c r="P29" s="51"/>
      <c r="Q29" s="51"/>
      <c r="R29" s="51"/>
      <c r="S29" s="51"/>
      <c r="T29" s="51"/>
      <c r="U29" s="51"/>
      <c r="V29" s="51"/>
      <c r="W29" s="798"/>
      <c r="X29" s="799"/>
      <c r="Y29" s="799"/>
      <c r="Z29" s="51"/>
      <c r="AA29" s="51"/>
      <c r="AB29" s="51"/>
      <c r="AC29" s="475"/>
      <c r="AD29" s="51"/>
      <c r="AE29" s="475"/>
      <c r="AF29" s="51"/>
      <c r="AG29" s="475"/>
      <c r="AH29" s="51"/>
      <c r="AI29" s="475"/>
      <c r="AJ29" s="51"/>
      <c r="AK29" s="475"/>
      <c r="AL29" s="51"/>
      <c r="AM29" s="475"/>
      <c r="AN29" s="51"/>
      <c r="AO29" s="475"/>
      <c r="AP29" s="51"/>
      <c r="AQ29" s="475"/>
      <c r="AR29" s="51"/>
      <c r="AS29" s="475"/>
      <c r="AT29" s="51"/>
      <c r="AU29" s="475"/>
      <c r="AV29" s="51"/>
      <c r="AW29" s="475"/>
      <c r="AX29" s="51"/>
      <c r="AY29" s="475"/>
      <c r="AZ29" s="51"/>
      <c r="BA29" s="51"/>
      <c r="BB29" s="51"/>
      <c r="BC29" s="51"/>
      <c r="BD29" s="51"/>
      <c r="BE29" s="51"/>
      <c r="BF29" s="51"/>
      <c r="BG29" s="475"/>
      <c r="BH29" s="51"/>
      <c r="BI29" s="475"/>
      <c r="BJ29" s="51"/>
    </row>
    <row r="30" spans="1:62" ht="78" customHeight="1">
      <c r="A30" s="3736"/>
      <c r="B30" s="3737"/>
      <c r="C30" s="3738"/>
      <c r="D30" s="3736"/>
      <c r="E30" s="3737"/>
      <c r="F30" s="3738"/>
      <c r="G30" s="3736"/>
      <c r="H30" s="3737"/>
      <c r="I30" s="3738"/>
      <c r="J30" s="3776">
        <v>114</v>
      </c>
      <c r="K30" s="2909" t="s">
        <v>724</v>
      </c>
      <c r="L30" s="2909" t="s">
        <v>725</v>
      </c>
      <c r="M30" s="3768">
        <v>30</v>
      </c>
      <c r="N30" s="3764">
        <v>0</v>
      </c>
      <c r="O30" s="2909" t="s">
        <v>746</v>
      </c>
      <c r="P30" s="2931">
        <v>45</v>
      </c>
      <c r="Q30" s="2909" t="s">
        <v>747</v>
      </c>
      <c r="R30" s="677">
        <f>W30/S30</f>
        <v>0.0007156683835579815</v>
      </c>
      <c r="S30" s="3277">
        <f>123200000+513599+574934003</f>
        <v>698647602</v>
      </c>
      <c r="T30" s="2909" t="s">
        <v>748</v>
      </c>
      <c r="U30" s="2909" t="s">
        <v>749</v>
      </c>
      <c r="V30" s="624" t="s">
        <v>750</v>
      </c>
      <c r="W30" s="863">
        <v>500000</v>
      </c>
      <c r="X30" s="172"/>
      <c r="Y30" s="172"/>
      <c r="Z30" s="3722">
        <v>33</v>
      </c>
      <c r="AA30" s="2909" t="s">
        <v>751</v>
      </c>
      <c r="AB30" s="3724">
        <v>0</v>
      </c>
      <c r="AC30" s="3726"/>
      <c r="AD30" s="3724">
        <v>500</v>
      </c>
      <c r="AE30" s="3726"/>
      <c r="AF30" s="3724">
        <v>500</v>
      </c>
      <c r="AG30" s="3726"/>
      <c r="AH30" s="3724">
        <v>500</v>
      </c>
      <c r="AI30" s="3726"/>
      <c r="AJ30" s="3724">
        <v>500</v>
      </c>
      <c r="AK30" s="3726"/>
      <c r="AL30" s="3724">
        <v>0</v>
      </c>
      <c r="AM30" s="3726"/>
      <c r="AN30" s="3724">
        <v>100</v>
      </c>
      <c r="AO30" s="3726"/>
      <c r="AP30" s="3724">
        <v>100</v>
      </c>
      <c r="AQ30" s="3726"/>
      <c r="AR30" s="3724">
        <v>20</v>
      </c>
      <c r="AS30" s="3726"/>
      <c r="AT30" s="3724">
        <v>0</v>
      </c>
      <c r="AU30" s="3726"/>
      <c r="AV30" s="3724">
        <v>32</v>
      </c>
      <c r="AW30" s="3726"/>
      <c r="AX30" s="3724">
        <v>0</v>
      </c>
      <c r="AY30" s="3726"/>
      <c r="AZ30" s="3722"/>
      <c r="BA30" s="3722"/>
      <c r="BB30" s="3722"/>
      <c r="BC30" s="3722"/>
      <c r="BD30" s="3722"/>
      <c r="BE30" s="3722"/>
      <c r="BF30" s="3723">
        <v>42583</v>
      </c>
      <c r="BG30" s="2918"/>
      <c r="BH30" s="3723">
        <v>42735</v>
      </c>
      <c r="BI30" s="2918"/>
      <c r="BJ30" s="3722" t="s">
        <v>733</v>
      </c>
    </row>
    <row r="31" spans="1:62" ht="85.5" customHeight="1">
      <c r="A31" s="3736"/>
      <c r="B31" s="3737"/>
      <c r="C31" s="3738"/>
      <c r="D31" s="3736"/>
      <c r="E31" s="3737"/>
      <c r="F31" s="3738"/>
      <c r="G31" s="3736"/>
      <c r="H31" s="3737"/>
      <c r="I31" s="3738"/>
      <c r="J31" s="3776"/>
      <c r="K31" s="2909"/>
      <c r="L31" s="2909"/>
      <c r="M31" s="3768"/>
      <c r="N31" s="3764"/>
      <c r="O31" s="2909"/>
      <c r="P31" s="2931"/>
      <c r="Q31" s="2909"/>
      <c r="R31" s="677">
        <f>W31/S30</f>
        <v>0.999284331616442</v>
      </c>
      <c r="S31" s="3277"/>
      <c r="T31" s="2909"/>
      <c r="U31" s="2909"/>
      <c r="V31" s="624" t="s">
        <v>752</v>
      </c>
      <c r="W31" s="863">
        <v>698147602</v>
      </c>
      <c r="X31" s="172"/>
      <c r="Y31" s="172"/>
      <c r="Z31" s="3722"/>
      <c r="AA31" s="2909"/>
      <c r="AB31" s="3724"/>
      <c r="AC31" s="3726"/>
      <c r="AD31" s="3724"/>
      <c r="AE31" s="3726"/>
      <c r="AF31" s="3724"/>
      <c r="AG31" s="3726"/>
      <c r="AH31" s="3724"/>
      <c r="AI31" s="3726"/>
      <c r="AJ31" s="3724"/>
      <c r="AK31" s="3726"/>
      <c r="AL31" s="3724"/>
      <c r="AM31" s="3726"/>
      <c r="AN31" s="3724"/>
      <c r="AO31" s="3726"/>
      <c r="AP31" s="3724"/>
      <c r="AQ31" s="3726"/>
      <c r="AR31" s="3724"/>
      <c r="AS31" s="3726"/>
      <c r="AT31" s="3724"/>
      <c r="AU31" s="3726"/>
      <c r="AV31" s="3724"/>
      <c r="AW31" s="3726"/>
      <c r="AX31" s="3724"/>
      <c r="AY31" s="3726"/>
      <c r="AZ31" s="3722"/>
      <c r="BA31" s="3722"/>
      <c r="BB31" s="3722"/>
      <c r="BC31" s="3722"/>
      <c r="BD31" s="3722"/>
      <c r="BE31" s="3722"/>
      <c r="BF31" s="3723"/>
      <c r="BG31" s="2937"/>
      <c r="BH31" s="3723"/>
      <c r="BI31" s="2937"/>
      <c r="BJ31" s="3722"/>
    </row>
    <row r="32" spans="1:62" ht="36.75" customHeight="1">
      <c r="A32" s="3736"/>
      <c r="B32" s="3737"/>
      <c r="C32" s="3738"/>
      <c r="D32" s="3736"/>
      <c r="E32" s="3737"/>
      <c r="F32" s="3738"/>
      <c r="G32" s="3736"/>
      <c r="H32" s="3737"/>
      <c r="I32" s="3738"/>
      <c r="J32" s="51"/>
      <c r="K32" s="51"/>
      <c r="L32" s="51"/>
      <c r="M32" s="51"/>
      <c r="N32" s="475"/>
      <c r="O32" s="51"/>
      <c r="P32" s="51"/>
      <c r="Q32" s="51"/>
      <c r="R32" s="51"/>
      <c r="S32" s="51"/>
      <c r="T32" s="51"/>
      <c r="U32" s="51"/>
      <c r="V32" s="51"/>
      <c r="W32" s="798"/>
      <c r="X32" s="799"/>
      <c r="Y32" s="799"/>
      <c r="Z32" s="51"/>
      <c r="AA32" s="51"/>
      <c r="AB32" s="51"/>
      <c r="AC32" s="475"/>
      <c r="AD32" s="51"/>
      <c r="AE32" s="475"/>
      <c r="AF32" s="51"/>
      <c r="AG32" s="475"/>
      <c r="AH32" s="51"/>
      <c r="AI32" s="475"/>
      <c r="AJ32" s="51"/>
      <c r="AK32" s="475"/>
      <c r="AL32" s="51"/>
      <c r="AM32" s="475"/>
      <c r="AN32" s="51"/>
      <c r="AO32" s="475"/>
      <c r="AP32" s="51"/>
      <c r="AQ32" s="475"/>
      <c r="AR32" s="51"/>
      <c r="AS32" s="475"/>
      <c r="AT32" s="51"/>
      <c r="AU32" s="475"/>
      <c r="AV32" s="51"/>
      <c r="AW32" s="475"/>
      <c r="AX32" s="51"/>
      <c r="AY32" s="475"/>
      <c r="AZ32" s="51"/>
      <c r="BA32" s="51"/>
      <c r="BB32" s="51"/>
      <c r="BC32" s="51"/>
      <c r="BD32" s="51"/>
      <c r="BE32" s="51"/>
      <c r="BF32" s="51"/>
      <c r="BG32" s="475"/>
      <c r="BH32" s="51"/>
      <c r="BI32" s="475"/>
      <c r="BJ32" s="51"/>
    </row>
    <row r="33" spans="1:62" ht="57.75" customHeight="1">
      <c r="A33" s="3736"/>
      <c r="B33" s="3737"/>
      <c r="C33" s="3738"/>
      <c r="D33" s="3736"/>
      <c r="E33" s="3737"/>
      <c r="F33" s="3738"/>
      <c r="G33" s="3736"/>
      <c r="H33" s="3737"/>
      <c r="I33" s="3738"/>
      <c r="J33" s="3776">
        <v>114</v>
      </c>
      <c r="K33" s="2931" t="s">
        <v>724</v>
      </c>
      <c r="L33" s="2909" t="s">
        <v>753</v>
      </c>
      <c r="M33" s="3768">
        <v>30</v>
      </c>
      <c r="N33" s="3764">
        <v>16</v>
      </c>
      <c r="O33" s="2931" t="s">
        <v>754</v>
      </c>
      <c r="P33" s="2905">
        <v>46</v>
      </c>
      <c r="Q33" s="2909" t="s">
        <v>755</v>
      </c>
      <c r="R33" s="3755">
        <f>W33/S33</f>
        <v>0.34336929457447346</v>
      </c>
      <c r="S33" s="3277">
        <v>1898332793</v>
      </c>
      <c r="T33" s="2909" t="s">
        <v>756</v>
      </c>
      <c r="U33" s="2931" t="s">
        <v>757</v>
      </c>
      <c r="V33" s="2931" t="s">
        <v>758</v>
      </c>
      <c r="W33" s="3774">
        <f>639329192+12500000</f>
        <v>651829192</v>
      </c>
      <c r="X33" s="3772">
        <f>638515333+12500000</f>
        <v>651015333</v>
      </c>
      <c r="Y33" s="3772">
        <f>638515333+12500000</f>
        <v>651015333</v>
      </c>
      <c r="Z33" s="3722">
        <v>20</v>
      </c>
      <c r="AA33" s="2931" t="s">
        <v>731</v>
      </c>
      <c r="AB33" s="3773">
        <v>64149</v>
      </c>
      <c r="AC33" s="3726"/>
      <c r="AD33" s="3773">
        <v>72224</v>
      </c>
      <c r="AE33" s="3726">
        <v>1000</v>
      </c>
      <c r="AF33" s="3773">
        <v>27477</v>
      </c>
      <c r="AG33" s="3726">
        <v>1500</v>
      </c>
      <c r="AH33" s="3773">
        <v>86843</v>
      </c>
      <c r="AI33" s="3726">
        <v>600</v>
      </c>
      <c r="AJ33" s="3773">
        <v>236429</v>
      </c>
      <c r="AK33" s="3726">
        <v>600</v>
      </c>
      <c r="AL33" s="3773">
        <v>0</v>
      </c>
      <c r="AM33" s="3726">
        <v>1400</v>
      </c>
      <c r="AN33" s="3773">
        <v>13208</v>
      </c>
      <c r="AO33" s="3726"/>
      <c r="AP33" s="3773">
        <v>1817</v>
      </c>
      <c r="AQ33" s="3726"/>
      <c r="AR33" s="3773">
        <v>520</v>
      </c>
      <c r="AS33" s="3726"/>
      <c r="AT33" s="3773">
        <v>0</v>
      </c>
      <c r="AU33" s="3726"/>
      <c r="AV33" s="3773">
        <v>16897</v>
      </c>
      <c r="AW33" s="3726"/>
      <c r="AX33" s="3773">
        <v>0</v>
      </c>
      <c r="AY33" s="3726"/>
      <c r="AZ33" s="2938">
        <v>42</v>
      </c>
      <c r="BA33" s="3775">
        <f>638515333+12500000</f>
        <v>651015333</v>
      </c>
      <c r="BB33" s="3775">
        <f>638515333+12500000</f>
        <v>651015333</v>
      </c>
      <c r="BC33" s="2924">
        <f>BB33/BA33</f>
        <v>1</v>
      </c>
      <c r="BD33" s="3722" t="s">
        <v>676</v>
      </c>
      <c r="BE33" s="216" t="s">
        <v>759</v>
      </c>
      <c r="BF33" s="3760">
        <v>42612</v>
      </c>
      <c r="BG33" s="2918">
        <v>42612</v>
      </c>
      <c r="BH33" s="2898">
        <v>42735</v>
      </c>
      <c r="BI33" s="2918">
        <v>42735</v>
      </c>
      <c r="BJ33" s="3722" t="s">
        <v>733</v>
      </c>
    </row>
    <row r="34" spans="1:62" ht="33" customHeight="1">
      <c r="A34" s="3736"/>
      <c r="B34" s="3737"/>
      <c r="C34" s="3738"/>
      <c r="D34" s="3736"/>
      <c r="E34" s="3737"/>
      <c r="F34" s="3738"/>
      <c r="G34" s="3736"/>
      <c r="H34" s="3737"/>
      <c r="I34" s="3738"/>
      <c r="J34" s="3776"/>
      <c r="K34" s="2931"/>
      <c r="L34" s="2909"/>
      <c r="M34" s="3768"/>
      <c r="N34" s="3764"/>
      <c r="O34" s="2931"/>
      <c r="P34" s="2906"/>
      <c r="Q34" s="2909"/>
      <c r="R34" s="3755"/>
      <c r="S34" s="3277"/>
      <c r="T34" s="2909"/>
      <c r="U34" s="2931"/>
      <c r="V34" s="2931"/>
      <c r="W34" s="3774"/>
      <c r="X34" s="3772"/>
      <c r="Y34" s="3772"/>
      <c r="Z34" s="3722"/>
      <c r="AA34" s="2931"/>
      <c r="AB34" s="3773"/>
      <c r="AC34" s="3726"/>
      <c r="AD34" s="3773"/>
      <c r="AE34" s="3726"/>
      <c r="AF34" s="3773"/>
      <c r="AG34" s="3726"/>
      <c r="AH34" s="3773"/>
      <c r="AI34" s="3726"/>
      <c r="AJ34" s="3773"/>
      <c r="AK34" s="3726"/>
      <c r="AL34" s="3773"/>
      <c r="AM34" s="3726"/>
      <c r="AN34" s="3773"/>
      <c r="AO34" s="3726"/>
      <c r="AP34" s="3773"/>
      <c r="AQ34" s="3726"/>
      <c r="AR34" s="3773"/>
      <c r="AS34" s="3726"/>
      <c r="AT34" s="3773"/>
      <c r="AU34" s="3726"/>
      <c r="AV34" s="3773"/>
      <c r="AW34" s="3726"/>
      <c r="AX34" s="3773"/>
      <c r="AY34" s="3726"/>
      <c r="AZ34" s="2939"/>
      <c r="BA34" s="3775"/>
      <c r="BB34" s="3775"/>
      <c r="BC34" s="2924"/>
      <c r="BD34" s="3722"/>
      <c r="BE34" s="3722" t="s">
        <v>760</v>
      </c>
      <c r="BF34" s="3761"/>
      <c r="BG34" s="2919"/>
      <c r="BH34" s="2899"/>
      <c r="BI34" s="2919"/>
      <c r="BJ34" s="3722"/>
    </row>
    <row r="35" spans="1:62" ht="72" customHeight="1">
      <c r="A35" s="3736"/>
      <c r="B35" s="3737"/>
      <c r="C35" s="3738"/>
      <c r="D35" s="3736"/>
      <c r="E35" s="3737"/>
      <c r="F35" s="3738"/>
      <c r="G35" s="3736"/>
      <c r="H35" s="3737"/>
      <c r="I35" s="3738"/>
      <c r="J35" s="3776"/>
      <c r="K35" s="2931"/>
      <c r="L35" s="2909"/>
      <c r="M35" s="3768"/>
      <c r="N35" s="3764"/>
      <c r="O35" s="2931"/>
      <c r="P35" s="2906"/>
      <c r="Q35" s="2909"/>
      <c r="R35" s="3755"/>
      <c r="S35" s="3277"/>
      <c r="T35" s="2909"/>
      <c r="U35" s="2931"/>
      <c r="V35" s="2931"/>
      <c r="W35" s="3774"/>
      <c r="X35" s="3772"/>
      <c r="Y35" s="3772"/>
      <c r="Z35" s="3722"/>
      <c r="AA35" s="2931"/>
      <c r="AB35" s="3773"/>
      <c r="AC35" s="3726"/>
      <c r="AD35" s="3773"/>
      <c r="AE35" s="3726"/>
      <c r="AF35" s="3773"/>
      <c r="AG35" s="3726"/>
      <c r="AH35" s="3773"/>
      <c r="AI35" s="3726"/>
      <c r="AJ35" s="3773"/>
      <c r="AK35" s="3726"/>
      <c r="AL35" s="3773"/>
      <c r="AM35" s="3726"/>
      <c r="AN35" s="3773"/>
      <c r="AO35" s="3726"/>
      <c r="AP35" s="3773"/>
      <c r="AQ35" s="3726"/>
      <c r="AR35" s="3773"/>
      <c r="AS35" s="3726"/>
      <c r="AT35" s="3773"/>
      <c r="AU35" s="3726"/>
      <c r="AV35" s="3773"/>
      <c r="AW35" s="3726"/>
      <c r="AX35" s="3773"/>
      <c r="AY35" s="3726"/>
      <c r="AZ35" s="2939"/>
      <c r="BA35" s="3775"/>
      <c r="BB35" s="3775"/>
      <c r="BC35" s="2924"/>
      <c r="BD35" s="3722"/>
      <c r="BE35" s="3722"/>
      <c r="BF35" s="3761"/>
      <c r="BG35" s="2919"/>
      <c r="BH35" s="2899"/>
      <c r="BI35" s="2919"/>
      <c r="BJ35" s="3722"/>
    </row>
    <row r="36" spans="1:62" ht="38.25" customHeight="1">
      <c r="A36" s="3736"/>
      <c r="B36" s="3737"/>
      <c r="C36" s="3738"/>
      <c r="D36" s="3736"/>
      <c r="E36" s="3737"/>
      <c r="F36" s="3738"/>
      <c r="G36" s="3736"/>
      <c r="H36" s="3737"/>
      <c r="I36" s="3738"/>
      <c r="J36" s="3776"/>
      <c r="K36" s="2931"/>
      <c r="L36" s="2909"/>
      <c r="M36" s="3768"/>
      <c r="N36" s="3764"/>
      <c r="O36" s="2931"/>
      <c r="P36" s="2906"/>
      <c r="Q36" s="2909"/>
      <c r="R36" s="3755"/>
      <c r="S36" s="3277"/>
      <c r="T36" s="2909"/>
      <c r="U36" s="2931"/>
      <c r="V36" s="2931"/>
      <c r="W36" s="3774"/>
      <c r="X36" s="3772"/>
      <c r="Y36" s="3772"/>
      <c r="Z36" s="3722"/>
      <c r="AA36" s="2931"/>
      <c r="AB36" s="3773"/>
      <c r="AC36" s="3726"/>
      <c r="AD36" s="3773"/>
      <c r="AE36" s="3726"/>
      <c r="AF36" s="3773"/>
      <c r="AG36" s="3726"/>
      <c r="AH36" s="3773"/>
      <c r="AI36" s="3726"/>
      <c r="AJ36" s="3773"/>
      <c r="AK36" s="3726"/>
      <c r="AL36" s="3773"/>
      <c r="AM36" s="3726"/>
      <c r="AN36" s="3773"/>
      <c r="AO36" s="3726"/>
      <c r="AP36" s="3773"/>
      <c r="AQ36" s="3726"/>
      <c r="AR36" s="3773"/>
      <c r="AS36" s="3726"/>
      <c r="AT36" s="3773"/>
      <c r="AU36" s="3726"/>
      <c r="AV36" s="3773"/>
      <c r="AW36" s="3726"/>
      <c r="AX36" s="3773"/>
      <c r="AY36" s="3726"/>
      <c r="AZ36" s="2939"/>
      <c r="BA36" s="3775"/>
      <c r="BB36" s="3775"/>
      <c r="BC36" s="2924"/>
      <c r="BD36" s="3722"/>
      <c r="BE36" s="216" t="s">
        <v>761</v>
      </c>
      <c r="BF36" s="3761"/>
      <c r="BG36" s="2919"/>
      <c r="BH36" s="2899"/>
      <c r="BI36" s="2919"/>
      <c r="BJ36" s="3722"/>
    </row>
    <row r="37" spans="1:62" ht="60" customHeight="1">
      <c r="A37" s="3736"/>
      <c r="B37" s="3737"/>
      <c r="C37" s="3738"/>
      <c r="D37" s="3736"/>
      <c r="E37" s="3737"/>
      <c r="F37" s="3738"/>
      <c r="G37" s="3736"/>
      <c r="H37" s="3737"/>
      <c r="I37" s="3738"/>
      <c r="J37" s="3784">
        <v>115</v>
      </c>
      <c r="K37" s="2905" t="s">
        <v>762</v>
      </c>
      <c r="L37" s="2909"/>
      <c r="M37" s="3749">
        <v>16</v>
      </c>
      <c r="N37" s="3752">
        <v>27</v>
      </c>
      <c r="O37" s="2905" t="s">
        <v>763</v>
      </c>
      <c r="P37" s="2906"/>
      <c r="Q37" s="2909"/>
      <c r="R37" s="2915">
        <f>W37/S33</f>
        <v>0.5914611000453807</v>
      </c>
      <c r="S37" s="3277"/>
      <c r="T37" s="2909"/>
      <c r="U37" s="2909" t="s">
        <v>764</v>
      </c>
      <c r="V37" s="2931" t="s">
        <v>765</v>
      </c>
      <c r="W37" s="3771">
        <f>1106540002+16250000</f>
        <v>1122790002</v>
      </c>
      <c r="X37" s="3772">
        <f>482616578+16250000</f>
        <v>498866578</v>
      </c>
      <c r="Y37" s="3772">
        <f>482616578+16250000</f>
        <v>498866578</v>
      </c>
      <c r="Z37" s="2926">
        <v>39</v>
      </c>
      <c r="AA37" s="2926" t="s">
        <v>766</v>
      </c>
      <c r="AB37" s="2907"/>
      <c r="AC37" s="2977"/>
      <c r="AD37" s="3724"/>
      <c r="AE37" s="3726"/>
      <c r="AF37" s="3724"/>
      <c r="AG37" s="3726"/>
      <c r="AH37" s="3724"/>
      <c r="AI37" s="3726"/>
      <c r="AJ37" s="3724"/>
      <c r="AK37" s="3726"/>
      <c r="AL37" s="3724"/>
      <c r="AM37" s="3726"/>
      <c r="AN37" s="3724"/>
      <c r="AO37" s="3726"/>
      <c r="AP37" s="3724"/>
      <c r="AQ37" s="3726"/>
      <c r="AR37" s="3724"/>
      <c r="AS37" s="3726"/>
      <c r="AT37" s="3724"/>
      <c r="AU37" s="3726"/>
      <c r="AV37" s="3724"/>
      <c r="AW37" s="3726"/>
      <c r="AX37" s="3724"/>
      <c r="AY37" s="3726"/>
      <c r="AZ37" s="2939"/>
      <c r="BA37" s="3770">
        <f>482616578+16250000</f>
        <v>498866578</v>
      </c>
      <c r="BB37" s="3770">
        <f>482616578+16250000</f>
        <v>498866578</v>
      </c>
      <c r="BC37" s="2924">
        <f>BB37/BA37</f>
        <v>1</v>
      </c>
      <c r="BD37" s="3722" t="s">
        <v>767</v>
      </c>
      <c r="BE37" s="216" t="s">
        <v>760</v>
      </c>
      <c r="BF37" s="3761"/>
      <c r="BG37" s="2919"/>
      <c r="BH37" s="2899"/>
      <c r="BI37" s="2919"/>
      <c r="BJ37" s="3722" t="s">
        <v>733</v>
      </c>
    </row>
    <row r="38" spans="1:62" ht="57.75" customHeight="1">
      <c r="A38" s="3736"/>
      <c r="B38" s="3737"/>
      <c r="C38" s="3738"/>
      <c r="D38" s="3736"/>
      <c r="E38" s="3737"/>
      <c r="F38" s="3738"/>
      <c r="G38" s="3736"/>
      <c r="H38" s="3737"/>
      <c r="I38" s="3738"/>
      <c r="J38" s="3785"/>
      <c r="K38" s="2906"/>
      <c r="L38" s="2909"/>
      <c r="M38" s="3750"/>
      <c r="N38" s="3753"/>
      <c r="O38" s="2906"/>
      <c r="P38" s="2906"/>
      <c r="Q38" s="2909"/>
      <c r="R38" s="2916"/>
      <c r="S38" s="3277"/>
      <c r="T38" s="2909"/>
      <c r="U38" s="2909"/>
      <c r="V38" s="2931"/>
      <c r="W38" s="3771"/>
      <c r="X38" s="3772"/>
      <c r="Y38" s="3772"/>
      <c r="Z38" s="2926"/>
      <c r="AA38" s="2926"/>
      <c r="AB38" s="2908"/>
      <c r="AC38" s="2978"/>
      <c r="AD38" s="3724"/>
      <c r="AE38" s="3726"/>
      <c r="AF38" s="3724"/>
      <c r="AG38" s="3726"/>
      <c r="AH38" s="3724"/>
      <c r="AI38" s="3726"/>
      <c r="AJ38" s="3724"/>
      <c r="AK38" s="3726"/>
      <c r="AL38" s="3724"/>
      <c r="AM38" s="3726"/>
      <c r="AN38" s="3724"/>
      <c r="AO38" s="3726"/>
      <c r="AP38" s="3724"/>
      <c r="AQ38" s="3726"/>
      <c r="AR38" s="3724"/>
      <c r="AS38" s="3726"/>
      <c r="AT38" s="3724"/>
      <c r="AU38" s="3726"/>
      <c r="AV38" s="3724"/>
      <c r="AW38" s="3726"/>
      <c r="AX38" s="3724"/>
      <c r="AY38" s="3726"/>
      <c r="AZ38" s="2939"/>
      <c r="BA38" s="3770"/>
      <c r="BB38" s="3770"/>
      <c r="BC38" s="2924"/>
      <c r="BD38" s="3722"/>
      <c r="BE38" s="216" t="s">
        <v>761</v>
      </c>
      <c r="BF38" s="3761"/>
      <c r="BG38" s="2919"/>
      <c r="BH38" s="2899"/>
      <c r="BI38" s="2919"/>
      <c r="BJ38" s="3722"/>
    </row>
    <row r="39" spans="1:62" ht="57.75" customHeight="1">
      <c r="A39" s="3736"/>
      <c r="B39" s="3737"/>
      <c r="C39" s="3738"/>
      <c r="D39" s="3736"/>
      <c r="E39" s="3737"/>
      <c r="F39" s="3738"/>
      <c r="G39" s="3736"/>
      <c r="H39" s="3737"/>
      <c r="I39" s="3738"/>
      <c r="J39" s="3785"/>
      <c r="K39" s="2906"/>
      <c r="L39" s="2909"/>
      <c r="M39" s="3750"/>
      <c r="N39" s="3753"/>
      <c r="O39" s="2906"/>
      <c r="P39" s="2906"/>
      <c r="Q39" s="2909"/>
      <c r="R39" s="2916"/>
      <c r="S39" s="3277"/>
      <c r="T39" s="2909"/>
      <c r="U39" s="2909"/>
      <c r="V39" s="2931"/>
      <c r="W39" s="3771"/>
      <c r="X39" s="3772"/>
      <c r="Y39" s="3772"/>
      <c r="Z39" s="2926"/>
      <c r="AA39" s="2926"/>
      <c r="AB39" s="2908"/>
      <c r="AC39" s="2978"/>
      <c r="AD39" s="3724"/>
      <c r="AE39" s="3726"/>
      <c r="AF39" s="3724"/>
      <c r="AG39" s="3726"/>
      <c r="AH39" s="3724"/>
      <c r="AI39" s="3726"/>
      <c r="AJ39" s="3724"/>
      <c r="AK39" s="3726"/>
      <c r="AL39" s="3724"/>
      <c r="AM39" s="3726"/>
      <c r="AN39" s="3724"/>
      <c r="AO39" s="3726"/>
      <c r="AP39" s="3724"/>
      <c r="AQ39" s="3726"/>
      <c r="AR39" s="3724"/>
      <c r="AS39" s="3726"/>
      <c r="AT39" s="3724"/>
      <c r="AU39" s="3726"/>
      <c r="AV39" s="3724"/>
      <c r="AW39" s="3726"/>
      <c r="AX39" s="3724"/>
      <c r="AY39" s="3726"/>
      <c r="AZ39" s="2939"/>
      <c r="BA39" s="3770"/>
      <c r="BB39" s="3770"/>
      <c r="BC39" s="2924"/>
      <c r="BD39" s="3722"/>
      <c r="BE39" s="216" t="s">
        <v>768</v>
      </c>
      <c r="BF39" s="3761"/>
      <c r="BG39" s="2919"/>
      <c r="BH39" s="2899"/>
      <c r="BI39" s="2919"/>
      <c r="BJ39" s="3722"/>
    </row>
    <row r="40" spans="1:62" ht="57.75" customHeight="1">
      <c r="A40" s="3736"/>
      <c r="B40" s="3737"/>
      <c r="C40" s="3738"/>
      <c r="D40" s="3736"/>
      <c r="E40" s="3737"/>
      <c r="F40" s="3738"/>
      <c r="G40" s="3736"/>
      <c r="H40" s="3737"/>
      <c r="I40" s="3738"/>
      <c r="J40" s="3785"/>
      <c r="K40" s="2906"/>
      <c r="L40" s="2909"/>
      <c r="M40" s="3750"/>
      <c r="N40" s="3753"/>
      <c r="O40" s="2906"/>
      <c r="P40" s="2906"/>
      <c r="Q40" s="2909"/>
      <c r="R40" s="2916"/>
      <c r="S40" s="3277"/>
      <c r="T40" s="2909"/>
      <c r="U40" s="2909"/>
      <c r="V40" s="2931"/>
      <c r="W40" s="3771"/>
      <c r="X40" s="3772"/>
      <c r="Y40" s="3772"/>
      <c r="Z40" s="2926"/>
      <c r="AA40" s="2926"/>
      <c r="AB40" s="2908"/>
      <c r="AC40" s="2978"/>
      <c r="AD40" s="3724"/>
      <c r="AE40" s="3726"/>
      <c r="AF40" s="3724"/>
      <c r="AG40" s="3726"/>
      <c r="AH40" s="3724"/>
      <c r="AI40" s="3726"/>
      <c r="AJ40" s="3724"/>
      <c r="AK40" s="3726"/>
      <c r="AL40" s="3724"/>
      <c r="AM40" s="3726"/>
      <c r="AN40" s="3724"/>
      <c r="AO40" s="3726"/>
      <c r="AP40" s="3724"/>
      <c r="AQ40" s="3726"/>
      <c r="AR40" s="3724"/>
      <c r="AS40" s="3726"/>
      <c r="AT40" s="3724"/>
      <c r="AU40" s="3726"/>
      <c r="AV40" s="3724"/>
      <c r="AW40" s="3726"/>
      <c r="AX40" s="3724"/>
      <c r="AY40" s="3726"/>
      <c r="AZ40" s="2939"/>
      <c r="BA40" s="3770"/>
      <c r="BB40" s="3770"/>
      <c r="BC40" s="2924"/>
      <c r="BD40" s="3722"/>
      <c r="BE40" s="216" t="s">
        <v>769</v>
      </c>
      <c r="BF40" s="3761"/>
      <c r="BG40" s="2919"/>
      <c r="BH40" s="2899"/>
      <c r="BI40" s="2919"/>
      <c r="BJ40" s="3722"/>
    </row>
    <row r="41" spans="1:62" ht="57.75" customHeight="1">
      <c r="A41" s="3736"/>
      <c r="B41" s="3737"/>
      <c r="C41" s="3738"/>
      <c r="D41" s="3736"/>
      <c r="E41" s="3737"/>
      <c r="F41" s="3738"/>
      <c r="G41" s="3736"/>
      <c r="H41" s="3737"/>
      <c r="I41" s="3738"/>
      <c r="J41" s="3785"/>
      <c r="K41" s="2906"/>
      <c r="L41" s="2909"/>
      <c r="M41" s="3750"/>
      <c r="N41" s="3753"/>
      <c r="O41" s="2906"/>
      <c r="P41" s="2906"/>
      <c r="Q41" s="2909"/>
      <c r="R41" s="2916"/>
      <c r="S41" s="3277"/>
      <c r="T41" s="2909"/>
      <c r="U41" s="2909"/>
      <c r="V41" s="2931"/>
      <c r="W41" s="3771"/>
      <c r="X41" s="3772"/>
      <c r="Y41" s="3772"/>
      <c r="Z41" s="2926"/>
      <c r="AA41" s="2926"/>
      <c r="AB41" s="2908"/>
      <c r="AC41" s="2978"/>
      <c r="AD41" s="3724"/>
      <c r="AE41" s="3726"/>
      <c r="AF41" s="3724"/>
      <c r="AG41" s="3726"/>
      <c r="AH41" s="3724"/>
      <c r="AI41" s="3726"/>
      <c r="AJ41" s="3724"/>
      <c r="AK41" s="3726"/>
      <c r="AL41" s="3724"/>
      <c r="AM41" s="3726"/>
      <c r="AN41" s="3724"/>
      <c r="AO41" s="3726"/>
      <c r="AP41" s="3724"/>
      <c r="AQ41" s="3726"/>
      <c r="AR41" s="3724"/>
      <c r="AS41" s="3726"/>
      <c r="AT41" s="3724"/>
      <c r="AU41" s="3726"/>
      <c r="AV41" s="3724"/>
      <c r="AW41" s="3726"/>
      <c r="AX41" s="3724"/>
      <c r="AY41" s="3726"/>
      <c r="AZ41" s="2939"/>
      <c r="BA41" s="3770"/>
      <c r="BB41" s="3770"/>
      <c r="BC41" s="2924"/>
      <c r="BD41" s="3722"/>
      <c r="BE41" s="216" t="s">
        <v>770</v>
      </c>
      <c r="BF41" s="3761"/>
      <c r="BG41" s="2919"/>
      <c r="BH41" s="2899"/>
      <c r="BI41" s="2919"/>
      <c r="BJ41" s="3722"/>
    </row>
    <row r="42" spans="1:62" ht="57.75" customHeight="1">
      <c r="A42" s="3736"/>
      <c r="B42" s="3737"/>
      <c r="C42" s="3738"/>
      <c r="D42" s="3736"/>
      <c r="E42" s="3737"/>
      <c r="F42" s="3738"/>
      <c r="G42" s="3736"/>
      <c r="H42" s="3737"/>
      <c r="I42" s="3738"/>
      <c r="J42" s="3785"/>
      <c r="K42" s="2906"/>
      <c r="L42" s="2909"/>
      <c r="M42" s="3750"/>
      <c r="N42" s="3753"/>
      <c r="O42" s="2906"/>
      <c r="P42" s="2906"/>
      <c r="Q42" s="2909"/>
      <c r="R42" s="2916"/>
      <c r="S42" s="3277"/>
      <c r="T42" s="2909"/>
      <c r="U42" s="2909"/>
      <c r="V42" s="2931"/>
      <c r="W42" s="3771"/>
      <c r="X42" s="3772"/>
      <c r="Y42" s="3772"/>
      <c r="Z42" s="2926"/>
      <c r="AA42" s="2926"/>
      <c r="AB42" s="2908"/>
      <c r="AC42" s="2978"/>
      <c r="AD42" s="3724"/>
      <c r="AE42" s="3726"/>
      <c r="AF42" s="3724"/>
      <c r="AG42" s="3726"/>
      <c r="AH42" s="3724"/>
      <c r="AI42" s="3726"/>
      <c r="AJ42" s="3724"/>
      <c r="AK42" s="3726"/>
      <c r="AL42" s="3724"/>
      <c r="AM42" s="3726"/>
      <c r="AN42" s="3724"/>
      <c r="AO42" s="3726"/>
      <c r="AP42" s="3724"/>
      <c r="AQ42" s="3726"/>
      <c r="AR42" s="3724"/>
      <c r="AS42" s="3726"/>
      <c r="AT42" s="3724"/>
      <c r="AU42" s="3726"/>
      <c r="AV42" s="3724"/>
      <c r="AW42" s="3726"/>
      <c r="AX42" s="3724"/>
      <c r="AY42" s="3726"/>
      <c r="AZ42" s="2939"/>
      <c r="BA42" s="3770"/>
      <c r="BB42" s="3770"/>
      <c r="BC42" s="2924"/>
      <c r="BD42" s="3722"/>
      <c r="BE42" s="814" t="s">
        <v>768</v>
      </c>
      <c r="BF42" s="3761"/>
      <c r="BG42" s="2919"/>
      <c r="BH42" s="2899"/>
      <c r="BI42" s="2919"/>
      <c r="BJ42" s="3722"/>
    </row>
    <row r="43" spans="1:62" ht="57.75" customHeight="1">
      <c r="A43" s="3736"/>
      <c r="B43" s="3737"/>
      <c r="C43" s="3738"/>
      <c r="D43" s="3736"/>
      <c r="E43" s="3737"/>
      <c r="F43" s="3738"/>
      <c r="G43" s="3736"/>
      <c r="H43" s="3737"/>
      <c r="I43" s="3738"/>
      <c r="J43" s="3785"/>
      <c r="K43" s="2906"/>
      <c r="L43" s="2909"/>
      <c r="M43" s="3750"/>
      <c r="N43" s="3753"/>
      <c r="O43" s="2906"/>
      <c r="P43" s="2906"/>
      <c r="Q43" s="2909"/>
      <c r="R43" s="2916"/>
      <c r="S43" s="3277"/>
      <c r="T43" s="2909"/>
      <c r="U43" s="2909"/>
      <c r="V43" s="2931"/>
      <c r="W43" s="3771"/>
      <c r="X43" s="3772"/>
      <c r="Y43" s="3772"/>
      <c r="Z43" s="2926"/>
      <c r="AA43" s="2926"/>
      <c r="AB43" s="2908"/>
      <c r="AC43" s="2978"/>
      <c r="AD43" s="3724"/>
      <c r="AE43" s="3726"/>
      <c r="AF43" s="3724"/>
      <c r="AG43" s="3726"/>
      <c r="AH43" s="3724"/>
      <c r="AI43" s="3726"/>
      <c r="AJ43" s="3724"/>
      <c r="AK43" s="3726"/>
      <c r="AL43" s="3724"/>
      <c r="AM43" s="3726"/>
      <c r="AN43" s="3724"/>
      <c r="AO43" s="3726"/>
      <c r="AP43" s="3724"/>
      <c r="AQ43" s="3726"/>
      <c r="AR43" s="3724"/>
      <c r="AS43" s="3726"/>
      <c r="AT43" s="3724"/>
      <c r="AU43" s="3726"/>
      <c r="AV43" s="3724"/>
      <c r="AW43" s="3726"/>
      <c r="AX43" s="3724"/>
      <c r="AY43" s="3726"/>
      <c r="AZ43" s="2939"/>
      <c r="BA43" s="3770"/>
      <c r="BB43" s="3770"/>
      <c r="BC43" s="2924"/>
      <c r="BD43" s="3722"/>
      <c r="BE43" s="812" t="s">
        <v>771</v>
      </c>
      <c r="BF43" s="3761"/>
      <c r="BG43" s="2919"/>
      <c r="BH43" s="2899"/>
      <c r="BI43" s="2919"/>
      <c r="BJ43" s="3722"/>
    </row>
    <row r="44" spans="1:62" ht="57.75" customHeight="1">
      <c r="A44" s="3736"/>
      <c r="B44" s="3737"/>
      <c r="C44" s="3738"/>
      <c r="D44" s="3736"/>
      <c r="E44" s="3737"/>
      <c r="F44" s="3738"/>
      <c r="G44" s="3736"/>
      <c r="H44" s="3737"/>
      <c r="I44" s="3738"/>
      <c r="J44" s="3785"/>
      <c r="K44" s="2906"/>
      <c r="L44" s="2909"/>
      <c r="M44" s="3750"/>
      <c r="N44" s="3753"/>
      <c r="O44" s="2906"/>
      <c r="P44" s="2906"/>
      <c r="Q44" s="2909"/>
      <c r="R44" s="2916"/>
      <c r="S44" s="3277"/>
      <c r="T44" s="2909"/>
      <c r="U44" s="2909"/>
      <c r="V44" s="2931"/>
      <c r="W44" s="3771"/>
      <c r="X44" s="3772"/>
      <c r="Y44" s="3772"/>
      <c r="Z44" s="2926"/>
      <c r="AA44" s="2926"/>
      <c r="AB44" s="2908"/>
      <c r="AC44" s="2978"/>
      <c r="AD44" s="3724"/>
      <c r="AE44" s="3726"/>
      <c r="AF44" s="3724"/>
      <c r="AG44" s="3726"/>
      <c r="AH44" s="3724"/>
      <c r="AI44" s="3726"/>
      <c r="AJ44" s="3724"/>
      <c r="AK44" s="3726"/>
      <c r="AL44" s="3724"/>
      <c r="AM44" s="3726"/>
      <c r="AN44" s="3724"/>
      <c r="AO44" s="3726"/>
      <c r="AP44" s="3724"/>
      <c r="AQ44" s="3726"/>
      <c r="AR44" s="3724"/>
      <c r="AS44" s="3726"/>
      <c r="AT44" s="3724"/>
      <c r="AU44" s="3726"/>
      <c r="AV44" s="3724"/>
      <c r="AW44" s="3726"/>
      <c r="AX44" s="3724"/>
      <c r="AY44" s="3726"/>
      <c r="AZ44" s="2939"/>
      <c r="BA44" s="3770"/>
      <c r="BB44" s="3770"/>
      <c r="BC44" s="2924"/>
      <c r="BD44" s="3722"/>
      <c r="BE44" s="3722"/>
      <c r="BF44" s="3761"/>
      <c r="BG44" s="2919"/>
      <c r="BH44" s="2899"/>
      <c r="BI44" s="2919"/>
      <c r="BJ44" s="3722"/>
    </row>
    <row r="45" spans="1:62" ht="57.75" customHeight="1">
      <c r="A45" s="3736"/>
      <c r="B45" s="3737"/>
      <c r="C45" s="3738"/>
      <c r="D45" s="3736"/>
      <c r="E45" s="3737"/>
      <c r="F45" s="3738"/>
      <c r="G45" s="3736"/>
      <c r="H45" s="3737"/>
      <c r="I45" s="3738"/>
      <c r="J45" s="3785"/>
      <c r="K45" s="2906"/>
      <c r="L45" s="2909"/>
      <c r="M45" s="3750"/>
      <c r="N45" s="3753"/>
      <c r="O45" s="2906"/>
      <c r="P45" s="2906"/>
      <c r="Q45" s="2909"/>
      <c r="R45" s="2916"/>
      <c r="S45" s="3277"/>
      <c r="T45" s="2909"/>
      <c r="U45" s="2909"/>
      <c r="V45" s="2931"/>
      <c r="W45" s="3771"/>
      <c r="X45" s="3772"/>
      <c r="Y45" s="3772"/>
      <c r="Z45" s="2926"/>
      <c r="AA45" s="2926"/>
      <c r="AB45" s="2908"/>
      <c r="AC45" s="2978"/>
      <c r="AD45" s="3724"/>
      <c r="AE45" s="3726"/>
      <c r="AF45" s="3724"/>
      <c r="AG45" s="3726"/>
      <c r="AH45" s="3724"/>
      <c r="AI45" s="3726"/>
      <c r="AJ45" s="3724"/>
      <c r="AK45" s="3726"/>
      <c r="AL45" s="3724"/>
      <c r="AM45" s="3726"/>
      <c r="AN45" s="3724"/>
      <c r="AO45" s="3726"/>
      <c r="AP45" s="3724"/>
      <c r="AQ45" s="3726"/>
      <c r="AR45" s="3724"/>
      <c r="AS45" s="3726"/>
      <c r="AT45" s="3724"/>
      <c r="AU45" s="3726"/>
      <c r="AV45" s="3724"/>
      <c r="AW45" s="3726"/>
      <c r="AX45" s="3724"/>
      <c r="AY45" s="3726"/>
      <c r="AZ45" s="2939"/>
      <c r="BA45" s="3770"/>
      <c r="BB45" s="3770"/>
      <c r="BC45" s="2924"/>
      <c r="BD45" s="3722"/>
      <c r="BE45" s="3722"/>
      <c r="BF45" s="3761"/>
      <c r="BG45" s="2919"/>
      <c r="BH45" s="2899"/>
      <c r="BI45" s="2919"/>
      <c r="BJ45" s="3722"/>
    </row>
    <row r="46" spans="1:62" ht="57.75" customHeight="1">
      <c r="A46" s="3736"/>
      <c r="B46" s="3737"/>
      <c r="C46" s="3738"/>
      <c r="D46" s="3736"/>
      <c r="E46" s="3737"/>
      <c r="F46" s="3738"/>
      <c r="G46" s="3736"/>
      <c r="H46" s="3737"/>
      <c r="I46" s="3738"/>
      <c r="J46" s="3785"/>
      <c r="K46" s="2906"/>
      <c r="L46" s="2909"/>
      <c r="M46" s="3750"/>
      <c r="N46" s="3753"/>
      <c r="O46" s="2906"/>
      <c r="P46" s="2906"/>
      <c r="Q46" s="2909"/>
      <c r="R46" s="2916"/>
      <c r="S46" s="3277"/>
      <c r="T46" s="2909"/>
      <c r="U46" s="2909"/>
      <c r="V46" s="2931"/>
      <c r="W46" s="3771"/>
      <c r="X46" s="3772"/>
      <c r="Y46" s="3772"/>
      <c r="Z46" s="2926"/>
      <c r="AA46" s="2926"/>
      <c r="AB46" s="2908"/>
      <c r="AC46" s="2978"/>
      <c r="AD46" s="3724"/>
      <c r="AE46" s="3726"/>
      <c r="AF46" s="3724"/>
      <c r="AG46" s="3726"/>
      <c r="AH46" s="3724"/>
      <c r="AI46" s="3726"/>
      <c r="AJ46" s="3724"/>
      <c r="AK46" s="3726"/>
      <c r="AL46" s="3724"/>
      <c r="AM46" s="3726"/>
      <c r="AN46" s="3724"/>
      <c r="AO46" s="3726"/>
      <c r="AP46" s="3724"/>
      <c r="AQ46" s="3726"/>
      <c r="AR46" s="3724"/>
      <c r="AS46" s="3726"/>
      <c r="AT46" s="3724"/>
      <c r="AU46" s="3726"/>
      <c r="AV46" s="3724"/>
      <c r="AW46" s="3726"/>
      <c r="AX46" s="3724"/>
      <c r="AY46" s="3726"/>
      <c r="AZ46" s="2939"/>
      <c r="BA46" s="3770"/>
      <c r="BB46" s="3770"/>
      <c r="BC46" s="2924"/>
      <c r="BD46" s="3722"/>
      <c r="BE46" s="3722"/>
      <c r="BF46" s="3761"/>
      <c r="BG46" s="2919"/>
      <c r="BH46" s="2899"/>
      <c r="BI46" s="2919"/>
      <c r="BJ46" s="3722"/>
    </row>
    <row r="47" spans="1:62" ht="57.75" customHeight="1">
      <c r="A47" s="3736"/>
      <c r="B47" s="3737"/>
      <c r="C47" s="3738"/>
      <c r="D47" s="3736"/>
      <c r="E47" s="3737"/>
      <c r="F47" s="3738"/>
      <c r="G47" s="3736"/>
      <c r="H47" s="3737"/>
      <c r="I47" s="3738"/>
      <c r="J47" s="3785"/>
      <c r="K47" s="2906"/>
      <c r="L47" s="2909"/>
      <c r="M47" s="3750"/>
      <c r="N47" s="3753"/>
      <c r="O47" s="2906"/>
      <c r="P47" s="2906"/>
      <c r="Q47" s="2909"/>
      <c r="R47" s="2916"/>
      <c r="S47" s="3277"/>
      <c r="T47" s="2909"/>
      <c r="U47" s="2909"/>
      <c r="V47" s="2931"/>
      <c r="W47" s="3771"/>
      <c r="X47" s="3772"/>
      <c r="Y47" s="3772"/>
      <c r="Z47" s="2926"/>
      <c r="AA47" s="2926"/>
      <c r="AB47" s="2908"/>
      <c r="AC47" s="2978"/>
      <c r="AD47" s="3724"/>
      <c r="AE47" s="3726"/>
      <c r="AF47" s="3724"/>
      <c r="AG47" s="3726"/>
      <c r="AH47" s="3724"/>
      <c r="AI47" s="3726"/>
      <c r="AJ47" s="3724"/>
      <c r="AK47" s="3726"/>
      <c r="AL47" s="3724"/>
      <c r="AM47" s="3726"/>
      <c r="AN47" s="3724"/>
      <c r="AO47" s="3726"/>
      <c r="AP47" s="3724"/>
      <c r="AQ47" s="3726"/>
      <c r="AR47" s="3724"/>
      <c r="AS47" s="3726"/>
      <c r="AT47" s="3724"/>
      <c r="AU47" s="3726"/>
      <c r="AV47" s="3724"/>
      <c r="AW47" s="3726"/>
      <c r="AX47" s="3724"/>
      <c r="AY47" s="3726"/>
      <c r="AZ47" s="2939"/>
      <c r="BA47" s="3770"/>
      <c r="BB47" s="3770"/>
      <c r="BC47" s="2924"/>
      <c r="BD47" s="3722"/>
      <c r="BE47" s="3722"/>
      <c r="BF47" s="3761"/>
      <c r="BG47" s="2919"/>
      <c r="BH47" s="2899"/>
      <c r="BI47" s="2919"/>
      <c r="BJ47" s="3722"/>
    </row>
    <row r="48" spans="1:62" ht="57.75" customHeight="1">
      <c r="A48" s="3736"/>
      <c r="B48" s="3737"/>
      <c r="C48" s="3738"/>
      <c r="D48" s="3736"/>
      <c r="E48" s="3737"/>
      <c r="F48" s="3738"/>
      <c r="G48" s="3736"/>
      <c r="H48" s="3737"/>
      <c r="I48" s="3738"/>
      <c r="J48" s="3785"/>
      <c r="K48" s="2906"/>
      <c r="L48" s="2909"/>
      <c r="M48" s="3750"/>
      <c r="N48" s="3753"/>
      <c r="O48" s="2906"/>
      <c r="P48" s="2906"/>
      <c r="Q48" s="2909"/>
      <c r="R48" s="2916"/>
      <c r="S48" s="3277"/>
      <c r="T48" s="2909"/>
      <c r="U48" s="2909"/>
      <c r="V48" s="2931"/>
      <c r="W48" s="3771"/>
      <c r="X48" s="3772"/>
      <c r="Y48" s="3772"/>
      <c r="Z48" s="2926"/>
      <c r="AA48" s="2926"/>
      <c r="AB48" s="2908"/>
      <c r="AC48" s="2978"/>
      <c r="AD48" s="3724"/>
      <c r="AE48" s="3726"/>
      <c r="AF48" s="3724"/>
      <c r="AG48" s="3726"/>
      <c r="AH48" s="3724"/>
      <c r="AI48" s="3726"/>
      <c r="AJ48" s="3724"/>
      <c r="AK48" s="3726"/>
      <c r="AL48" s="3724"/>
      <c r="AM48" s="3726"/>
      <c r="AN48" s="3724"/>
      <c r="AO48" s="3726"/>
      <c r="AP48" s="3724"/>
      <c r="AQ48" s="3726"/>
      <c r="AR48" s="3724"/>
      <c r="AS48" s="3726"/>
      <c r="AT48" s="3724"/>
      <c r="AU48" s="3726"/>
      <c r="AV48" s="3724"/>
      <c r="AW48" s="3726"/>
      <c r="AX48" s="3724"/>
      <c r="AY48" s="3726"/>
      <c r="AZ48" s="2939"/>
      <c r="BA48" s="3770"/>
      <c r="BB48" s="3770"/>
      <c r="BC48" s="2924"/>
      <c r="BD48" s="3722"/>
      <c r="BE48" s="3722"/>
      <c r="BF48" s="3761"/>
      <c r="BG48" s="2919"/>
      <c r="BH48" s="2899"/>
      <c r="BI48" s="2919"/>
      <c r="BJ48" s="3722"/>
    </row>
    <row r="49" spans="1:62" ht="57.75" customHeight="1">
      <c r="A49" s="3736"/>
      <c r="B49" s="3737"/>
      <c r="C49" s="3738"/>
      <c r="D49" s="3736"/>
      <c r="E49" s="3737"/>
      <c r="F49" s="3738"/>
      <c r="G49" s="3736"/>
      <c r="H49" s="3737"/>
      <c r="I49" s="3738"/>
      <c r="J49" s="3785"/>
      <c r="K49" s="2906"/>
      <c r="L49" s="2909"/>
      <c r="M49" s="3750"/>
      <c r="N49" s="3753"/>
      <c r="O49" s="2906"/>
      <c r="P49" s="2906"/>
      <c r="Q49" s="2909"/>
      <c r="R49" s="2916"/>
      <c r="S49" s="3277"/>
      <c r="T49" s="2909"/>
      <c r="U49" s="2909"/>
      <c r="V49" s="2931"/>
      <c r="W49" s="3771"/>
      <c r="X49" s="3772"/>
      <c r="Y49" s="3772"/>
      <c r="Z49" s="2926"/>
      <c r="AA49" s="2926"/>
      <c r="AB49" s="2908"/>
      <c r="AC49" s="2978"/>
      <c r="AD49" s="3724"/>
      <c r="AE49" s="3726"/>
      <c r="AF49" s="3724"/>
      <c r="AG49" s="3726"/>
      <c r="AH49" s="3724"/>
      <c r="AI49" s="3726"/>
      <c r="AJ49" s="3724"/>
      <c r="AK49" s="3726"/>
      <c r="AL49" s="3724"/>
      <c r="AM49" s="3726"/>
      <c r="AN49" s="3724"/>
      <c r="AO49" s="3726"/>
      <c r="AP49" s="3724"/>
      <c r="AQ49" s="3726"/>
      <c r="AR49" s="3724"/>
      <c r="AS49" s="3726"/>
      <c r="AT49" s="3724"/>
      <c r="AU49" s="3726"/>
      <c r="AV49" s="3724"/>
      <c r="AW49" s="3726"/>
      <c r="AX49" s="3724"/>
      <c r="AY49" s="3726"/>
      <c r="AZ49" s="2939"/>
      <c r="BA49" s="3770"/>
      <c r="BB49" s="3770"/>
      <c r="BC49" s="2924"/>
      <c r="BD49" s="3722"/>
      <c r="BE49" s="3722"/>
      <c r="BF49" s="3761"/>
      <c r="BG49" s="2919"/>
      <c r="BH49" s="2899"/>
      <c r="BI49" s="2919"/>
      <c r="BJ49" s="3722"/>
    </row>
    <row r="50" spans="1:62" ht="57.75" customHeight="1">
      <c r="A50" s="3736"/>
      <c r="B50" s="3737"/>
      <c r="C50" s="3738"/>
      <c r="D50" s="3736"/>
      <c r="E50" s="3737"/>
      <c r="F50" s="3738"/>
      <c r="G50" s="3736"/>
      <c r="H50" s="3737"/>
      <c r="I50" s="3738"/>
      <c r="J50" s="3785"/>
      <c r="K50" s="2906"/>
      <c r="L50" s="2909"/>
      <c r="M50" s="3750"/>
      <c r="N50" s="3753"/>
      <c r="O50" s="2906"/>
      <c r="P50" s="2906"/>
      <c r="Q50" s="2909"/>
      <c r="R50" s="2916"/>
      <c r="S50" s="3277"/>
      <c r="T50" s="2909"/>
      <c r="U50" s="2909"/>
      <c r="V50" s="2931"/>
      <c r="W50" s="3771"/>
      <c r="X50" s="3772"/>
      <c r="Y50" s="3772"/>
      <c r="Z50" s="2926"/>
      <c r="AA50" s="2926"/>
      <c r="AB50" s="2908"/>
      <c r="AC50" s="2978"/>
      <c r="AD50" s="3724"/>
      <c r="AE50" s="3726"/>
      <c r="AF50" s="3724"/>
      <c r="AG50" s="3726"/>
      <c r="AH50" s="3724"/>
      <c r="AI50" s="3726"/>
      <c r="AJ50" s="3724"/>
      <c r="AK50" s="3726"/>
      <c r="AL50" s="3724"/>
      <c r="AM50" s="3726"/>
      <c r="AN50" s="3724"/>
      <c r="AO50" s="3726"/>
      <c r="AP50" s="3724"/>
      <c r="AQ50" s="3726"/>
      <c r="AR50" s="3724"/>
      <c r="AS50" s="3726"/>
      <c r="AT50" s="3724"/>
      <c r="AU50" s="3726"/>
      <c r="AV50" s="3724"/>
      <c r="AW50" s="3726"/>
      <c r="AX50" s="3724"/>
      <c r="AY50" s="3726"/>
      <c r="AZ50" s="2939"/>
      <c r="BA50" s="3770"/>
      <c r="BB50" s="3770"/>
      <c r="BC50" s="2924"/>
      <c r="BD50" s="3722"/>
      <c r="BE50" s="3722"/>
      <c r="BF50" s="3761"/>
      <c r="BG50" s="2919"/>
      <c r="BH50" s="2899"/>
      <c r="BI50" s="2919"/>
      <c r="BJ50" s="3722"/>
    </row>
    <row r="51" spans="1:62" ht="18" customHeight="1">
      <c r="A51" s="3736"/>
      <c r="B51" s="3737"/>
      <c r="C51" s="3738"/>
      <c r="D51" s="3736"/>
      <c r="E51" s="3737"/>
      <c r="F51" s="3738"/>
      <c r="G51" s="3736"/>
      <c r="H51" s="3737"/>
      <c r="I51" s="3738"/>
      <c r="J51" s="3785"/>
      <c r="K51" s="2906"/>
      <c r="L51" s="2909"/>
      <c r="M51" s="3750"/>
      <c r="N51" s="3753"/>
      <c r="O51" s="2906"/>
      <c r="P51" s="2906"/>
      <c r="Q51" s="2909"/>
      <c r="R51" s="2916"/>
      <c r="S51" s="3277"/>
      <c r="T51" s="2909"/>
      <c r="U51" s="2909"/>
      <c r="V51" s="2931"/>
      <c r="W51" s="3771"/>
      <c r="X51" s="3772"/>
      <c r="Y51" s="3772"/>
      <c r="Z51" s="2926"/>
      <c r="AA51" s="2926"/>
      <c r="AB51" s="2908"/>
      <c r="AC51" s="2978"/>
      <c r="AD51" s="3724"/>
      <c r="AE51" s="3726"/>
      <c r="AF51" s="3724"/>
      <c r="AG51" s="3726"/>
      <c r="AH51" s="3724"/>
      <c r="AI51" s="3726"/>
      <c r="AJ51" s="3724"/>
      <c r="AK51" s="3726"/>
      <c r="AL51" s="3724"/>
      <c r="AM51" s="3726"/>
      <c r="AN51" s="3724"/>
      <c r="AO51" s="3726"/>
      <c r="AP51" s="3724"/>
      <c r="AQ51" s="3726"/>
      <c r="AR51" s="3724"/>
      <c r="AS51" s="3726"/>
      <c r="AT51" s="3724"/>
      <c r="AU51" s="3726"/>
      <c r="AV51" s="3724"/>
      <c r="AW51" s="3726"/>
      <c r="AX51" s="3724"/>
      <c r="AY51" s="3726"/>
      <c r="AZ51" s="2939"/>
      <c r="BA51" s="3770"/>
      <c r="BB51" s="3770"/>
      <c r="BC51" s="2924"/>
      <c r="BD51" s="3722"/>
      <c r="BE51" s="3722"/>
      <c r="BF51" s="3761"/>
      <c r="BG51" s="2919"/>
      <c r="BH51" s="2899"/>
      <c r="BI51" s="2919"/>
      <c r="BJ51" s="3722"/>
    </row>
    <row r="52" spans="1:62" ht="18" customHeight="1">
      <c r="A52" s="3736"/>
      <c r="B52" s="3737"/>
      <c r="C52" s="3738"/>
      <c r="D52" s="3736"/>
      <c r="E52" s="3737"/>
      <c r="F52" s="3738"/>
      <c r="G52" s="3736"/>
      <c r="H52" s="3737"/>
      <c r="I52" s="3738"/>
      <c r="J52" s="3785"/>
      <c r="K52" s="2906"/>
      <c r="L52" s="2909"/>
      <c r="M52" s="3750"/>
      <c r="N52" s="3753"/>
      <c r="O52" s="2906"/>
      <c r="P52" s="2906"/>
      <c r="Q52" s="2909"/>
      <c r="R52" s="2916"/>
      <c r="S52" s="3277"/>
      <c r="T52" s="2909"/>
      <c r="U52" s="2909"/>
      <c r="V52" s="2931"/>
      <c r="W52" s="3771"/>
      <c r="X52" s="3772"/>
      <c r="Y52" s="3772"/>
      <c r="Z52" s="2926"/>
      <c r="AA52" s="2926"/>
      <c r="AB52" s="2908"/>
      <c r="AC52" s="2978"/>
      <c r="AD52" s="3724"/>
      <c r="AE52" s="3726"/>
      <c r="AF52" s="3724"/>
      <c r="AG52" s="3726"/>
      <c r="AH52" s="3724"/>
      <c r="AI52" s="3726"/>
      <c r="AJ52" s="3724"/>
      <c r="AK52" s="3726"/>
      <c r="AL52" s="3724"/>
      <c r="AM52" s="3726"/>
      <c r="AN52" s="3724"/>
      <c r="AO52" s="3726"/>
      <c r="AP52" s="3724"/>
      <c r="AQ52" s="3726"/>
      <c r="AR52" s="3724"/>
      <c r="AS52" s="3726"/>
      <c r="AT52" s="3724"/>
      <c r="AU52" s="3726"/>
      <c r="AV52" s="3724"/>
      <c r="AW52" s="3726"/>
      <c r="AX52" s="3724"/>
      <c r="AY52" s="3726"/>
      <c r="AZ52" s="2939"/>
      <c r="BA52" s="3770"/>
      <c r="BB52" s="3770"/>
      <c r="BC52" s="2924"/>
      <c r="BD52" s="3722"/>
      <c r="BE52" s="3722"/>
      <c r="BF52" s="3761"/>
      <c r="BG52" s="2919"/>
      <c r="BH52" s="2899"/>
      <c r="BI52" s="2919"/>
      <c r="BJ52" s="3722"/>
    </row>
    <row r="53" spans="1:62" ht="18" customHeight="1">
      <c r="A53" s="3736"/>
      <c r="B53" s="3737"/>
      <c r="C53" s="3738"/>
      <c r="D53" s="3736"/>
      <c r="E53" s="3737"/>
      <c r="F53" s="3738"/>
      <c r="G53" s="3736"/>
      <c r="H53" s="3737"/>
      <c r="I53" s="3738"/>
      <c r="J53" s="3785"/>
      <c r="K53" s="2906"/>
      <c r="L53" s="2909"/>
      <c r="M53" s="3750"/>
      <c r="N53" s="3753"/>
      <c r="O53" s="2906"/>
      <c r="P53" s="2906"/>
      <c r="Q53" s="2909"/>
      <c r="R53" s="2916"/>
      <c r="S53" s="3277"/>
      <c r="T53" s="2909"/>
      <c r="U53" s="2909"/>
      <c r="V53" s="2931"/>
      <c r="W53" s="3771"/>
      <c r="X53" s="3772"/>
      <c r="Y53" s="3772"/>
      <c r="Z53" s="2926"/>
      <c r="AA53" s="2926"/>
      <c r="AB53" s="2908"/>
      <c r="AC53" s="2978"/>
      <c r="AD53" s="3724"/>
      <c r="AE53" s="3726"/>
      <c r="AF53" s="3724"/>
      <c r="AG53" s="3726"/>
      <c r="AH53" s="3724"/>
      <c r="AI53" s="3726"/>
      <c r="AJ53" s="3724"/>
      <c r="AK53" s="3726"/>
      <c r="AL53" s="3724"/>
      <c r="AM53" s="3726"/>
      <c r="AN53" s="3724"/>
      <c r="AO53" s="3726"/>
      <c r="AP53" s="3724"/>
      <c r="AQ53" s="3726"/>
      <c r="AR53" s="3724"/>
      <c r="AS53" s="3726"/>
      <c r="AT53" s="3724"/>
      <c r="AU53" s="3726"/>
      <c r="AV53" s="3724"/>
      <c r="AW53" s="3726"/>
      <c r="AX53" s="3724"/>
      <c r="AY53" s="3726"/>
      <c r="AZ53" s="2939"/>
      <c r="BA53" s="3770"/>
      <c r="BB53" s="3770"/>
      <c r="BC53" s="2924"/>
      <c r="BD53" s="3722"/>
      <c r="BE53" s="3722"/>
      <c r="BF53" s="3761"/>
      <c r="BG53" s="2919"/>
      <c r="BH53" s="2899"/>
      <c r="BI53" s="2919"/>
      <c r="BJ53" s="3722"/>
    </row>
    <row r="54" spans="1:62" ht="6.75" customHeight="1">
      <c r="A54" s="3736"/>
      <c r="B54" s="3737"/>
      <c r="C54" s="3738"/>
      <c r="D54" s="3736"/>
      <c r="E54" s="3737"/>
      <c r="F54" s="3738"/>
      <c r="G54" s="3736"/>
      <c r="H54" s="3737"/>
      <c r="I54" s="3738"/>
      <c r="J54" s="3785"/>
      <c r="K54" s="2906"/>
      <c r="L54" s="2909"/>
      <c r="M54" s="3750"/>
      <c r="N54" s="3753"/>
      <c r="O54" s="2906"/>
      <c r="P54" s="2906"/>
      <c r="Q54" s="2909"/>
      <c r="R54" s="2916"/>
      <c r="S54" s="3277"/>
      <c r="T54" s="2909"/>
      <c r="U54" s="2909"/>
      <c r="V54" s="2931"/>
      <c r="W54" s="3771"/>
      <c r="X54" s="3772"/>
      <c r="Y54" s="3772"/>
      <c r="Z54" s="2926"/>
      <c r="AA54" s="2926"/>
      <c r="AB54" s="2908"/>
      <c r="AC54" s="2978"/>
      <c r="AD54" s="3724"/>
      <c r="AE54" s="3726"/>
      <c r="AF54" s="3724"/>
      <c r="AG54" s="3726"/>
      <c r="AH54" s="3724"/>
      <c r="AI54" s="3726"/>
      <c r="AJ54" s="3724"/>
      <c r="AK54" s="3726"/>
      <c r="AL54" s="3724"/>
      <c r="AM54" s="3726"/>
      <c r="AN54" s="3724"/>
      <c r="AO54" s="3726"/>
      <c r="AP54" s="3724"/>
      <c r="AQ54" s="3726"/>
      <c r="AR54" s="3724"/>
      <c r="AS54" s="3726"/>
      <c r="AT54" s="3724"/>
      <c r="AU54" s="3726"/>
      <c r="AV54" s="3724"/>
      <c r="AW54" s="3726"/>
      <c r="AX54" s="3724"/>
      <c r="AY54" s="3726"/>
      <c r="AZ54" s="2939"/>
      <c r="BA54" s="3770"/>
      <c r="BB54" s="3770"/>
      <c r="BC54" s="2924"/>
      <c r="BD54" s="3722"/>
      <c r="BE54" s="3722"/>
      <c r="BF54" s="3761"/>
      <c r="BG54" s="2919"/>
      <c r="BH54" s="2899"/>
      <c r="BI54" s="2919"/>
      <c r="BJ54" s="3722"/>
    </row>
    <row r="55" spans="1:62" ht="18" customHeight="1">
      <c r="A55" s="3736"/>
      <c r="B55" s="3737"/>
      <c r="C55" s="3738"/>
      <c r="D55" s="3736"/>
      <c r="E55" s="3737"/>
      <c r="F55" s="3738"/>
      <c r="G55" s="3736"/>
      <c r="H55" s="3737"/>
      <c r="I55" s="3738"/>
      <c r="J55" s="3785"/>
      <c r="K55" s="2906"/>
      <c r="L55" s="2909"/>
      <c r="M55" s="3750"/>
      <c r="N55" s="3753"/>
      <c r="O55" s="2906"/>
      <c r="P55" s="2906"/>
      <c r="Q55" s="2909"/>
      <c r="R55" s="2916"/>
      <c r="S55" s="3277"/>
      <c r="T55" s="2909"/>
      <c r="U55" s="2909"/>
      <c r="V55" s="2931"/>
      <c r="W55" s="3771"/>
      <c r="X55" s="3772"/>
      <c r="Y55" s="3772"/>
      <c r="Z55" s="2926"/>
      <c r="AA55" s="2926"/>
      <c r="AB55" s="2908"/>
      <c r="AC55" s="2978"/>
      <c r="AD55" s="3724"/>
      <c r="AE55" s="3726"/>
      <c r="AF55" s="3724"/>
      <c r="AG55" s="3726"/>
      <c r="AH55" s="3724"/>
      <c r="AI55" s="3726"/>
      <c r="AJ55" s="3724"/>
      <c r="AK55" s="3726"/>
      <c r="AL55" s="3724"/>
      <c r="AM55" s="3726"/>
      <c r="AN55" s="3724"/>
      <c r="AO55" s="3726"/>
      <c r="AP55" s="3724"/>
      <c r="AQ55" s="3726"/>
      <c r="AR55" s="3724"/>
      <c r="AS55" s="3726"/>
      <c r="AT55" s="3724"/>
      <c r="AU55" s="3726"/>
      <c r="AV55" s="3724"/>
      <c r="AW55" s="3726"/>
      <c r="AX55" s="3724"/>
      <c r="AY55" s="3726"/>
      <c r="AZ55" s="2939"/>
      <c r="BA55" s="3770"/>
      <c r="BB55" s="3770"/>
      <c r="BC55" s="2924"/>
      <c r="BD55" s="3722"/>
      <c r="BE55" s="3722"/>
      <c r="BF55" s="3761"/>
      <c r="BG55" s="2919"/>
      <c r="BH55" s="2899"/>
      <c r="BI55" s="2919"/>
      <c r="BJ55" s="3722"/>
    </row>
    <row r="56" spans="1:62" ht="59.25" customHeight="1">
      <c r="A56" s="3736"/>
      <c r="B56" s="3737"/>
      <c r="C56" s="3738"/>
      <c r="D56" s="3736"/>
      <c r="E56" s="3737"/>
      <c r="F56" s="3738"/>
      <c r="G56" s="3736"/>
      <c r="H56" s="3737"/>
      <c r="I56" s="3738"/>
      <c r="J56" s="3786"/>
      <c r="K56" s="2941"/>
      <c r="L56" s="2909"/>
      <c r="M56" s="3751"/>
      <c r="N56" s="3754"/>
      <c r="O56" s="2941"/>
      <c r="P56" s="2906"/>
      <c r="Q56" s="2909"/>
      <c r="R56" s="3742"/>
      <c r="S56" s="3277"/>
      <c r="T56" s="2909"/>
      <c r="U56" s="2909"/>
      <c r="V56" s="2931"/>
      <c r="W56" s="3771"/>
      <c r="X56" s="3772"/>
      <c r="Y56" s="3772"/>
      <c r="Z56" s="2926"/>
      <c r="AA56" s="2926"/>
      <c r="AB56" s="3756"/>
      <c r="AC56" s="2979"/>
      <c r="AD56" s="3724"/>
      <c r="AE56" s="3726"/>
      <c r="AF56" s="3724"/>
      <c r="AG56" s="3726"/>
      <c r="AH56" s="3724"/>
      <c r="AI56" s="3726"/>
      <c r="AJ56" s="3724"/>
      <c r="AK56" s="3726"/>
      <c r="AL56" s="3724"/>
      <c r="AM56" s="3726"/>
      <c r="AN56" s="3724"/>
      <c r="AO56" s="3726"/>
      <c r="AP56" s="3724"/>
      <c r="AQ56" s="3726"/>
      <c r="AR56" s="3724"/>
      <c r="AS56" s="3726"/>
      <c r="AT56" s="3724"/>
      <c r="AU56" s="3726"/>
      <c r="AV56" s="3724"/>
      <c r="AW56" s="3726"/>
      <c r="AX56" s="3724"/>
      <c r="AY56" s="3726"/>
      <c r="AZ56" s="2939"/>
      <c r="BA56" s="3770"/>
      <c r="BB56" s="3770"/>
      <c r="BC56" s="2924"/>
      <c r="BD56" s="3722"/>
      <c r="BE56" s="3722"/>
      <c r="BF56" s="3761"/>
      <c r="BG56" s="2919"/>
      <c r="BH56" s="2899"/>
      <c r="BI56" s="2919"/>
      <c r="BJ56" s="3722"/>
    </row>
    <row r="57" spans="1:62" ht="60.75" customHeight="1">
      <c r="A57" s="3736"/>
      <c r="B57" s="3737"/>
      <c r="C57" s="3738"/>
      <c r="D57" s="3736"/>
      <c r="E57" s="3737"/>
      <c r="F57" s="3738"/>
      <c r="G57" s="3739"/>
      <c r="H57" s="3740"/>
      <c r="I57" s="3741"/>
      <c r="J57" s="805">
        <v>116</v>
      </c>
      <c r="K57" s="624" t="s">
        <v>772</v>
      </c>
      <c r="L57" s="2909"/>
      <c r="M57" s="806">
        <v>5</v>
      </c>
      <c r="N57" s="816">
        <v>5</v>
      </c>
      <c r="O57" s="671" t="s">
        <v>773</v>
      </c>
      <c r="P57" s="2941"/>
      <c r="Q57" s="2909"/>
      <c r="R57" s="677">
        <f>W57/S33</f>
        <v>0.0651696053801458</v>
      </c>
      <c r="S57" s="3277"/>
      <c r="T57" s="2909"/>
      <c r="U57" s="624" t="s">
        <v>774</v>
      </c>
      <c r="V57" s="624" t="s">
        <v>775</v>
      </c>
      <c r="W57" s="130">
        <v>123713599</v>
      </c>
      <c r="X57" s="172">
        <v>56125120</v>
      </c>
      <c r="Y57" s="172">
        <v>56125120</v>
      </c>
      <c r="Z57" s="216">
        <v>41</v>
      </c>
      <c r="AA57" s="624" t="s">
        <v>776</v>
      </c>
      <c r="AB57" s="817"/>
      <c r="AC57" s="818"/>
      <c r="AD57" s="817"/>
      <c r="AE57" s="818"/>
      <c r="AF57" s="817"/>
      <c r="AG57" s="818"/>
      <c r="AH57" s="817"/>
      <c r="AI57" s="818"/>
      <c r="AJ57" s="817"/>
      <c r="AK57" s="818"/>
      <c r="AL57" s="817"/>
      <c r="AM57" s="818"/>
      <c r="AN57" s="817"/>
      <c r="AO57" s="818"/>
      <c r="AP57" s="817"/>
      <c r="AQ57" s="818"/>
      <c r="AR57" s="817"/>
      <c r="AS57" s="818"/>
      <c r="AT57" s="817"/>
      <c r="AU57" s="818"/>
      <c r="AV57" s="817"/>
      <c r="AW57" s="818"/>
      <c r="AX57" s="817"/>
      <c r="AY57" s="818"/>
      <c r="AZ57" s="2940"/>
      <c r="BA57" s="619">
        <v>56125120</v>
      </c>
      <c r="BB57" s="619">
        <v>56125120</v>
      </c>
      <c r="BC57" s="670">
        <f>+BB57/BA57</f>
        <v>1</v>
      </c>
      <c r="BD57" s="216"/>
      <c r="BE57" s="216"/>
      <c r="BF57" s="3762"/>
      <c r="BG57" s="2937"/>
      <c r="BH57" s="3721"/>
      <c r="BI57" s="2937"/>
      <c r="BJ57" s="216" t="s">
        <v>777</v>
      </c>
    </row>
    <row r="58" spans="1:62" s="477" customFormat="1" ht="15">
      <c r="A58" s="3736"/>
      <c r="B58" s="3737"/>
      <c r="C58" s="3738"/>
      <c r="D58" s="3736"/>
      <c r="E58" s="3737"/>
      <c r="F58" s="3738"/>
      <c r="G58" s="699">
        <v>30</v>
      </c>
      <c r="H58" s="699" t="s">
        <v>778</v>
      </c>
      <c r="I58" s="699"/>
      <c r="J58" s="51"/>
      <c r="K58" s="51"/>
      <c r="L58" s="51"/>
      <c r="M58" s="51"/>
      <c r="N58" s="475"/>
      <c r="O58" s="51"/>
      <c r="P58" s="51"/>
      <c r="Q58" s="51"/>
      <c r="R58" s="51"/>
      <c r="S58" s="51"/>
      <c r="T58" s="51"/>
      <c r="U58" s="51"/>
      <c r="V58" s="51"/>
      <c r="W58" s="803"/>
      <c r="X58" s="804"/>
      <c r="Y58" s="804"/>
      <c r="Z58" s="51"/>
      <c r="AA58" s="51"/>
      <c r="AB58" s="51"/>
      <c r="AC58" s="475"/>
      <c r="AD58" s="51"/>
      <c r="AE58" s="475"/>
      <c r="AF58" s="51"/>
      <c r="AG58" s="475"/>
      <c r="AH58" s="51"/>
      <c r="AI58" s="475"/>
      <c r="AJ58" s="51"/>
      <c r="AK58" s="475"/>
      <c r="AL58" s="51"/>
      <c r="AM58" s="475"/>
      <c r="AN58" s="51"/>
      <c r="AO58" s="475"/>
      <c r="AP58" s="51"/>
      <c r="AQ58" s="475"/>
      <c r="AR58" s="51"/>
      <c r="AS58" s="475"/>
      <c r="AT58" s="51"/>
      <c r="AU58" s="475"/>
      <c r="AV58" s="51"/>
      <c r="AW58" s="475"/>
      <c r="AX58" s="51"/>
      <c r="AY58" s="475"/>
      <c r="AZ58" s="51"/>
      <c r="BA58" s="51"/>
      <c r="BB58" s="51"/>
      <c r="BC58" s="51"/>
      <c r="BD58" s="51"/>
      <c r="BE58" s="51"/>
      <c r="BF58" s="51"/>
      <c r="BG58" s="475"/>
      <c r="BH58" s="51"/>
      <c r="BI58" s="475"/>
      <c r="BJ58" s="51"/>
    </row>
    <row r="59" spans="1:62" ht="46.5" customHeight="1">
      <c r="A59" s="3736"/>
      <c r="B59" s="3737"/>
      <c r="C59" s="3738"/>
      <c r="D59" s="3736"/>
      <c r="E59" s="3737"/>
      <c r="F59" s="3738"/>
      <c r="G59" s="3347" t="s">
        <v>40</v>
      </c>
      <c r="H59" s="3729"/>
      <c r="I59" s="3730"/>
      <c r="J59" s="3776">
        <v>117</v>
      </c>
      <c r="K59" s="2909" t="s">
        <v>779</v>
      </c>
      <c r="L59" s="2909" t="s">
        <v>780</v>
      </c>
      <c r="M59" s="3768">
        <v>1</v>
      </c>
      <c r="N59" s="3764">
        <v>1</v>
      </c>
      <c r="O59" s="2909" t="s">
        <v>781</v>
      </c>
      <c r="P59" s="2931">
        <v>47</v>
      </c>
      <c r="Q59" s="2909" t="s">
        <v>782</v>
      </c>
      <c r="R59" s="677">
        <f>W59/S59</f>
        <v>0.5283999795966967</v>
      </c>
      <c r="S59" s="3748">
        <v>53011024</v>
      </c>
      <c r="T59" s="2909" t="s">
        <v>728</v>
      </c>
      <c r="U59" s="624" t="s">
        <v>783</v>
      </c>
      <c r="V59" s="624" t="s">
        <v>784</v>
      </c>
      <c r="W59" s="130">
        <v>28011024</v>
      </c>
      <c r="X59" s="172"/>
      <c r="Y59" s="172"/>
      <c r="Z59" s="3722">
        <v>39</v>
      </c>
      <c r="AA59" s="2931" t="s">
        <v>785</v>
      </c>
      <c r="AB59" s="3724">
        <v>0</v>
      </c>
      <c r="AC59" s="3726"/>
      <c r="AD59" s="3724">
        <v>0</v>
      </c>
      <c r="AE59" s="3726"/>
      <c r="AF59" s="3724">
        <v>0</v>
      </c>
      <c r="AG59" s="3726"/>
      <c r="AH59" s="3724">
        <v>40000</v>
      </c>
      <c r="AI59" s="3726"/>
      <c r="AJ59" s="3724">
        <v>100000</v>
      </c>
      <c r="AK59" s="3726"/>
      <c r="AL59" s="3724"/>
      <c r="AM59" s="3726"/>
      <c r="AN59" s="3724">
        <v>500</v>
      </c>
      <c r="AO59" s="3726"/>
      <c r="AP59" s="3724">
        <v>500</v>
      </c>
      <c r="AQ59" s="3726"/>
      <c r="AR59" s="3724">
        <v>200</v>
      </c>
      <c r="AS59" s="3726"/>
      <c r="AT59" s="3724"/>
      <c r="AU59" s="3726"/>
      <c r="AV59" s="3724">
        <v>16897</v>
      </c>
      <c r="AW59" s="3726"/>
      <c r="AX59" s="3724"/>
      <c r="AY59" s="3726"/>
      <c r="AZ59" s="3722">
        <v>1</v>
      </c>
      <c r="BA59" s="2983">
        <v>6083334</v>
      </c>
      <c r="BB59" s="2983">
        <v>6083334</v>
      </c>
      <c r="BC59" s="3769">
        <f>BB59/BA59</f>
        <v>1</v>
      </c>
      <c r="BD59" s="3722"/>
      <c r="BE59" s="3722" t="s">
        <v>786</v>
      </c>
      <c r="BF59" s="3723">
        <v>42583</v>
      </c>
      <c r="BG59" s="3765">
        <v>42655</v>
      </c>
      <c r="BH59" s="3766">
        <v>42735</v>
      </c>
      <c r="BI59" s="3765">
        <v>42724</v>
      </c>
      <c r="BJ59" s="3722" t="s">
        <v>733</v>
      </c>
    </row>
    <row r="60" spans="1:62" ht="54.75" customHeight="1">
      <c r="A60" s="3736"/>
      <c r="B60" s="3737"/>
      <c r="C60" s="3738"/>
      <c r="D60" s="3736"/>
      <c r="E60" s="3737"/>
      <c r="F60" s="3738"/>
      <c r="G60" s="3349"/>
      <c r="H60" s="3731"/>
      <c r="I60" s="3732"/>
      <c r="J60" s="3776"/>
      <c r="K60" s="2909"/>
      <c r="L60" s="2909"/>
      <c r="M60" s="3768"/>
      <c r="N60" s="3764"/>
      <c r="O60" s="2909"/>
      <c r="P60" s="2931"/>
      <c r="Q60" s="2909"/>
      <c r="R60" s="677">
        <f>W60/S59</f>
        <v>0.20750400897745344</v>
      </c>
      <c r="S60" s="3748"/>
      <c r="T60" s="2909"/>
      <c r="U60" s="624" t="s">
        <v>787</v>
      </c>
      <c r="V60" s="624" t="s">
        <v>788</v>
      </c>
      <c r="W60" s="863">
        <v>11000000</v>
      </c>
      <c r="X60" s="172">
        <v>6083334</v>
      </c>
      <c r="Y60" s="172">
        <v>6083334</v>
      </c>
      <c r="Z60" s="3722"/>
      <c r="AA60" s="2931"/>
      <c r="AB60" s="3724"/>
      <c r="AC60" s="3726"/>
      <c r="AD60" s="3724"/>
      <c r="AE60" s="3726"/>
      <c r="AF60" s="3724"/>
      <c r="AG60" s="3726"/>
      <c r="AH60" s="3724"/>
      <c r="AI60" s="3726"/>
      <c r="AJ60" s="3724"/>
      <c r="AK60" s="3726"/>
      <c r="AL60" s="3724"/>
      <c r="AM60" s="3726"/>
      <c r="AN60" s="3724"/>
      <c r="AO60" s="3726"/>
      <c r="AP60" s="3724"/>
      <c r="AQ60" s="3726"/>
      <c r="AR60" s="3724"/>
      <c r="AS60" s="3726"/>
      <c r="AT60" s="3724"/>
      <c r="AU60" s="3726"/>
      <c r="AV60" s="3724"/>
      <c r="AW60" s="3726"/>
      <c r="AX60" s="3724"/>
      <c r="AY60" s="3726"/>
      <c r="AZ60" s="3722"/>
      <c r="BA60" s="2983"/>
      <c r="BB60" s="2983"/>
      <c r="BC60" s="3769"/>
      <c r="BD60" s="3722"/>
      <c r="BE60" s="3722"/>
      <c r="BF60" s="3723"/>
      <c r="BG60" s="3765"/>
      <c r="BH60" s="3766"/>
      <c r="BI60" s="3765"/>
      <c r="BJ60" s="3722"/>
    </row>
    <row r="61" spans="1:62" ht="54.75" customHeight="1">
      <c r="A61" s="3736"/>
      <c r="B61" s="3737"/>
      <c r="C61" s="3738"/>
      <c r="D61" s="3736"/>
      <c r="E61" s="3737"/>
      <c r="F61" s="3738"/>
      <c r="G61" s="3351"/>
      <c r="H61" s="3745"/>
      <c r="I61" s="3746"/>
      <c r="J61" s="3776"/>
      <c r="K61" s="2909"/>
      <c r="L61" s="2909"/>
      <c r="M61" s="3768"/>
      <c r="N61" s="3764"/>
      <c r="O61" s="2909"/>
      <c r="P61" s="2931"/>
      <c r="Q61" s="2909"/>
      <c r="R61" s="677">
        <f>W61/S59</f>
        <v>0.2640960114258498</v>
      </c>
      <c r="S61" s="3748"/>
      <c r="T61" s="2909"/>
      <c r="U61" s="624" t="s">
        <v>789</v>
      </c>
      <c r="V61" s="624" t="s">
        <v>790</v>
      </c>
      <c r="W61" s="863">
        <v>14000000</v>
      </c>
      <c r="X61" s="172"/>
      <c r="Y61" s="172"/>
      <c r="Z61" s="3722"/>
      <c r="AA61" s="2931"/>
      <c r="AB61" s="3724"/>
      <c r="AC61" s="3726"/>
      <c r="AD61" s="3724"/>
      <c r="AE61" s="3726"/>
      <c r="AF61" s="3724"/>
      <c r="AG61" s="3726"/>
      <c r="AH61" s="3724"/>
      <c r="AI61" s="3726"/>
      <c r="AJ61" s="3724"/>
      <c r="AK61" s="3726"/>
      <c r="AL61" s="3724"/>
      <c r="AM61" s="3726"/>
      <c r="AN61" s="3724"/>
      <c r="AO61" s="3726"/>
      <c r="AP61" s="3724"/>
      <c r="AQ61" s="3726"/>
      <c r="AR61" s="3724"/>
      <c r="AS61" s="3726"/>
      <c r="AT61" s="3724"/>
      <c r="AU61" s="3726"/>
      <c r="AV61" s="3724"/>
      <c r="AW61" s="3726"/>
      <c r="AX61" s="3724"/>
      <c r="AY61" s="3726"/>
      <c r="AZ61" s="3722"/>
      <c r="BA61" s="2983"/>
      <c r="BB61" s="2983"/>
      <c r="BC61" s="3769"/>
      <c r="BD61" s="3722"/>
      <c r="BE61" s="3722"/>
      <c r="BF61" s="3723"/>
      <c r="BG61" s="3765"/>
      <c r="BH61" s="3766"/>
      <c r="BI61" s="3765"/>
      <c r="BJ61" s="3722"/>
    </row>
    <row r="62" spans="1:62" s="477" customFormat="1" ht="15">
      <c r="A62" s="3736"/>
      <c r="B62" s="3737"/>
      <c r="C62" s="3738"/>
      <c r="D62" s="3736"/>
      <c r="E62" s="3737"/>
      <c r="F62" s="3738"/>
      <c r="G62" s="819">
        <v>31</v>
      </c>
      <c r="H62" s="819" t="s">
        <v>791</v>
      </c>
      <c r="I62" s="819"/>
      <c r="J62" s="819"/>
      <c r="K62" s="819"/>
      <c r="L62" s="819"/>
      <c r="M62" s="819"/>
      <c r="N62" s="820"/>
      <c r="O62" s="819"/>
      <c r="P62" s="819"/>
      <c r="Q62" s="821"/>
      <c r="R62" s="819"/>
      <c r="S62" s="819"/>
      <c r="T62" s="821"/>
      <c r="U62" s="821"/>
      <c r="V62" s="821"/>
      <c r="W62" s="822"/>
      <c r="X62" s="823"/>
      <c r="Y62" s="823"/>
      <c r="Z62" s="824"/>
      <c r="AA62" s="822"/>
      <c r="AB62" s="819"/>
      <c r="AC62" s="820"/>
      <c r="AD62" s="819"/>
      <c r="AE62" s="820"/>
      <c r="AF62" s="819"/>
      <c r="AG62" s="820"/>
      <c r="AH62" s="819"/>
      <c r="AI62" s="820"/>
      <c r="AJ62" s="819"/>
      <c r="AK62" s="820"/>
      <c r="AL62" s="819"/>
      <c r="AM62" s="820"/>
      <c r="AN62" s="819"/>
      <c r="AO62" s="820"/>
      <c r="AP62" s="819"/>
      <c r="AQ62" s="820"/>
      <c r="AR62" s="819"/>
      <c r="AS62" s="820"/>
      <c r="AT62" s="819"/>
      <c r="AU62" s="820"/>
      <c r="AV62" s="819"/>
      <c r="AW62" s="820"/>
      <c r="AX62" s="819"/>
      <c r="AY62" s="820"/>
      <c r="AZ62" s="819"/>
      <c r="BA62" s="819"/>
      <c r="BB62" s="819"/>
      <c r="BC62" s="819"/>
      <c r="BD62" s="819"/>
      <c r="BE62" s="819"/>
      <c r="BF62" s="822"/>
      <c r="BG62" s="823"/>
      <c r="BH62" s="822"/>
      <c r="BI62" s="823"/>
      <c r="BJ62" s="825"/>
    </row>
    <row r="63" spans="1:62" ht="95.25" customHeight="1">
      <c r="A63" s="3736"/>
      <c r="B63" s="3737"/>
      <c r="C63" s="3738"/>
      <c r="D63" s="3736"/>
      <c r="E63" s="3737"/>
      <c r="F63" s="3738"/>
      <c r="G63" s="3347" t="s">
        <v>40</v>
      </c>
      <c r="H63" s="3729"/>
      <c r="I63" s="3730"/>
      <c r="J63" s="3776">
        <v>118</v>
      </c>
      <c r="K63" s="2909" t="s">
        <v>792</v>
      </c>
      <c r="L63" s="2909" t="s">
        <v>793</v>
      </c>
      <c r="M63" s="3768">
        <v>4</v>
      </c>
      <c r="N63" s="3764">
        <v>5</v>
      </c>
      <c r="O63" s="2982" t="s">
        <v>794</v>
      </c>
      <c r="P63" s="2931">
        <v>48</v>
      </c>
      <c r="Q63" s="2909" t="s">
        <v>795</v>
      </c>
      <c r="R63" s="2915">
        <f>W63/S63</f>
        <v>1</v>
      </c>
      <c r="S63" s="3748">
        <v>187431667</v>
      </c>
      <c r="T63" s="2909" t="s">
        <v>740</v>
      </c>
      <c r="U63" s="473" t="s">
        <v>796</v>
      </c>
      <c r="V63" s="473" t="s">
        <v>797</v>
      </c>
      <c r="W63" s="2889">
        <v>187431667</v>
      </c>
      <c r="X63" s="2962">
        <v>154620667</v>
      </c>
      <c r="Y63" s="2962">
        <v>154620667</v>
      </c>
      <c r="Z63" s="3767">
        <v>34</v>
      </c>
      <c r="AA63" s="2931" t="s">
        <v>798</v>
      </c>
      <c r="AB63" s="3724">
        <v>64149</v>
      </c>
      <c r="AC63" s="3726"/>
      <c r="AD63" s="3724">
        <v>72224</v>
      </c>
      <c r="AE63" s="3726"/>
      <c r="AF63" s="3724">
        <v>27477</v>
      </c>
      <c r="AG63" s="3726"/>
      <c r="AH63" s="3724">
        <v>86843</v>
      </c>
      <c r="AI63" s="3726"/>
      <c r="AJ63" s="3724">
        <v>236429</v>
      </c>
      <c r="AK63" s="3726"/>
      <c r="AL63" s="3724"/>
      <c r="AM63" s="3726"/>
      <c r="AN63" s="3724">
        <v>13208</v>
      </c>
      <c r="AO63" s="3726"/>
      <c r="AP63" s="3724">
        <v>1817</v>
      </c>
      <c r="AQ63" s="3726"/>
      <c r="AR63" s="3724">
        <v>520</v>
      </c>
      <c r="AS63" s="3726"/>
      <c r="AT63" s="3724"/>
      <c r="AU63" s="3726"/>
      <c r="AV63" s="3724">
        <v>16897</v>
      </c>
      <c r="AW63" s="3726"/>
      <c r="AX63" s="3724"/>
      <c r="AY63" s="3726"/>
      <c r="AZ63" s="2983">
        <v>7</v>
      </c>
      <c r="BA63" s="2983">
        <f>X63</f>
        <v>154620667</v>
      </c>
      <c r="BB63" s="2983">
        <f>Y63</f>
        <v>154620667</v>
      </c>
      <c r="BC63" s="2924">
        <f>+BB63/BA63</f>
        <v>1</v>
      </c>
      <c r="BD63" s="3722" t="s">
        <v>799</v>
      </c>
      <c r="BE63" s="814" t="s">
        <v>800</v>
      </c>
      <c r="BF63" s="3723">
        <v>42583</v>
      </c>
      <c r="BG63" s="3765">
        <v>42622</v>
      </c>
      <c r="BH63" s="3766">
        <v>42735</v>
      </c>
      <c r="BI63" s="3765">
        <v>42735</v>
      </c>
      <c r="BJ63" s="3722" t="s">
        <v>801</v>
      </c>
    </row>
    <row r="64" spans="1:62" ht="49.5" customHeight="1">
      <c r="A64" s="3736"/>
      <c r="B64" s="3737"/>
      <c r="C64" s="3738"/>
      <c r="D64" s="3736"/>
      <c r="E64" s="3737"/>
      <c r="F64" s="3738"/>
      <c r="G64" s="3349"/>
      <c r="H64" s="3731"/>
      <c r="I64" s="3732"/>
      <c r="J64" s="3776"/>
      <c r="K64" s="2909"/>
      <c r="L64" s="2909"/>
      <c r="M64" s="3768"/>
      <c r="N64" s="3764"/>
      <c r="O64" s="2982"/>
      <c r="P64" s="2931"/>
      <c r="Q64" s="2909"/>
      <c r="R64" s="2916"/>
      <c r="S64" s="3748"/>
      <c r="T64" s="2909"/>
      <c r="U64" s="3012" t="s">
        <v>802</v>
      </c>
      <c r="V64" s="3012" t="s">
        <v>803</v>
      </c>
      <c r="W64" s="2890"/>
      <c r="X64" s="2963"/>
      <c r="Y64" s="2963"/>
      <c r="Z64" s="3767"/>
      <c r="AA64" s="2931"/>
      <c r="AB64" s="3724"/>
      <c r="AC64" s="3726"/>
      <c r="AD64" s="3724"/>
      <c r="AE64" s="3726"/>
      <c r="AF64" s="3724"/>
      <c r="AG64" s="3726"/>
      <c r="AH64" s="3724"/>
      <c r="AI64" s="3726"/>
      <c r="AJ64" s="3724"/>
      <c r="AK64" s="3726"/>
      <c r="AL64" s="3724"/>
      <c r="AM64" s="3726"/>
      <c r="AN64" s="3724"/>
      <c r="AO64" s="3726"/>
      <c r="AP64" s="3724"/>
      <c r="AQ64" s="3726"/>
      <c r="AR64" s="3724"/>
      <c r="AS64" s="3726"/>
      <c r="AT64" s="3724"/>
      <c r="AU64" s="3726"/>
      <c r="AV64" s="3724"/>
      <c r="AW64" s="3726"/>
      <c r="AX64" s="3724"/>
      <c r="AY64" s="3726"/>
      <c r="AZ64" s="2983"/>
      <c r="BA64" s="2983"/>
      <c r="BB64" s="2983"/>
      <c r="BC64" s="2924"/>
      <c r="BD64" s="3722"/>
      <c r="BE64" s="814" t="s">
        <v>771</v>
      </c>
      <c r="BF64" s="3723"/>
      <c r="BG64" s="3765"/>
      <c r="BH64" s="3766"/>
      <c r="BI64" s="3765"/>
      <c r="BJ64" s="3722"/>
    </row>
    <row r="65" spans="1:62" ht="49.5" customHeight="1">
      <c r="A65" s="3736"/>
      <c r="B65" s="3737"/>
      <c r="C65" s="3738"/>
      <c r="D65" s="3736"/>
      <c r="E65" s="3737"/>
      <c r="F65" s="3738"/>
      <c r="G65" s="3349"/>
      <c r="H65" s="3731"/>
      <c r="I65" s="3732"/>
      <c r="J65" s="3776"/>
      <c r="K65" s="2909"/>
      <c r="L65" s="2909"/>
      <c r="M65" s="3768"/>
      <c r="N65" s="3764"/>
      <c r="O65" s="2982"/>
      <c r="P65" s="2931"/>
      <c r="Q65" s="2909"/>
      <c r="R65" s="2916"/>
      <c r="S65" s="3748"/>
      <c r="T65" s="2909"/>
      <c r="U65" s="3014"/>
      <c r="V65" s="3014"/>
      <c r="W65" s="2890"/>
      <c r="X65" s="2963"/>
      <c r="Y65" s="2963"/>
      <c r="Z65" s="3767"/>
      <c r="AA65" s="2931"/>
      <c r="AB65" s="3724"/>
      <c r="AC65" s="3726"/>
      <c r="AD65" s="3724"/>
      <c r="AE65" s="3726"/>
      <c r="AF65" s="3724"/>
      <c r="AG65" s="3726"/>
      <c r="AH65" s="3724"/>
      <c r="AI65" s="3726"/>
      <c r="AJ65" s="3724"/>
      <c r="AK65" s="3726"/>
      <c r="AL65" s="3724"/>
      <c r="AM65" s="3726"/>
      <c r="AN65" s="3724"/>
      <c r="AO65" s="3726"/>
      <c r="AP65" s="3724"/>
      <c r="AQ65" s="3726"/>
      <c r="AR65" s="3724"/>
      <c r="AS65" s="3726"/>
      <c r="AT65" s="3724"/>
      <c r="AU65" s="3726"/>
      <c r="AV65" s="3724"/>
      <c r="AW65" s="3726"/>
      <c r="AX65" s="3724"/>
      <c r="AY65" s="3726"/>
      <c r="AZ65" s="2983"/>
      <c r="BA65" s="2983"/>
      <c r="BB65" s="2983"/>
      <c r="BC65" s="2924"/>
      <c r="BD65" s="3722"/>
      <c r="BE65" s="814" t="s">
        <v>761</v>
      </c>
      <c r="BF65" s="3723"/>
      <c r="BG65" s="3765"/>
      <c r="BH65" s="3766"/>
      <c r="BI65" s="3765"/>
      <c r="BJ65" s="3722"/>
    </row>
    <row r="66" spans="1:62" ht="57" customHeight="1">
      <c r="A66" s="3736"/>
      <c r="B66" s="3737"/>
      <c r="C66" s="3738"/>
      <c r="D66" s="3739"/>
      <c r="E66" s="3740"/>
      <c r="F66" s="3741"/>
      <c r="G66" s="3351"/>
      <c r="H66" s="3745"/>
      <c r="I66" s="3746"/>
      <c r="J66" s="3776"/>
      <c r="K66" s="2909"/>
      <c r="L66" s="2909"/>
      <c r="M66" s="3768"/>
      <c r="N66" s="3764"/>
      <c r="O66" s="2982"/>
      <c r="P66" s="2931"/>
      <c r="Q66" s="2909"/>
      <c r="R66" s="3742"/>
      <c r="S66" s="3748"/>
      <c r="T66" s="2909"/>
      <c r="U66" s="473" t="s">
        <v>804</v>
      </c>
      <c r="V66" s="473" t="s">
        <v>805</v>
      </c>
      <c r="W66" s="2891"/>
      <c r="X66" s="2964"/>
      <c r="Y66" s="2964"/>
      <c r="Z66" s="3767"/>
      <c r="AA66" s="2931"/>
      <c r="AB66" s="3724"/>
      <c r="AC66" s="3726"/>
      <c r="AD66" s="3724"/>
      <c r="AE66" s="3726"/>
      <c r="AF66" s="3724"/>
      <c r="AG66" s="3726"/>
      <c r="AH66" s="3724"/>
      <c r="AI66" s="3726"/>
      <c r="AJ66" s="3724"/>
      <c r="AK66" s="3726"/>
      <c r="AL66" s="3724"/>
      <c r="AM66" s="3726"/>
      <c r="AN66" s="3724"/>
      <c r="AO66" s="3726"/>
      <c r="AP66" s="3724"/>
      <c r="AQ66" s="3726"/>
      <c r="AR66" s="3724"/>
      <c r="AS66" s="3726"/>
      <c r="AT66" s="3724"/>
      <c r="AU66" s="3726"/>
      <c r="AV66" s="3724"/>
      <c r="AW66" s="3726"/>
      <c r="AX66" s="3724"/>
      <c r="AY66" s="3726"/>
      <c r="AZ66" s="2983"/>
      <c r="BA66" s="2983"/>
      <c r="BB66" s="2983"/>
      <c r="BC66" s="2924"/>
      <c r="BD66" s="3722"/>
      <c r="BE66" s="814" t="s">
        <v>760</v>
      </c>
      <c r="BF66" s="3723"/>
      <c r="BG66" s="3765"/>
      <c r="BH66" s="3766"/>
      <c r="BI66" s="3765"/>
      <c r="BJ66" s="3722"/>
    </row>
    <row r="67" spans="1:62" s="477" customFormat="1" ht="15">
      <c r="A67" s="3736"/>
      <c r="B67" s="3737"/>
      <c r="C67" s="3738"/>
      <c r="D67" s="826">
        <v>10</v>
      </c>
      <c r="E67" s="827" t="s">
        <v>806</v>
      </c>
      <c r="F67" s="691"/>
      <c r="G67" s="691"/>
      <c r="H67" s="691"/>
      <c r="I67" s="691"/>
      <c r="J67" s="691"/>
      <c r="K67" s="691"/>
      <c r="L67" s="828"/>
      <c r="M67" s="828"/>
      <c r="N67" s="829"/>
      <c r="O67" s="828"/>
      <c r="P67" s="828"/>
      <c r="Q67" s="830"/>
      <c r="R67" s="828"/>
      <c r="S67" s="828"/>
      <c r="T67" s="830"/>
      <c r="U67" s="830"/>
      <c r="V67" s="830"/>
      <c r="W67" s="831"/>
      <c r="X67" s="832"/>
      <c r="Y67" s="832"/>
      <c r="Z67" s="833"/>
      <c r="AA67" s="831"/>
      <c r="AB67" s="828"/>
      <c r="AC67" s="829"/>
      <c r="AD67" s="828"/>
      <c r="AE67" s="829"/>
      <c r="AF67" s="828"/>
      <c r="AG67" s="829"/>
      <c r="AH67" s="828"/>
      <c r="AI67" s="829"/>
      <c r="AJ67" s="828"/>
      <c r="AK67" s="829"/>
      <c r="AL67" s="828"/>
      <c r="AM67" s="829"/>
      <c r="AN67" s="828"/>
      <c r="AO67" s="829"/>
      <c r="AP67" s="828"/>
      <c r="AQ67" s="829"/>
      <c r="AR67" s="828"/>
      <c r="AS67" s="829"/>
      <c r="AT67" s="828"/>
      <c r="AU67" s="829"/>
      <c r="AV67" s="828"/>
      <c r="AW67" s="829"/>
      <c r="AX67" s="828"/>
      <c r="AY67" s="829"/>
      <c r="AZ67" s="828"/>
      <c r="BA67" s="828"/>
      <c r="BB67" s="828"/>
      <c r="BC67" s="828"/>
      <c r="BD67" s="828"/>
      <c r="BE67" s="828"/>
      <c r="BF67" s="831"/>
      <c r="BG67" s="832"/>
      <c r="BH67" s="831"/>
      <c r="BI67" s="832"/>
      <c r="BJ67" s="834"/>
    </row>
    <row r="68" spans="1:62" s="477" customFormat="1" ht="15">
      <c r="A68" s="3736"/>
      <c r="B68" s="3737"/>
      <c r="C68" s="3738"/>
      <c r="D68" s="3743"/>
      <c r="E68" s="3281"/>
      <c r="F68" s="3287"/>
      <c r="G68" s="835">
        <v>32</v>
      </c>
      <c r="H68" s="699" t="s">
        <v>807</v>
      </c>
      <c r="I68" s="699"/>
      <c r="J68" s="699"/>
      <c r="K68" s="699"/>
      <c r="L68" s="819"/>
      <c r="M68" s="819"/>
      <c r="N68" s="820"/>
      <c r="O68" s="819"/>
      <c r="P68" s="819"/>
      <c r="Q68" s="821"/>
      <c r="R68" s="819"/>
      <c r="S68" s="819"/>
      <c r="T68" s="821"/>
      <c r="U68" s="821"/>
      <c r="V68" s="821"/>
      <c r="W68" s="822"/>
      <c r="X68" s="823"/>
      <c r="Y68" s="823"/>
      <c r="Z68" s="824"/>
      <c r="AA68" s="822"/>
      <c r="AB68" s="819"/>
      <c r="AC68" s="820"/>
      <c r="AD68" s="819"/>
      <c r="AE68" s="820"/>
      <c r="AF68" s="819"/>
      <c r="AG68" s="820"/>
      <c r="AH68" s="819"/>
      <c r="AI68" s="820"/>
      <c r="AJ68" s="819"/>
      <c r="AK68" s="820"/>
      <c r="AL68" s="819"/>
      <c r="AM68" s="820"/>
      <c r="AN68" s="819"/>
      <c r="AO68" s="820"/>
      <c r="AP68" s="819"/>
      <c r="AQ68" s="820"/>
      <c r="AR68" s="819"/>
      <c r="AS68" s="820"/>
      <c r="AT68" s="819"/>
      <c r="AU68" s="820"/>
      <c r="AV68" s="819"/>
      <c r="AW68" s="820"/>
      <c r="AX68" s="819"/>
      <c r="AY68" s="820"/>
      <c r="AZ68" s="819"/>
      <c r="BA68" s="819"/>
      <c r="BB68" s="819"/>
      <c r="BC68" s="819"/>
      <c r="BD68" s="819"/>
      <c r="BE68" s="819"/>
      <c r="BF68" s="822"/>
      <c r="BG68" s="823"/>
      <c r="BH68" s="822"/>
      <c r="BI68" s="823"/>
      <c r="BJ68" s="825"/>
    </row>
    <row r="69" spans="1:63" ht="51" customHeight="1">
      <c r="A69" s="3736"/>
      <c r="B69" s="3737"/>
      <c r="C69" s="3738"/>
      <c r="D69" s="3744"/>
      <c r="E69" s="3282"/>
      <c r="F69" s="3288"/>
      <c r="G69" s="3347" t="s">
        <v>40</v>
      </c>
      <c r="H69" s="3729"/>
      <c r="I69" s="3730"/>
      <c r="J69" s="3747">
        <v>119</v>
      </c>
      <c r="K69" s="2909" t="s">
        <v>808</v>
      </c>
      <c r="L69" s="2909" t="s">
        <v>809</v>
      </c>
      <c r="M69" s="3763">
        <v>7</v>
      </c>
      <c r="N69" s="3764">
        <v>7</v>
      </c>
      <c r="O69" s="671" t="s">
        <v>810</v>
      </c>
      <c r="P69" s="2931">
        <v>49</v>
      </c>
      <c r="Q69" s="2909" t="s">
        <v>811</v>
      </c>
      <c r="R69" s="3755">
        <f>(W69+W70)/S69</f>
        <v>0.7241212443401376</v>
      </c>
      <c r="S69" s="3277">
        <v>372865735</v>
      </c>
      <c r="T69" s="2909" t="s">
        <v>812</v>
      </c>
      <c r="U69" s="2909" t="s">
        <v>813</v>
      </c>
      <c r="V69" s="2909" t="s">
        <v>814</v>
      </c>
      <c r="W69" s="620">
        <v>210000000</v>
      </c>
      <c r="X69" s="2965">
        <v>218252651</v>
      </c>
      <c r="Y69" s="2965">
        <v>218252651</v>
      </c>
      <c r="Z69" s="216">
        <v>109</v>
      </c>
      <c r="AA69" s="624" t="s">
        <v>815</v>
      </c>
      <c r="AB69" s="3724">
        <v>64149</v>
      </c>
      <c r="AC69" s="3726"/>
      <c r="AD69" s="3724">
        <v>72224</v>
      </c>
      <c r="AE69" s="3726"/>
      <c r="AF69" s="3724">
        <v>27477</v>
      </c>
      <c r="AG69" s="3726"/>
      <c r="AH69" s="3724">
        <v>86843</v>
      </c>
      <c r="AI69" s="3726"/>
      <c r="AJ69" s="3724">
        <v>236429</v>
      </c>
      <c r="AK69" s="3726"/>
      <c r="AL69" s="3724"/>
      <c r="AM69" s="3726"/>
      <c r="AN69" s="3724">
        <v>13208</v>
      </c>
      <c r="AO69" s="3726"/>
      <c r="AP69" s="3724">
        <v>1817</v>
      </c>
      <c r="AQ69" s="3726"/>
      <c r="AR69" s="3724">
        <v>520</v>
      </c>
      <c r="AS69" s="3726"/>
      <c r="AT69" s="3724"/>
      <c r="AU69" s="3726"/>
      <c r="AV69" s="3724">
        <v>16897</v>
      </c>
      <c r="AW69" s="3726"/>
      <c r="AX69" s="3724"/>
      <c r="AY69" s="3726"/>
      <c r="AZ69" s="2907">
        <v>8</v>
      </c>
      <c r="BA69" s="2907">
        <v>218252651</v>
      </c>
      <c r="BB69" s="2907">
        <v>185252651</v>
      </c>
      <c r="BC69" s="2925">
        <f>BB69/BA69</f>
        <v>0.8487990874392632</v>
      </c>
      <c r="BD69" s="624" t="s">
        <v>815</v>
      </c>
      <c r="BE69" s="2907" t="s">
        <v>760</v>
      </c>
      <c r="BF69" s="2898">
        <v>42583</v>
      </c>
      <c r="BG69" s="3757">
        <v>42444</v>
      </c>
      <c r="BH69" s="3760">
        <v>42735</v>
      </c>
      <c r="BI69" s="3757">
        <v>42727</v>
      </c>
      <c r="BJ69" s="3722" t="s">
        <v>816</v>
      </c>
      <c r="BK69" s="836"/>
    </row>
    <row r="70" spans="1:63" ht="63" customHeight="1">
      <c r="A70" s="3736"/>
      <c r="B70" s="3737"/>
      <c r="C70" s="3738"/>
      <c r="D70" s="3744"/>
      <c r="E70" s="3282"/>
      <c r="F70" s="3288"/>
      <c r="G70" s="3349"/>
      <c r="H70" s="3731"/>
      <c r="I70" s="3732"/>
      <c r="J70" s="3747"/>
      <c r="K70" s="2909"/>
      <c r="L70" s="2909"/>
      <c r="M70" s="3763"/>
      <c r="N70" s="3764"/>
      <c r="O70" s="671" t="s">
        <v>817</v>
      </c>
      <c r="P70" s="2931"/>
      <c r="Q70" s="2909"/>
      <c r="R70" s="3755"/>
      <c r="S70" s="3277"/>
      <c r="T70" s="2909"/>
      <c r="U70" s="2909"/>
      <c r="V70" s="2909"/>
      <c r="W70" s="620">
        <v>60000000</v>
      </c>
      <c r="X70" s="2966"/>
      <c r="Y70" s="2966"/>
      <c r="Z70" s="216">
        <v>20</v>
      </c>
      <c r="AA70" s="624" t="s">
        <v>63</v>
      </c>
      <c r="AB70" s="3724"/>
      <c r="AC70" s="3726"/>
      <c r="AD70" s="3724"/>
      <c r="AE70" s="3726"/>
      <c r="AF70" s="3724"/>
      <c r="AG70" s="3726"/>
      <c r="AH70" s="3724"/>
      <c r="AI70" s="3726"/>
      <c r="AJ70" s="3724"/>
      <c r="AK70" s="3726"/>
      <c r="AL70" s="3724"/>
      <c r="AM70" s="3726"/>
      <c r="AN70" s="3724"/>
      <c r="AO70" s="3726"/>
      <c r="AP70" s="3724"/>
      <c r="AQ70" s="3726"/>
      <c r="AR70" s="3724"/>
      <c r="AS70" s="3726"/>
      <c r="AT70" s="3724"/>
      <c r="AU70" s="3726"/>
      <c r="AV70" s="3724"/>
      <c r="AW70" s="3726"/>
      <c r="AX70" s="3724"/>
      <c r="AY70" s="3726"/>
      <c r="AZ70" s="2908"/>
      <c r="BA70" s="2908"/>
      <c r="BB70" s="2908"/>
      <c r="BC70" s="3271"/>
      <c r="BD70" s="216" t="s">
        <v>676</v>
      </c>
      <c r="BE70" s="2908"/>
      <c r="BF70" s="2899"/>
      <c r="BG70" s="3758"/>
      <c r="BH70" s="3761"/>
      <c r="BI70" s="3758"/>
      <c r="BJ70" s="3722"/>
      <c r="BK70" s="836"/>
    </row>
    <row r="71" spans="1:63" ht="75.75" customHeight="1">
      <c r="A71" s="3736"/>
      <c r="B71" s="3737"/>
      <c r="C71" s="3738"/>
      <c r="D71" s="3744"/>
      <c r="E71" s="3282"/>
      <c r="F71" s="3288"/>
      <c r="G71" s="3349"/>
      <c r="H71" s="3731"/>
      <c r="I71" s="3732"/>
      <c r="J71" s="3747"/>
      <c r="K71" s="2909"/>
      <c r="L71" s="2909"/>
      <c r="M71" s="3763"/>
      <c r="N71" s="3764"/>
      <c r="O71" s="671" t="s">
        <v>818</v>
      </c>
      <c r="P71" s="2931"/>
      <c r="Q71" s="2909"/>
      <c r="R71" s="677">
        <f>W71/S69</f>
        <v>0.15263506312801844</v>
      </c>
      <c r="S71" s="3277"/>
      <c r="T71" s="2909"/>
      <c r="U71" s="624" t="s">
        <v>819</v>
      </c>
      <c r="V71" s="624" t="s">
        <v>820</v>
      </c>
      <c r="W71" s="620">
        <f>65000000-8087615</f>
        <v>56912385</v>
      </c>
      <c r="X71" s="2966"/>
      <c r="Y71" s="2966"/>
      <c r="Z71" s="216">
        <v>93</v>
      </c>
      <c r="AA71" s="624" t="s">
        <v>821</v>
      </c>
      <c r="AB71" s="3724"/>
      <c r="AC71" s="3726"/>
      <c r="AD71" s="3724"/>
      <c r="AE71" s="3726"/>
      <c r="AF71" s="3724"/>
      <c r="AG71" s="3726"/>
      <c r="AH71" s="3724"/>
      <c r="AI71" s="3726"/>
      <c r="AJ71" s="3724"/>
      <c r="AK71" s="3726"/>
      <c r="AL71" s="3724"/>
      <c r="AM71" s="3726"/>
      <c r="AN71" s="3724"/>
      <c r="AO71" s="3726"/>
      <c r="AP71" s="3724"/>
      <c r="AQ71" s="3726"/>
      <c r="AR71" s="3724"/>
      <c r="AS71" s="3726"/>
      <c r="AT71" s="3724"/>
      <c r="AU71" s="3726"/>
      <c r="AV71" s="3724"/>
      <c r="AW71" s="3726"/>
      <c r="AX71" s="3724"/>
      <c r="AY71" s="3726"/>
      <c r="AZ71" s="2908"/>
      <c r="BA71" s="2908"/>
      <c r="BB71" s="2908"/>
      <c r="BC71" s="3271"/>
      <c r="BD71" s="624" t="s">
        <v>821</v>
      </c>
      <c r="BE71" s="2908"/>
      <c r="BF71" s="2899"/>
      <c r="BG71" s="3758"/>
      <c r="BH71" s="3761"/>
      <c r="BI71" s="3758"/>
      <c r="BJ71" s="3722"/>
      <c r="BK71" s="836"/>
    </row>
    <row r="72" spans="1:63" ht="84" customHeight="1">
      <c r="A72" s="3736"/>
      <c r="B72" s="3737"/>
      <c r="C72" s="3738"/>
      <c r="D72" s="3744"/>
      <c r="E72" s="3282"/>
      <c r="F72" s="3288"/>
      <c r="G72" s="3349"/>
      <c r="H72" s="3731"/>
      <c r="I72" s="3732"/>
      <c r="J72" s="3747"/>
      <c r="K72" s="2909"/>
      <c r="L72" s="2909"/>
      <c r="M72" s="3763"/>
      <c r="N72" s="3764"/>
      <c r="O72" s="671" t="s">
        <v>822</v>
      </c>
      <c r="P72" s="2931"/>
      <c r="Q72" s="2909"/>
      <c r="R72" s="677">
        <f>W72/S69</f>
        <v>0.029376123821085356</v>
      </c>
      <c r="S72" s="3277"/>
      <c r="T72" s="2909"/>
      <c r="U72" s="624" t="s">
        <v>823</v>
      </c>
      <c r="V72" s="624" t="s">
        <v>824</v>
      </c>
      <c r="W72" s="620">
        <f>23032525-12079175</f>
        <v>10953350</v>
      </c>
      <c r="X72" s="2966"/>
      <c r="Y72" s="2966"/>
      <c r="Z72" s="216">
        <v>47</v>
      </c>
      <c r="AA72" s="624" t="s">
        <v>825</v>
      </c>
      <c r="AB72" s="3724"/>
      <c r="AC72" s="3726"/>
      <c r="AD72" s="3724"/>
      <c r="AE72" s="3726"/>
      <c r="AF72" s="3724"/>
      <c r="AG72" s="3726"/>
      <c r="AH72" s="3724"/>
      <c r="AI72" s="3726"/>
      <c r="AJ72" s="3724"/>
      <c r="AK72" s="3726"/>
      <c r="AL72" s="3724"/>
      <c r="AM72" s="3726"/>
      <c r="AN72" s="3724"/>
      <c r="AO72" s="3726"/>
      <c r="AP72" s="3724"/>
      <c r="AQ72" s="3726"/>
      <c r="AR72" s="3724"/>
      <c r="AS72" s="3726"/>
      <c r="AT72" s="3724"/>
      <c r="AU72" s="3726"/>
      <c r="AV72" s="3724"/>
      <c r="AW72" s="3726"/>
      <c r="AX72" s="3724"/>
      <c r="AY72" s="3726"/>
      <c r="AZ72" s="2908"/>
      <c r="BA72" s="2908"/>
      <c r="BB72" s="2908"/>
      <c r="BC72" s="3271"/>
      <c r="BD72" s="624" t="s">
        <v>825</v>
      </c>
      <c r="BE72" s="2908"/>
      <c r="BF72" s="2899"/>
      <c r="BG72" s="3758"/>
      <c r="BH72" s="3761"/>
      <c r="BI72" s="3758"/>
      <c r="BJ72" s="3722"/>
      <c r="BK72" s="836"/>
    </row>
    <row r="73" spans="1:63" ht="40.5" customHeight="1">
      <c r="A73" s="3736"/>
      <c r="B73" s="3737"/>
      <c r="C73" s="3738"/>
      <c r="D73" s="3744"/>
      <c r="E73" s="3282"/>
      <c r="F73" s="3288"/>
      <c r="G73" s="3351"/>
      <c r="H73" s="3745"/>
      <c r="I73" s="3746"/>
      <c r="J73" s="3747"/>
      <c r="K73" s="2909"/>
      <c r="L73" s="2909"/>
      <c r="M73" s="3763"/>
      <c r="N73" s="3764"/>
      <c r="O73" s="671"/>
      <c r="P73" s="2931"/>
      <c r="Q73" s="2909"/>
      <c r="R73" s="677">
        <f>W73/S69</f>
        <v>0.09386756871075858</v>
      </c>
      <c r="S73" s="3277"/>
      <c r="T73" s="2909"/>
      <c r="U73" s="624" t="s">
        <v>826</v>
      </c>
      <c r="V73" s="624" t="s">
        <v>827</v>
      </c>
      <c r="W73" s="620">
        <v>35000000</v>
      </c>
      <c r="X73" s="2967"/>
      <c r="Y73" s="2967"/>
      <c r="Z73" s="216"/>
      <c r="AA73" s="624"/>
      <c r="AB73" s="3724"/>
      <c r="AC73" s="3726"/>
      <c r="AD73" s="3724"/>
      <c r="AE73" s="3726"/>
      <c r="AF73" s="3724"/>
      <c r="AG73" s="3726"/>
      <c r="AH73" s="3724"/>
      <c r="AI73" s="3726"/>
      <c r="AJ73" s="3724"/>
      <c r="AK73" s="3726"/>
      <c r="AL73" s="3724"/>
      <c r="AM73" s="3726"/>
      <c r="AN73" s="3724"/>
      <c r="AO73" s="3726"/>
      <c r="AP73" s="3724"/>
      <c r="AQ73" s="3726"/>
      <c r="AR73" s="3724"/>
      <c r="AS73" s="3726"/>
      <c r="AT73" s="3724"/>
      <c r="AU73" s="3726"/>
      <c r="AV73" s="3724"/>
      <c r="AW73" s="3726"/>
      <c r="AX73" s="3724"/>
      <c r="AY73" s="3726"/>
      <c r="AZ73" s="3756"/>
      <c r="BA73" s="3756"/>
      <c r="BB73" s="3756"/>
      <c r="BC73" s="3272"/>
      <c r="BD73" s="216"/>
      <c r="BE73" s="3756"/>
      <c r="BF73" s="3721"/>
      <c r="BG73" s="3759"/>
      <c r="BH73" s="3762"/>
      <c r="BI73" s="3759"/>
      <c r="BJ73" s="3722"/>
      <c r="BK73" s="836"/>
    </row>
    <row r="74" spans="1:62" s="477" customFormat="1" ht="15">
      <c r="A74" s="3736"/>
      <c r="B74" s="3737"/>
      <c r="C74" s="3738"/>
      <c r="D74" s="3744"/>
      <c r="E74" s="3282"/>
      <c r="F74" s="3288"/>
      <c r="G74" s="835">
        <v>33</v>
      </c>
      <c r="H74" s="699" t="s">
        <v>828</v>
      </c>
      <c r="I74" s="699"/>
      <c r="J74" s="699"/>
      <c r="K74" s="699"/>
      <c r="L74" s="819"/>
      <c r="M74" s="819"/>
      <c r="N74" s="820"/>
      <c r="O74" s="819"/>
      <c r="P74" s="819"/>
      <c r="Q74" s="821"/>
      <c r="R74" s="819"/>
      <c r="S74" s="819"/>
      <c r="T74" s="821"/>
      <c r="U74" s="821"/>
      <c r="V74" s="821"/>
      <c r="W74" s="822"/>
      <c r="X74" s="823"/>
      <c r="Y74" s="823"/>
      <c r="Z74" s="824"/>
      <c r="AA74" s="822"/>
      <c r="AB74" s="819"/>
      <c r="AC74" s="820"/>
      <c r="AD74" s="819"/>
      <c r="AE74" s="820"/>
      <c r="AF74" s="819"/>
      <c r="AG74" s="820"/>
      <c r="AH74" s="819"/>
      <c r="AI74" s="820"/>
      <c r="AJ74" s="819"/>
      <c r="AK74" s="820"/>
      <c r="AL74" s="819"/>
      <c r="AM74" s="820"/>
      <c r="AN74" s="819"/>
      <c r="AO74" s="820"/>
      <c r="AP74" s="819"/>
      <c r="AQ74" s="820"/>
      <c r="AR74" s="819"/>
      <c r="AS74" s="820"/>
      <c r="AT74" s="819"/>
      <c r="AU74" s="820"/>
      <c r="AV74" s="819"/>
      <c r="AW74" s="820"/>
      <c r="AX74" s="819"/>
      <c r="AY74" s="820"/>
      <c r="AZ74" s="819"/>
      <c r="BA74" s="819"/>
      <c r="BB74" s="819"/>
      <c r="BC74" s="819"/>
      <c r="BD74" s="819"/>
      <c r="BE74" s="819"/>
      <c r="BF74" s="822"/>
      <c r="BG74" s="823"/>
      <c r="BH74" s="822"/>
      <c r="BI74" s="823"/>
      <c r="BJ74" s="825"/>
    </row>
    <row r="75" spans="1:62" ht="90" customHeight="1">
      <c r="A75" s="3736"/>
      <c r="B75" s="3737"/>
      <c r="C75" s="3738"/>
      <c r="D75" s="3744"/>
      <c r="E75" s="3282"/>
      <c r="F75" s="3288"/>
      <c r="G75" s="3347" t="s">
        <v>40</v>
      </c>
      <c r="H75" s="3729"/>
      <c r="I75" s="3730"/>
      <c r="J75" s="805">
        <v>120</v>
      </c>
      <c r="K75" s="624" t="s">
        <v>829</v>
      </c>
      <c r="L75" s="624" t="s">
        <v>809</v>
      </c>
      <c r="M75" s="806">
        <v>2</v>
      </c>
      <c r="N75" s="816">
        <v>2</v>
      </c>
      <c r="O75" s="2909" t="s">
        <v>830</v>
      </c>
      <c r="P75" s="2931">
        <v>50</v>
      </c>
      <c r="Q75" s="2909" t="s">
        <v>831</v>
      </c>
      <c r="R75" s="1175">
        <f>W75/(S75+S76)</f>
        <v>0.5</v>
      </c>
      <c r="S75" s="620">
        <v>15000000</v>
      </c>
      <c r="T75" s="2909" t="s">
        <v>832</v>
      </c>
      <c r="U75" s="624" t="s">
        <v>833</v>
      </c>
      <c r="V75" s="624" t="s">
        <v>834</v>
      </c>
      <c r="W75" s="620">
        <v>15000000</v>
      </c>
      <c r="X75" s="234">
        <v>13000000</v>
      </c>
      <c r="Y75" s="172">
        <v>13000000</v>
      </c>
      <c r="Z75" s="3722">
        <v>20</v>
      </c>
      <c r="AA75" s="2931" t="s">
        <v>731</v>
      </c>
      <c r="AB75" s="3724">
        <v>0</v>
      </c>
      <c r="AC75" s="3726"/>
      <c r="AD75" s="3724">
        <v>0</v>
      </c>
      <c r="AE75" s="3726"/>
      <c r="AF75" s="3724">
        <v>0</v>
      </c>
      <c r="AG75" s="3726"/>
      <c r="AH75" s="3724">
        <v>40000</v>
      </c>
      <c r="AI75" s="3726"/>
      <c r="AJ75" s="3724">
        <v>100000</v>
      </c>
      <c r="AK75" s="3726"/>
      <c r="AL75" s="3724"/>
      <c r="AM75" s="3726"/>
      <c r="AN75" s="3724">
        <v>500</v>
      </c>
      <c r="AO75" s="3726"/>
      <c r="AP75" s="3724">
        <v>500</v>
      </c>
      <c r="AQ75" s="3726"/>
      <c r="AR75" s="3724">
        <v>200</v>
      </c>
      <c r="AS75" s="3726"/>
      <c r="AT75" s="3724"/>
      <c r="AU75" s="3726"/>
      <c r="AV75" s="3724">
        <v>16897</v>
      </c>
      <c r="AW75" s="3726"/>
      <c r="AX75" s="3724"/>
      <c r="AY75" s="3726"/>
      <c r="AZ75" s="2983">
        <v>2</v>
      </c>
      <c r="BA75" s="2983">
        <v>28000000</v>
      </c>
      <c r="BB75" s="2983">
        <v>28000000</v>
      </c>
      <c r="BC75" s="2924">
        <f>BB75/BA75</f>
        <v>1</v>
      </c>
      <c r="BD75" s="3722" t="s">
        <v>835</v>
      </c>
      <c r="BE75" s="814" t="s">
        <v>836</v>
      </c>
      <c r="BF75" s="3723">
        <v>42583</v>
      </c>
      <c r="BG75" s="2918">
        <v>42664</v>
      </c>
      <c r="BH75" s="3723">
        <v>42735</v>
      </c>
      <c r="BI75" s="2918">
        <v>42735</v>
      </c>
      <c r="BJ75" s="3722" t="s">
        <v>733</v>
      </c>
    </row>
    <row r="76" spans="1:62" ht="114.75" customHeight="1" thickBot="1">
      <c r="A76" s="3736"/>
      <c r="B76" s="3737"/>
      <c r="C76" s="3738"/>
      <c r="D76" s="3744"/>
      <c r="E76" s="3282"/>
      <c r="F76" s="3288"/>
      <c r="G76" s="3349"/>
      <c r="H76" s="3731"/>
      <c r="I76" s="3732"/>
      <c r="J76" s="2611">
        <v>121</v>
      </c>
      <c r="K76" s="2598" t="s">
        <v>837</v>
      </c>
      <c r="L76" s="2598" t="s">
        <v>838</v>
      </c>
      <c r="M76" s="2666">
        <v>4</v>
      </c>
      <c r="N76" s="2612">
        <v>4</v>
      </c>
      <c r="O76" s="2910"/>
      <c r="P76" s="2905"/>
      <c r="Q76" s="2910"/>
      <c r="R76" s="2615">
        <f>W76/(S75+S76)</f>
        <v>0.5</v>
      </c>
      <c r="S76" s="2599">
        <v>15000000</v>
      </c>
      <c r="T76" s="2910"/>
      <c r="U76" s="2598" t="s">
        <v>839</v>
      </c>
      <c r="V76" s="2598" t="s">
        <v>840</v>
      </c>
      <c r="W76" s="2599">
        <v>15000000</v>
      </c>
      <c r="X76" s="2597">
        <v>15000000</v>
      </c>
      <c r="Y76" s="2597">
        <v>15000000</v>
      </c>
      <c r="Z76" s="2907"/>
      <c r="AA76" s="2905"/>
      <c r="AB76" s="3725"/>
      <c r="AC76" s="3727"/>
      <c r="AD76" s="3725"/>
      <c r="AE76" s="3727"/>
      <c r="AF76" s="3725"/>
      <c r="AG76" s="3727"/>
      <c r="AH76" s="3725"/>
      <c r="AI76" s="3727"/>
      <c r="AJ76" s="3725"/>
      <c r="AK76" s="3727"/>
      <c r="AL76" s="3725"/>
      <c r="AM76" s="3727"/>
      <c r="AN76" s="3725"/>
      <c r="AO76" s="3727"/>
      <c r="AP76" s="3725"/>
      <c r="AQ76" s="3727"/>
      <c r="AR76" s="3725"/>
      <c r="AS76" s="3727"/>
      <c r="AT76" s="3725"/>
      <c r="AU76" s="3727"/>
      <c r="AV76" s="3725"/>
      <c r="AW76" s="3727"/>
      <c r="AX76" s="3725"/>
      <c r="AY76" s="3727"/>
      <c r="AZ76" s="2938"/>
      <c r="BA76" s="2938"/>
      <c r="BB76" s="2938"/>
      <c r="BC76" s="2925"/>
      <c r="BD76" s="2907"/>
      <c r="BE76" s="812" t="s">
        <v>841</v>
      </c>
      <c r="BF76" s="2898"/>
      <c r="BG76" s="2919"/>
      <c r="BH76" s="2898"/>
      <c r="BI76" s="2919"/>
      <c r="BJ76" s="2907"/>
    </row>
    <row r="77" spans="1:62" s="843" customFormat="1" ht="27" customHeight="1" thickBot="1">
      <c r="A77" s="3265" t="s">
        <v>96</v>
      </c>
      <c r="B77" s="3266"/>
      <c r="C77" s="3266"/>
      <c r="D77" s="3266"/>
      <c r="E77" s="3266"/>
      <c r="F77" s="3266"/>
      <c r="G77" s="3266"/>
      <c r="H77" s="3266"/>
      <c r="I77" s="3266"/>
      <c r="J77" s="3266"/>
      <c r="K77" s="3266"/>
      <c r="L77" s="3266"/>
      <c r="M77" s="3266"/>
      <c r="N77" s="3266"/>
      <c r="O77" s="3266"/>
      <c r="P77" s="3266"/>
      <c r="Q77" s="3266"/>
      <c r="R77" s="3728"/>
      <c r="S77" s="2667">
        <f>SUM(S18:S76)</f>
        <v>3371718420</v>
      </c>
      <c r="T77" s="2668"/>
      <c r="U77" s="2668"/>
      <c r="V77" s="2669"/>
      <c r="W77" s="2670">
        <f>SUM(W18:W76)</f>
        <v>3371718420</v>
      </c>
      <c r="X77" s="2671">
        <f>SUM(X18:X76)</f>
        <v>1743879683</v>
      </c>
      <c r="Y77" s="2671">
        <f>SUM(Y18:Y76)</f>
        <v>1743879683</v>
      </c>
      <c r="Z77" s="2672"/>
      <c r="AA77" s="2669"/>
      <c r="AB77" s="2673"/>
      <c r="AC77" s="2674"/>
      <c r="AD77" s="2673"/>
      <c r="AE77" s="2674"/>
      <c r="AF77" s="2673"/>
      <c r="AG77" s="2674"/>
      <c r="AH77" s="2673"/>
      <c r="AI77" s="2674"/>
      <c r="AJ77" s="2673"/>
      <c r="AK77" s="2674"/>
      <c r="AL77" s="2673"/>
      <c r="AM77" s="2674"/>
      <c r="AN77" s="2673"/>
      <c r="AO77" s="2674"/>
      <c r="AP77" s="2673"/>
      <c r="AQ77" s="2674"/>
      <c r="AR77" s="2673"/>
      <c r="AS77" s="2674"/>
      <c r="AT77" s="2673"/>
      <c r="AU77" s="2674"/>
      <c r="AV77" s="2673"/>
      <c r="AW77" s="2674"/>
      <c r="AX77" s="2673"/>
      <c r="AY77" s="2674"/>
      <c r="AZ77" s="2673"/>
      <c r="BA77" s="2673"/>
      <c r="BB77" s="2673"/>
      <c r="BC77" s="2673"/>
      <c r="BD77" s="2673"/>
      <c r="BE77" s="2673"/>
      <c r="BF77" s="2675"/>
      <c r="BG77" s="2676"/>
      <c r="BH77" s="2677"/>
      <c r="BI77" s="2678"/>
      <c r="BJ77" s="2679"/>
    </row>
    <row r="78" spans="25:55" ht="61.5" customHeight="1">
      <c r="Y78" s="2632"/>
      <c r="BA78" s="846"/>
      <c r="BB78" s="846"/>
      <c r="BC78" s="847"/>
    </row>
    <row r="79" spans="4:55" ht="15">
      <c r="D79" s="3268" t="s">
        <v>842</v>
      </c>
      <c r="E79" s="3268"/>
      <c r="F79" s="3268"/>
      <c r="G79" s="3268"/>
      <c r="H79" s="3268"/>
      <c r="I79" s="3268"/>
      <c r="BA79" s="847"/>
      <c r="BB79" s="847"/>
      <c r="BC79" s="847"/>
    </row>
    <row r="80" spans="4:55" ht="14.25">
      <c r="D80" s="3269" t="s">
        <v>843</v>
      </c>
      <c r="E80" s="3269"/>
      <c r="F80" s="3269"/>
      <c r="G80" s="3269"/>
      <c r="H80" s="3269"/>
      <c r="I80" s="3269"/>
      <c r="BA80" s="479"/>
      <c r="BB80" s="479"/>
      <c r="BC80" s="847"/>
    </row>
    <row r="81" spans="53:55" ht="14.25">
      <c r="BA81" s="846"/>
      <c r="BB81" s="846"/>
      <c r="BC81" s="847"/>
    </row>
    <row r="82" spans="53:55" ht="14.25">
      <c r="BA82" s="847"/>
      <c r="BB82" s="847"/>
      <c r="BC82" s="847"/>
    </row>
    <row r="83" spans="53:55" ht="14.25">
      <c r="BA83" s="847"/>
      <c r="BB83" s="847"/>
      <c r="BC83" s="847"/>
    </row>
    <row r="84" spans="10:55" ht="14.25">
      <c r="J84" s="848"/>
      <c r="K84" s="480"/>
      <c r="L84" s="848"/>
      <c r="M84" s="849"/>
      <c r="N84" s="850"/>
      <c r="O84" s="848"/>
      <c r="P84" s="848"/>
      <c r="Q84" s="851"/>
      <c r="R84" s="481"/>
      <c r="BA84" s="847"/>
      <c r="BB84" s="847"/>
      <c r="BC84" s="847"/>
    </row>
    <row r="85" spans="10:18" ht="69" customHeight="1">
      <c r="J85" s="848"/>
      <c r="K85" s="610"/>
      <c r="L85" s="848"/>
      <c r="M85" s="849"/>
      <c r="N85" s="850"/>
      <c r="O85" s="848"/>
      <c r="P85" s="848"/>
      <c r="Q85" s="851"/>
      <c r="R85" s="481"/>
    </row>
    <row r="86" spans="10:18" ht="14.25">
      <c r="J86" s="848"/>
      <c r="K86" s="610"/>
      <c r="L86" s="848"/>
      <c r="M86" s="849"/>
      <c r="N86" s="850"/>
      <c r="O86" s="848"/>
      <c r="P86" s="848"/>
      <c r="Q86" s="851"/>
      <c r="R86" s="481"/>
    </row>
    <row r="87" spans="10:18" ht="16.5" customHeight="1">
      <c r="J87" s="848"/>
      <c r="K87" s="610"/>
      <c r="L87" s="848"/>
      <c r="M87" s="849"/>
      <c r="N87" s="850"/>
      <c r="O87" s="848"/>
      <c r="P87" s="848"/>
      <c r="Q87" s="852"/>
      <c r="R87" s="481"/>
    </row>
    <row r="88" spans="10:18" ht="14.25">
      <c r="J88" s="848"/>
      <c r="K88" s="480"/>
      <c r="L88" s="848"/>
      <c r="M88" s="849"/>
      <c r="N88" s="850"/>
      <c r="O88" s="848"/>
      <c r="P88" s="848"/>
      <c r="Q88" s="852"/>
      <c r="R88" s="481"/>
    </row>
    <row r="89" spans="10:18" ht="14.25">
      <c r="J89" s="848"/>
      <c r="K89" s="480"/>
      <c r="L89" s="848"/>
      <c r="M89" s="849"/>
      <c r="N89" s="850"/>
      <c r="O89" s="848"/>
      <c r="P89" s="848"/>
      <c r="Q89" s="852"/>
      <c r="R89" s="481"/>
    </row>
    <row r="90" spans="10:18" ht="14.25">
      <c r="J90" s="848"/>
      <c r="K90" s="480"/>
      <c r="L90" s="848"/>
      <c r="M90" s="849"/>
      <c r="N90" s="850"/>
      <c r="O90" s="848"/>
      <c r="P90" s="848"/>
      <c r="Q90" s="851"/>
      <c r="R90" s="481"/>
    </row>
    <row r="91" spans="10:18" ht="14.25">
      <c r="J91" s="848"/>
      <c r="K91" s="480"/>
      <c r="L91" s="848"/>
      <c r="M91" s="849"/>
      <c r="N91" s="850"/>
      <c r="O91" s="848"/>
      <c r="P91" s="848"/>
      <c r="Q91" s="851"/>
      <c r="R91" s="481"/>
    </row>
    <row r="92" spans="10:18" ht="14.25">
      <c r="J92" s="848"/>
      <c r="K92" s="480"/>
      <c r="L92" s="848"/>
      <c r="M92" s="849"/>
      <c r="N92" s="850"/>
      <c r="O92" s="848"/>
      <c r="P92" s="848"/>
      <c r="Q92" s="851"/>
      <c r="R92" s="481"/>
    </row>
  </sheetData>
  <sheetProtection/>
  <mergeCells count="450">
    <mergeCell ref="Q5:BJ5"/>
    <mergeCell ref="Q6:AA6"/>
    <mergeCell ref="AB6:AY6"/>
    <mergeCell ref="BF6:BJ6"/>
    <mergeCell ref="A1:BF4"/>
    <mergeCell ref="A5:M6"/>
    <mergeCell ref="A7:A14"/>
    <mergeCell ref="B7:C14"/>
    <mergeCell ref="D7:D14"/>
    <mergeCell ref="E7:F14"/>
    <mergeCell ref="G7:G14"/>
    <mergeCell ref="H7:I14"/>
    <mergeCell ref="J7:J14"/>
    <mergeCell ref="R7:R14"/>
    <mergeCell ref="S7:S14"/>
    <mergeCell ref="T7:T14"/>
    <mergeCell ref="U7:U14"/>
    <mergeCell ref="V7:V14"/>
    <mergeCell ref="W7:Y13"/>
    <mergeCell ref="K7:K14"/>
    <mergeCell ref="L7:L14"/>
    <mergeCell ref="M7:N13"/>
    <mergeCell ref="O7:O14"/>
    <mergeCell ref="P7:P14"/>
    <mergeCell ref="Q7:Q14"/>
    <mergeCell ref="Z7:Z14"/>
    <mergeCell ref="AA7:AA14"/>
    <mergeCell ref="BH7:BI13"/>
    <mergeCell ref="BJ7:BJ14"/>
    <mergeCell ref="AB13:AC13"/>
    <mergeCell ref="AD13:AE13"/>
    <mergeCell ref="AF13:AG13"/>
    <mergeCell ref="AH13:AI13"/>
    <mergeCell ref="AJ13:AK13"/>
    <mergeCell ref="AL13:AM13"/>
    <mergeCell ref="AN13:AO13"/>
    <mergeCell ref="AP13:AQ13"/>
    <mergeCell ref="AB7:AM7"/>
    <mergeCell ref="AN7:AY7"/>
    <mergeCell ref="AZ7:BE7"/>
    <mergeCell ref="BF7:BG13"/>
    <mergeCell ref="AR13:AS13"/>
    <mergeCell ref="AT13:AU13"/>
    <mergeCell ref="AV13:AW13"/>
    <mergeCell ref="AX13:AY13"/>
    <mergeCell ref="AZ13:AZ14"/>
    <mergeCell ref="BA13:BA14"/>
    <mergeCell ref="BB13:BB14"/>
    <mergeCell ref="BC13:BC14"/>
    <mergeCell ref="BD13:BD14"/>
    <mergeCell ref="BE13:BE14"/>
    <mergeCell ref="L18:L26"/>
    <mergeCell ref="J30:J31"/>
    <mergeCell ref="K30:K31"/>
    <mergeCell ref="L30:L31"/>
    <mergeCell ref="G63:G66"/>
    <mergeCell ref="G59:G61"/>
    <mergeCell ref="H59:I61"/>
    <mergeCell ref="J59:J61"/>
    <mergeCell ref="K59:K61"/>
    <mergeCell ref="L59:L61"/>
    <mergeCell ref="H63:I66"/>
    <mergeCell ref="J63:J66"/>
    <mergeCell ref="K63:K66"/>
    <mergeCell ref="L63:L66"/>
    <mergeCell ref="J37:J56"/>
    <mergeCell ref="K37:K56"/>
    <mergeCell ref="J18:J26"/>
    <mergeCell ref="K18:K26"/>
    <mergeCell ref="T18:T26"/>
    <mergeCell ref="Z18:Z26"/>
    <mergeCell ref="AA18:AA26"/>
    <mergeCell ref="AB18:AB26"/>
    <mergeCell ref="AC18:AC26"/>
    <mergeCell ref="AD18:AD26"/>
    <mergeCell ref="M18:M26"/>
    <mergeCell ref="N18:N26"/>
    <mergeCell ref="O18:O26"/>
    <mergeCell ref="P18:P26"/>
    <mergeCell ref="Q18:Q26"/>
    <mergeCell ref="S18:S26"/>
    <mergeCell ref="AU18:AU26"/>
    <mergeCell ref="AV18:AV26"/>
    <mergeCell ref="AK18:AK26"/>
    <mergeCell ref="AL18:AL26"/>
    <mergeCell ref="AM18:AM26"/>
    <mergeCell ref="AN18:AN26"/>
    <mergeCell ref="AO18:AO26"/>
    <mergeCell ref="AP18:AP26"/>
    <mergeCell ref="AE18:AE26"/>
    <mergeCell ref="AF18:AF26"/>
    <mergeCell ref="AG18:AG26"/>
    <mergeCell ref="AH18:AH26"/>
    <mergeCell ref="AI18:AI26"/>
    <mergeCell ref="AJ18:AJ26"/>
    <mergeCell ref="BI18:BI26"/>
    <mergeCell ref="BJ18:BJ26"/>
    <mergeCell ref="X19:X26"/>
    <mergeCell ref="Y19:Y26"/>
    <mergeCell ref="R20:R26"/>
    <mergeCell ref="U20:U26"/>
    <mergeCell ref="V20:V26"/>
    <mergeCell ref="W20:W26"/>
    <mergeCell ref="BC18:BC26"/>
    <mergeCell ref="BD18:BD26"/>
    <mergeCell ref="BE18:BE26"/>
    <mergeCell ref="BF18:BF26"/>
    <mergeCell ref="BG18:BG26"/>
    <mergeCell ref="BH18:BH26"/>
    <mergeCell ref="AW18:AW26"/>
    <mergeCell ref="AX18:AX26"/>
    <mergeCell ref="AY18:AY26"/>
    <mergeCell ref="AZ18:AZ26"/>
    <mergeCell ref="BA18:BA26"/>
    <mergeCell ref="BB18:BB26"/>
    <mergeCell ref="AQ18:AQ26"/>
    <mergeCell ref="AR18:AR26"/>
    <mergeCell ref="AS18:AS26"/>
    <mergeCell ref="AT18:AT26"/>
    <mergeCell ref="T30:T31"/>
    <mergeCell ref="U30:U31"/>
    <mergeCell ref="Z30:Z31"/>
    <mergeCell ref="AA30:AA31"/>
    <mergeCell ref="AB30:AB31"/>
    <mergeCell ref="AC30:AC31"/>
    <mergeCell ref="M30:M31"/>
    <mergeCell ref="N30:N31"/>
    <mergeCell ref="O30:O31"/>
    <mergeCell ref="P30:P31"/>
    <mergeCell ref="Q30:Q31"/>
    <mergeCell ref="S30:S31"/>
    <mergeCell ref="BI30:BI31"/>
    <mergeCell ref="BJ30:BJ31"/>
    <mergeCell ref="J33:J36"/>
    <mergeCell ref="K33:K36"/>
    <mergeCell ref="L33:L57"/>
    <mergeCell ref="M33:M36"/>
    <mergeCell ref="N33:N36"/>
    <mergeCell ref="O33:O36"/>
    <mergeCell ref="P33:P57"/>
    <mergeCell ref="BB30:BB31"/>
    <mergeCell ref="BC30:BC31"/>
    <mergeCell ref="BD30:BD31"/>
    <mergeCell ref="BE30:BE31"/>
    <mergeCell ref="BF30:BF31"/>
    <mergeCell ref="BG30:BG31"/>
    <mergeCell ref="AV30:AV31"/>
    <mergeCell ref="AW30:AW31"/>
    <mergeCell ref="AX30:AX31"/>
    <mergeCell ref="AY30:AY31"/>
    <mergeCell ref="AZ30:AZ31"/>
    <mergeCell ref="BA30:BA31"/>
    <mergeCell ref="AP30:AP31"/>
    <mergeCell ref="AQ30:AQ31"/>
    <mergeCell ref="AR30:AR31"/>
    <mergeCell ref="AD30:AD31"/>
    <mergeCell ref="AE30:AE31"/>
    <mergeCell ref="AF30:AF31"/>
    <mergeCell ref="AG30:AG31"/>
    <mergeCell ref="AH30:AH31"/>
    <mergeCell ref="AI30:AI31"/>
    <mergeCell ref="BG33:BG57"/>
    <mergeCell ref="AU33:AU36"/>
    <mergeCell ref="AV33:AV36"/>
    <mergeCell ref="AW33:AW36"/>
    <mergeCell ref="AZ33:AZ57"/>
    <mergeCell ref="AU37:AU56"/>
    <mergeCell ref="AV37:AV56"/>
    <mergeCell ref="BE34:BE35"/>
    <mergeCell ref="BF33:BF57"/>
    <mergeCell ref="AI33:AI36"/>
    <mergeCell ref="AJ33:AJ36"/>
    <mergeCell ref="AK33:AK36"/>
    <mergeCell ref="AL33:AL36"/>
    <mergeCell ref="AM33:AM36"/>
    <mergeCell ref="AN33:AN36"/>
    <mergeCell ref="BA33:BA36"/>
    <mergeCell ref="BB33:BB36"/>
    <mergeCell ref="BC33:BC36"/>
    <mergeCell ref="BH30:BH31"/>
    <mergeCell ref="AS30:AS31"/>
    <mergeCell ref="AT30:AT31"/>
    <mergeCell ref="AU30:AU31"/>
    <mergeCell ref="AJ30:AJ31"/>
    <mergeCell ref="AK30:AK31"/>
    <mergeCell ref="AL30:AL31"/>
    <mergeCell ref="AM30:AM31"/>
    <mergeCell ref="AN30:AN31"/>
    <mergeCell ref="AO30:AO31"/>
    <mergeCell ref="BD33:BD36"/>
    <mergeCell ref="AO33:AO36"/>
    <mergeCell ref="AP33:AP36"/>
    <mergeCell ref="AQ33:AQ36"/>
    <mergeCell ref="AR33:AR36"/>
    <mergeCell ref="AS33:AS36"/>
    <mergeCell ref="AT33:AT36"/>
    <mergeCell ref="AH33:AH36"/>
    <mergeCell ref="W33:W36"/>
    <mergeCell ref="X33:X36"/>
    <mergeCell ref="Y33:Y36"/>
    <mergeCell ref="Z33:Z36"/>
    <mergeCell ref="AA33:AA36"/>
    <mergeCell ref="AB33:AB36"/>
    <mergeCell ref="AX33:AX36"/>
    <mergeCell ref="AY33:AY36"/>
    <mergeCell ref="T33:T57"/>
    <mergeCell ref="AC33:AC36"/>
    <mergeCell ref="W37:W56"/>
    <mergeCell ref="X37:X56"/>
    <mergeCell ref="Y37:Y56"/>
    <mergeCell ref="AD33:AD36"/>
    <mergeCell ref="AE33:AE36"/>
    <mergeCell ref="AF33:AF36"/>
    <mergeCell ref="AG33:AG36"/>
    <mergeCell ref="U33:U36"/>
    <mergeCell ref="V33:V36"/>
    <mergeCell ref="U37:U56"/>
    <mergeCell ref="V37:V56"/>
    <mergeCell ref="BG59:BG61"/>
    <mergeCell ref="BH59:BH61"/>
    <mergeCell ref="BI59:BI61"/>
    <mergeCell ref="BI33:BI57"/>
    <mergeCell ref="BJ33:BJ36"/>
    <mergeCell ref="M59:M61"/>
    <mergeCell ref="N59:N61"/>
    <mergeCell ref="AY37:AY56"/>
    <mergeCell ref="BA37:BA56"/>
    <mergeCell ref="AO37:AO56"/>
    <mergeCell ref="AP37:AP56"/>
    <mergeCell ref="AQ37:AQ56"/>
    <mergeCell ref="AR37:AR56"/>
    <mergeCell ref="AS37:AS56"/>
    <mergeCell ref="AT37:AT56"/>
    <mergeCell ref="AI37:AI56"/>
    <mergeCell ref="AJ37:AJ56"/>
    <mergeCell ref="AK37:AK56"/>
    <mergeCell ref="AL37:AL56"/>
    <mergeCell ref="AM37:AM56"/>
    <mergeCell ref="AN37:AN56"/>
    <mergeCell ref="AC37:AC56"/>
    <mergeCell ref="AD37:AD56"/>
    <mergeCell ref="AE37:AE56"/>
    <mergeCell ref="AF59:AF61"/>
    <mergeCell ref="AS59:AS61"/>
    <mergeCell ref="AT59:AT61"/>
    <mergeCell ref="AU59:AU61"/>
    <mergeCell ref="AV59:AV61"/>
    <mergeCell ref="Z59:Z61"/>
    <mergeCell ref="BJ37:BJ56"/>
    <mergeCell ref="BE44:BE56"/>
    <mergeCell ref="BB37:BB56"/>
    <mergeCell ref="BC37:BC56"/>
    <mergeCell ref="BD37:BD56"/>
    <mergeCell ref="AF37:AF56"/>
    <mergeCell ref="AG37:AG56"/>
    <mergeCell ref="AH37:AH56"/>
    <mergeCell ref="AW59:AW61"/>
    <mergeCell ref="AX59:AX61"/>
    <mergeCell ref="AM59:AM61"/>
    <mergeCell ref="AN59:AN61"/>
    <mergeCell ref="AO59:AO61"/>
    <mergeCell ref="AP59:AP61"/>
    <mergeCell ref="AQ59:AQ61"/>
    <mergeCell ref="AR59:AR61"/>
    <mergeCell ref="BE59:BE61"/>
    <mergeCell ref="BF59:BF61"/>
    <mergeCell ref="AU63:AU66"/>
    <mergeCell ref="AJ63:AJ66"/>
    <mergeCell ref="AK63:AK66"/>
    <mergeCell ref="AL63:AL66"/>
    <mergeCell ref="AM63:AM66"/>
    <mergeCell ref="AN63:AN66"/>
    <mergeCell ref="AO63:AO66"/>
    <mergeCell ref="BI63:BI66"/>
    <mergeCell ref="Z37:Z56"/>
    <mergeCell ref="AA37:AA56"/>
    <mergeCell ref="AB37:AB56"/>
    <mergeCell ref="AW37:AW56"/>
    <mergeCell ref="AX37:AX56"/>
    <mergeCell ref="AG59:AG61"/>
    <mergeCell ref="AH59:AH61"/>
    <mergeCell ref="AI59:AI61"/>
    <mergeCell ref="AJ59:AJ61"/>
    <mergeCell ref="AK59:AK61"/>
    <mergeCell ref="AL59:AL61"/>
    <mergeCell ref="AA59:AA61"/>
    <mergeCell ref="AB59:AB61"/>
    <mergeCell ref="AC59:AC61"/>
    <mergeCell ref="AD59:AD61"/>
    <mergeCell ref="AE59:AE61"/>
    <mergeCell ref="AQ63:AQ66"/>
    <mergeCell ref="S69:S73"/>
    <mergeCell ref="M63:M66"/>
    <mergeCell ref="N63:N66"/>
    <mergeCell ref="AD63:AD66"/>
    <mergeCell ref="AE63:AE66"/>
    <mergeCell ref="AF63:AF66"/>
    <mergeCell ref="AG63:AG66"/>
    <mergeCell ref="BJ59:BJ61"/>
    <mergeCell ref="AY59:AY61"/>
    <mergeCell ref="AZ59:AZ61"/>
    <mergeCell ref="BA59:BA61"/>
    <mergeCell ref="BB59:BB61"/>
    <mergeCell ref="BC59:BC61"/>
    <mergeCell ref="BD59:BD61"/>
    <mergeCell ref="O63:O66"/>
    <mergeCell ref="P63:P66"/>
    <mergeCell ref="Q63:Q66"/>
    <mergeCell ref="S63:S66"/>
    <mergeCell ref="T63:T66"/>
    <mergeCell ref="W63:W66"/>
    <mergeCell ref="AR63:AR66"/>
    <mergeCell ref="AS63:AS66"/>
    <mergeCell ref="AT63:AT66"/>
    <mergeCell ref="BJ63:BJ66"/>
    <mergeCell ref="U64:U65"/>
    <mergeCell ref="V64:V65"/>
    <mergeCell ref="BG63:BG66"/>
    <mergeCell ref="BH63:BH66"/>
    <mergeCell ref="AH63:AH66"/>
    <mergeCell ref="AI63:AI66"/>
    <mergeCell ref="X63:X66"/>
    <mergeCell ref="Y63:Y66"/>
    <mergeCell ref="Z63:Z66"/>
    <mergeCell ref="AA63:AA66"/>
    <mergeCell ref="AB63:AB66"/>
    <mergeCell ref="AC63:AC66"/>
    <mergeCell ref="BB63:BB66"/>
    <mergeCell ref="BC63:BC66"/>
    <mergeCell ref="BD63:BD66"/>
    <mergeCell ref="BF63:BF66"/>
    <mergeCell ref="AV63:AV66"/>
    <mergeCell ref="AW63:AW66"/>
    <mergeCell ref="AX63:AX66"/>
    <mergeCell ref="AY63:AY66"/>
    <mergeCell ref="AZ63:AZ66"/>
    <mergeCell ref="BA63:BA66"/>
    <mergeCell ref="AP63:AP66"/>
    <mergeCell ref="AS69:AS73"/>
    <mergeCell ref="X69:X73"/>
    <mergeCell ref="Y69:Y73"/>
    <mergeCell ref="L69:L73"/>
    <mergeCell ref="M69:M73"/>
    <mergeCell ref="N69:N73"/>
    <mergeCell ref="P69:P73"/>
    <mergeCell ref="Q69:Q73"/>
    <mergeCell ref="R69:R70"/>
    <mergeCell ref="AH69:AH73"/>
    <mergeCell ref="AI69:AI73"/>
    <mergeCell ref="AR69:AR73"/>
    <mergeCell ref="AB69:AB73"/>
    <mergeCell ref="AC69:AC73"/>
    <mergeCell ref="AD69:AD73"/>
    <mergeCell ref="AE69:AE73"/>
    <mergeCell ref="AF69:AF73"/>
    <mergeCell ref="AG69:AG73"/>
    <mergeCell ref="AN69:AN73"/>
    <mergeCell ref="BJ69:BJ73"/>
    <mergeCell ref="AZ69:AZ73"/>
    <mergeCell ref="BA69:BA73"/>
    <mergeCell ref="BB69:BB73"/>
    <mergeCell ref="BC69:BC73"/>
    <mergeCell ref="BE69:BE73"/>
    <mergeCell ref="BF69:BF73"/>
    <mergeCell ref="AT69:AT73"/>
    <mergeCell ref="AU69:AU73"/>
    <mergeCell ref="AV69:AV73"/>
    <mergeCell ref="AW69:AW73"/>
    <mergeCell ref="AX69:AX73"/>
    <mergeCell ref="AY69:AY73"/>
    <mergeCell ref="BG69:BG73"/>
    <mergeCell ref="BH69:BH73"/>
    <mergeCell ref="BI69:BI73"/>
    <mergeCell ref="A16:C76"/>
    <mergeCell ref="D17:F66"/>
    <mergeCell ref="G18:I57"/>
    <mergeCell ref="T69:T73"/>
    <mergeCell ref="U69:U70"/>
    <mergeCell ref="V69:V70"/>
    <mergeCell ref="R63:R66"/>
    <mergeCell ref="D68:F76"/>
    <mergeCell ref="G69:G73"/>
    <mergeCell ref="H69:I73"/>
    <mergeCell ref="J69:J73"/>
    <mergeCell ref="K69:K73"/>
    <mergeCell ref="O59:O61"/>
    <mergeCell ref="P59:P61"/>
    <mergeCell ref="Q59:Q61"/>
    <mergeCell ref="S59:S61"/>
    <mergeCell ref="T59:T61"/>
    <mergeCell ref="M37:M56"/>
    <mergeCell ref="N37:N56"/>
    <mergeCell ref="O37:O56"/>
    <mergeCell ref="R37:R56"/>
    <mergeCell ref="Q33:Q57"/>
    <mergeCell ref="R33:R36"/>
    <mergeCell ref="S33:S57"/>
    <mergeCell ref="AQ75:AQ76"/>
    <mergeCell ref="AF75:AF76"/>
    <mergeCell ref="AG75:AG76"/>
    <mergeCell ref="AH75:AH76"/>
    <mergeCell ref="AI75:AI76"/>
    <mergeCell ref="AJ75:AJ76"/>
    <mergeCell ref="AK75:AK76"/>
    <mergeCell ref="AJ69:AJ73"/>
    <mergeCell ref="AK69:AK73"/>
    <mergeCell ref="AL69:AL73"/>
    <mergeCell ref="AM69:AM73"/>
    <mergeCell ref="AQ69:AQ73"/>
    <mergeCell ref="AO75:AO76"/>
    <mergeCell ref="AP75:AP76"/>
    <mergeCell ref="AO69:AO73"/>
    <mergeCell ref="AP69:AP73"/>
    <mergeCell ref="D79:I79"/>
    <mergeCell ref="Z75:Z76"/>
    <mergeCell ref="AA75:AA76"/>
    <mergeCell ref="AB75:AB76"/>
    <mergeCell ref="AC75:AC76"/>
    <mergeCell ref="AD75:AD76"/>
    <mergeCell ref="AE75:AE76"/>
    <mergeCell ref="G75:G76"/>
    <mergeCell ref="H75:I76"/>
    <mergeCell ref="O75:O76"/>
    <mergeCell ref="P75:P76"/>
    <mergeCell ref="Q75:Q76"/>
    <mergeCell ref="T75:T76"/>
    <mergeCell ref="BH33:BH57"/>
    <mergeCell ref="D80:I80"/>
    <mergeCell ref="BD75:BD76"/>
    <mergeCell ref="BF75:BF76"/>
    <mergeCell ref="BG75:BG76"/>
    <mergeCell ref="BH75:BH76"/>
    <mergeCell ref="BI75:BI76"/>
    <mergeCell ref="BJ75:BJ76"/>
    <mergeCell ref="AX75:AX76"/>
    <mergeCell ref="AY75:AY76"/>
    <mergeCell ref="AZ75:AZ76"/>
    <mergeCell ref="BA75:BA76"/>
    <mergeCell ref="BB75:BB76"/>
    <mergeCell ref="BC75:BC76"/>
    <mergeCell ref="AR75:AR76"/>
    <mergeCell ref="AS75:AS76"/>
    <mergeCell ref="AT75:AT76"/>
    <mergeCell ref="AU75:AU76"/>
    <mergeCell ref="AV75:AV76"/>
    <mergeCell ref="AW75:AW76"/>
    <mergeCell ref="AL75:AL76"/>
    <mergeCell ref="AM75:AM76"/>
    <mergeCell ref="AN75:AN76"/>
    <mergeCell ref="A77:R77"/>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IV142"/>
  <sheetViews>
    <sheetView zoomScale="55" zoomScaleNormal="55" zoomScalePageLayoutView="0" workbookViewId="0" topLeftCell="AV1">
      <selection activeCell="BL1" sqref="BL1"/>
    </sheetView>
  </sheetViews>
  <sheetFormatPr defaultColWidth="11.421875" defaultRowHeight="15"/>
  <cols>
    <col min="1" max="1" width="13.28125" style="1384" customWidth="1"/>
    <col min="2" max="2" width="4.00390625" style="1384" customWidth="1"/>
    <col min="3" max="3" width="18.28125" style="1384" customWidth="1"/>
    <col min="4" max="4" width="11.8515625" style="1384" customWidth="1"/>
    <col min="5" max="5" width="7.421875" style="1384" customWidth="1"/>
    <col min="6" max="6" width="12.00390625" style="1384" customWidth="1"/>
    <col min="7" max="7" width="11.8515625" style="1384" customWidth="1"/>
    <col min="8" max="8" width="8.57421875" style="1384" customWidth="1"/>
    <col min="9" max="9" width="13.57421875" style="1384" customWidth="1"/>
    <col min="10" max="10" width="13.00390625" style="1384" customWidth="1"/>
    <col min="11" max="11" width="33.7109375" style="1384" customWidth="1"/>
    <col min="12" max="12" width="19.00390625" style="1384" customWidth="1"/>
    <col min="13" max="13" width="16.57421875" style="1384" customWidth="1"/>
    <col min="14" max="14" width="16.57421875" style="2680" customWidth="1"/>
    <col min="15" max="15" width="31.421875" style="1384" customWidth="1"/>
    <col min="16" max="16" width="12.57421875" style="2681" customWidth="1"/>
    <col min="17" max="17" width="27.140625" style="2682" customWidth="1"/>
    <col min="18" max="18" width="15.140625" style="1629" customWidth="1"/>
    <col min="19" max="19" width="20.7109375" style="2694" customWidth="1"/>
    <col min="20" max="20" width="26.7109375" style="1384" customWidth="1"/>
    <col min="21" max="21" width="40.140625" style="1384" customWidth="1"/>
    <col min="22" max="22" width="43.00390625" style="2684" customWidth="1"/>
    <col min="23" max="23" width="29.7109375" style="2685" customWidth="1"/>
    <col min="24" max="25" width="29.7109375" style="2686" customWidth="1"/>
    <col min="26" max="26" width="15.7109375" style="2687" customWidth="1"/>
    <col min="27" max="27" width="13.8515625" style="1384" customWidth="1"/>
    <col min="28" max="28" width="9.57421875" style="1384" customWidth="1"/>
    <col min="29" max="29" width="9.57421875" style="2680" customWidth="1"/>
    <col min="30" max="30" width="8.57421875" style="1384" customWidth="1"/>
    <col min="31" max="31" width="8.57421875" style="2680" customWidth="1"/>
    <col min="32" max="32" width="7.28125" style="1384" customWidth="1"/>
    <col min="33" max="33" width="7.28125" style="2680" customWidth="1"/>
    <col min="34" max="34" width="7.28125" style="1384" customWidth="1"/>
    <col min="35" max="35" width="7.28125" style="2680" customWidth="1"/>
    <col min="36" max="36" width="7.28125" style="1384" customWidth="1"/>
    <col min="37" max="37" width="7.28125" style="2680" customWidth="1"/>
    <col min="38" max="38" width="7.28125" style="1384" customWidth="1"/>
    <col min="39" max="39" width="7.28125" style="2680" customWidth="1"/>
    <col min="40" max="40" width="7.28125" style="1384" customWidth="1"/>
    <col min="41" max="41" width="7.28125" style="2680" customWidth="1"/>
    <col min="42" max="42" width="10.140625" style="1384" customWidth="1"/>
    <col min="43" max="43" width="7.28125" style="2680" customWidth="1"/>
    <col min="44" max="44" width="12.28125" style="1384" customWidth="1"/>
    <col min="45" max="45" width="11.28125" style="2680" customWidth="1"/>
    <col min="46" max="46" width="11.140625" style="1384" customWidth="1"/>
    <col min="47" max="47" width="10.57421875" style="2680" customWidth="1"/>
    <col min="48" max="48" width="12.57421875" style="1384" customWidth="1"/>
    <col min="49" max="49" width="12.57421875" style="2680" customWidth="1"/>
    <col min="50" max="50" width="15.7109375" style="1626" customWidth="1"/>
    <col min="51" max="51" width="20.7109375" style="1627" customWidth="1"/>
    <col min="52" max="52" width="21.00390625" style="1626" customWidth="1"/>
    <col min="53" max="53" width="21.7109375" style="1628" customWidth="1"/>
    <col min="54" max="54" width="25.140625" style="1626" customWidth="1"/>
    <col min="55" max="55" width="18.8515625" style="1626" customWidth="1"/>
    <col min="56" max="56" width="18.8515625" style="1629" customWidth="1"/>
    <col min="57" max="57" width="25.57421875" style="1629" customWidth="1"/>
    <col min="58" max="58" width="22.7109375" style="2688" customWidth="1"/>
    <col min="59" max="59" width="22.7109375" style="2689" customWidth="1"/>
    <col min="60" max="60" width="22.7109375" style="2690" customWidth="1"/>
    <col min="61" max="61" width="22.7109375" style="2691" customWidth="1"/>
    <col min="62" max="62" width="28.7109375" style="1384" customWidth="1"/>
    <col min="63" max="63" width="15.7109375" style="1384" bestFit="1" customWidth="1"/>
    <col min="64" max="16384" width="11.421875" style="1384" customWidth="1"/>
  </cols>
  <sheetData>
    <row r="1" spans="1:62" s="4" customFormat="1" ht="15" customHeight="1">
      <c r="A1" s="3047" t="s">
        <v>111</v>
      </c>
      <c r="B1" s="3047"/>
      <c r="C1" s="3047"/>
      <c r="D1" s="3047"/>
      <c r="E1" s="3047"/>
      <c r="F1" s="3047"/>
      <c r="G1" s="3047"/>
      <c r="H1" s="3047"/>
      <c r="I1" s="3047"/>
      <c r="J1" s="3047"/>
      <c r="K1" s="3047"/>
      <c r="L1" s="3047"/>
      <c r="M1" s="3047"/>
      <c r="N1" s="3047"/>
      <c r="O1" s="3047"/>
      <c r="P1" s="3047"/>
      <c r="Q1" s="3047"/>
      <c r="R1" s="3047"/>
      <c r="S1" s="3047"/>
      <c r="T1" s="3047"/>
      <c r="U1" s="3047"/>
      <c r="V1" s="3047"/>
      <c r="W1" s="3047"/>
      <c r="X1" s="3047"/>
      <c r="Y1" s="3047"/>
      <c r="Z1" s="3047"/>
      <c r="AA1" s="3047"/>
      <c r="AB1" s="3047"/>
      <c r="AC1" s="3047"/>
      <c r="AD1" s="3047"/>
      <c r="AE1" s="3047"/>
      <c r="AF1" s="3047"/>
      <c r="AG1" s="3047"/>
      <c r="AH1" s="3047"/>
      <c r="AI1" s="3047"/>
      <c r="AJ1" s="3047"/>
      <c r="AK1" s="3047"/>
      <c r="AL1" s="3047"/>
      <c r="AM1" s="3047"/>
      <c r="AN1" s="3047"/>
      <c r="AO1" s="3047"/>
      <c r="AP1" s="3047"/>
      <c r="AQ1" s="3047"/>
      <c r="AR1" s="3047"/>
      <c r="AS1" s="3047"/>
      <c r="AT1" s="3047"/>
      <c r="AU1" s="3047"/>
      <c r="AV1" s="3047"/>
      <c r="AW1" s="3047"/>
      <c r="AX1" s="3047"/>
      <c r="AY1" s="3047"/>
      <c r="AZ1" s="3047"/>
      <c r="BA1" s="3047"/>
      <c r="BB1" s="3047"/>
      <c r="BC1" s="3047"/>
      <c r="BD1" s="3047"/>
      <c r="BE1" s="3047"/>
      <c r="BF1" s="3047"/>
      <c r="BG1" s="2875"/>
      <c r="BI1" s="2633" t="s">
        <v>97</v>
      </c>
      <c r="BJ1" s="2633" t="s">
        <v>112</v>
      </c>
    </row>
    <row r="2" spans="1:62" s="4" customFormat="1" ht="15">
      <c r="A2" s="3047"/>
      <c r="B2" s="3047"/>
      <c r="C2" s="3047"/>
      <c r="D2" s="3047"/>
      <c r="E2" s="3047"/>
      <c r="F2" s="3047"/>
      <c r="G2" s="3047"/>
      <c r="H2" s="3047"/>
      <c r="I2" s="3047"/>
      <c r="J2" s="3047"/>
      <c r="K2" s="3047"/>
      <c r="L2" s="3047"/>
      <c r="M2" s="3047"/>
      <c r="N2" s="3047"/>
      <c r="O2" s="3047"/>
      <c r="P2" s="3047"/>
      <c r="Q2" s="3047"/>
      <c r="R2" s="3047"/>
      <c r="S2" s="3047"/>
      <c r="T2" s="3047"/>
      <c r="U2" s="3047"/>
      <c r="V2" s="3047"/>
      <c r="W2" s="3047"/>
      <c r="X2" s="3047"/>
      <c r="Y2" s="3047"/>
      <c r="Z2" s="3047"/>
      <c r="AA2" s="3047"/>
      <c r="AB2" s="3047"/>
      <c r="AC2" s="3047"/>
      <c r="AD2" s="3047"/>
      <c r="AE2" s="3047"/>
      <c r="AF2" s="3047"/>
      <c r="AG2" s="3047"/>
      <c r="AH2" s="3047"/>
      <c r="AI2" s="3047"/>
      <c r="AJ2" s="3047"/>
      <c r="AK2" s="3047"/>
      <c r="AL2" s="3047"/>
      <c r="AM2" s="3047"/>
      <c r="AN2" s="3047"/>
      <c r="AO2" s="3047"/>
      <c r="AP2" s="3047"/>
      <c r="AQ2" s="3047"/>
      <c r="AR2" s="3047"/>
      <c r="AS2" s="3047"/>
      <c r="AT2" s="3047"/>
      <c r="AU2" s="3047"/>
      <c r="AV2" s="3047"/>
      <c r="AW2" s="3047"/>
      <c r="AX2" s="3047"/>
      <c r="AY2" s="3047"/>
      <c r="AZ2" s="3047"/>
      <c r="BA2" s="3047"/>
      <c r="BB2" s="3047"/>
      <c r="BC2" s="3047"/>
      <c r="BD2" s="3047"/>
      <c r="BE2" s="3047"/>
      <c r="BF2" s="3047"/>
      <c r="BG2" s="2875"/>
      <c r="BI2" s="2634" t="s">
        <v>98</v>
      </c>
      <c r="BJ2" s="2635">
        <v>5</v>
      </c>
    </row>
    <row r="3" spans="1:62" s="4" customFormat="1" ht="15">
      <c r="A3" s="3047"/>
      <c r="B3" s="3047"/>
      <c r="C3" s="3047"/>
      <c r="D3" s="3047"/>
      <c r="E3" s="3047"/>
      <c r="F3" s="3047"/>
      <c r="G3" s="3047"/>
      <c r="H3" s="3047"/>
      <c r="I3" s="3047"/>
      <c r="J3" s="3047"/>
      <c r="K3" s="3047"/>
      <c r="L3" s="3047"/>
      <c r="M3" s="3047"/>
      <c r="N3" s="3047"/>
      <c r="O3" s="3047"/>
      <c r="P3" s="3047"/>
      <c r="Q3" s="3047"/>
      <c r="R3" s="3047"/>
      <c r="S3" s="3047"/>
      <c r="T3" s="3047"/>
      <c r="U3" s="3047"/>
      <c r="V3" s="3047"/>
      <c r="W3" s="3047"/>
      <c r="X3" s="3047"/>
      <c r="Y3" s="3047"/>
      <c r="Z3" s="3047"/>
      <c r="AA3" s="3047"/>
      <c r="AB3" s="3047"/>
      <c r="AC3" s="3047"/>
      <c r="AD3" s="3047"/>
      <c r="AE3" s="3047"/>
      <c r="AF3" s="3047"/>
      <c r="AG3" s="3047"/>
      <c r="AH3" s="3047"/>
      <c r="AI3" s="3047"/>
      <c r="AJ3" s="3047"/>
      <c r="AK3" s="3047"/>
      <c r="AL3" s="3047"/>
      <c r="AM3" s="3047"/>
      <c r="AN3" s="3047"/>
      <c r="AO3" s="3047"/>
      <c r="AP3" s="3047"/>
      <c r="AQ3" s="3047"/>
      <c r="AR3" s="3047"/>
      <c r="AS3" s="3047"/>
      <c r="AT3" s="3047"/>
      <c r="AU3" s="3047"/>
      <c r="AV3" s="3047"/>
      <c r="AW3" s="3047"/>
      <c r="AX3" s="3047"/>
      <c r="AY3" s="3047"/>
      <c r="AZ3" s="3047"/>
      <c r="BA3" s="3047"/>
      <c r="BB3" s="3047"/>
      <c r="BC3" s="3047"/>
      <c r="BD3" s="3047"/>
      <c r="BE3" s="3047"/>
      <c r="BF3" s="3047"/>
      <c r="BG3" s="2875"/>
      <c r="BI3" s="2633" t="s">
        <v>99</v>
      </c>
      <c r="BJ3" s="2636" t="s">
        <v>2156</v>
      </c>
    </row>
    <row r="4" spans="1:62" s="24" customFormat="1" ht="21" customHeight="1">
      <c r="A4" s="3048"/>
      <c r="B4" s="3048"/>
      <c r="C4" s="3048"/>
      <c r="D4" s="3048"/>
      <c r="E4" s="3048"/>
      <c r="F4" s="3048"/>
      <c r="G4" s="3048"/>
      <c r="H4" s="3048"/>
      <c r="I4" s="3048"/>
      <c r="J4" s="3048"/>
      <c r="K4" s="3048"/>
      <c r="L4" s="3048"/>
      <c r="M4" s="3048"/>
      <c r="N4" s="3048"/>
      <c r="O4" s="3048"/>
      <c r="P4" s="3048"/>
      <c r="Q4" s="3048"/>
      <c r="R4" s="3048"/>
      <c r="S4" s="3048"/>
      <c r="T4" s="3048"/>
      <c r="U4" s="3048"/>
      <c r="V4" s="3048"/>
      <c r="W4" s="3048"/>
      <c r="X4" s="3048"/>
      <c r="Y4" s="3048"/>
      <c r="Z4" s="3048"/>
      <c r="AA4" s="3048"/>
      <c r="AB4" s="3048"/>
      <c r="AC4" s="3048"/>
      <c r="AD4" s="3048"/>
      <c r="AE4" s="3048"/>
      <c r="AF4" s="3048"/>
      <c r="AG4" s="3048"/>
      <c r="AH4" s="3048"/>
      <c r="AI4" s="3048"/>
      <c r="AJ4" s="3048"/>
      <c r="AK4" s="3048"/>
      <c r="AL4" s="3048"/>
      <c r="AM4" s="3048"/>
      <c r="AN4" s="3048"/>
      <c r="AO4" s="3048"/>
      <c r="AP4" s="3048"/>
      <c r="AQ4" s="3048"/>
      <c r="AR4" s="3048"/>
      <c r="AS4" s="3048"/>
      <c r="AT4" s="3048"/>
      <c r="AU4" s="3048"/>
      <c r="AV4" s="3048"/>
      <c r="AW4" s="3048"/>
      <c r="AX4" s="3048"/>
      <c r="AY4" s="3048"/>
      <c r="AZ4" s="3048"/>
      <c r="BA4" s="3048"/>
      <c r="BB4" s="3048"/>
      <c r="BC4" s="3048"/>
      <c r="BD4" s="3048"/>
      <c r="BE4" s="3048"/>
      <c r="BF4" s="3048"/>
      <c r="BG4" s="2876"/>
      <c r="BI4" s="842" t="s">
        <v>100</v>
      </c>
      <c r="BJ4" s="2637" t="s">
        <v>113</v>
      </c>
    </row>
    <row r="5" spans="1:62" s="4" customFormat="1" ht="15">
      <c r="A5" s="3049" t="s">
        <v>0</v>
      </c>
      <c r="B5" s="3049"/>
      <c r="C5" s="3049"/>
      <c r="D5" s="3049"/>
      <c r="E5" s="3049"/>
      <c r="F5" s="3049"/>
      <c r="G5" s="3049"/>
      <c r="H5" s="3049"/>
      <c r="I5" s="3049"/>
      <c r="J5" s="3049"/>
      <c r="K5" s="3049"/>
      <c r="L5" s="3049"/>
      <c r="M5" s="3049"/>
      <c r="N5" s="2877"/>
      <c r="O5" s="2877"/>
      <c r="P5" s="2877"/>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c r="BH5" s="3049"/>
      <c r="BI5" s="3049"/>
      <c r="BJ5" s="3049"/>
    </row>
    <row r="6" spans="1:62" s="4" customFormat="1" ht="14.25" customHeight="1" thickBot="1">
      <c r="A6" s="3049"/>
      <c r="B6" s="3049"/>
      <c r="C6" s="3049"/>
      <c r="D6" s="3049"/>
      <c r="E6" s="3049"/>
      <c r="F6" s="3049"/>
      <c r="G6" s="3049"/>
      <c r="H6" s="3049"/>
      <c r="I6" s="3049"/>
      <c r="J6" s="3049"/>
      <c r="K6" s="3049"/>
      <c r="L6" s="3049"/>
      <c r="M6" s="3049"/>
      <c r="N6" s="2877"/>
      <c r="O6" s="2877"/>
      <c r="P6" s="2878"/>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2879"/>
      <c r="BA6" s="2879"/>
      <c r="BB6" s="2879"/>
      <c r="BC6" s="2879"/>
      <c r="BD6" s="2879"/>
      <c r="BE6" s="2879"/>
      <c r="BF6" s="3050"/>
      <c r="BG6" s="3051"/>
      <c r="BH6" s="3051"/>
      <c r="BI6" s="3051"/>
      <c r="BJ6" s="3052"/>
    </row>
    <row r="7" spans="1:63" s="1387" customFormat="1" ht="37.5" customHeight="1">
      <c r="A7" s="3856" t="s">
        <v>3</v>
      </c>
      <c r="B7" s="3859" t="s">
        <v>4</v>
      </c>
      <c r="C7" s="3860"/>
      <c r="D7" s="3865" t="s">
        <v>3</v>
      </c>
      <c r="E7" s="3859" t="s">
        <v>5</v>
      </c>
      <c r="F7" s="3860"/>
      <c r="G7" s="3865" t="s">
        <v>3</v>
      </c>
      <c r="H7" s="3859" t="s">
        <v>6</v>
      </c>
      <c r="I7" s="3860"/>
      <c r="J7" s="3865" t="s">
        <v>3</v>
      </c>
      <c r="K7" s="3865" t="s">
        <v>7</v>
      </c>
      <c r="L7" s="3865" t="s">
        <v>8</v>
      </c>
      <c r="M7" s="3859" t="s">
        <v>9</v>
      </c>
      <c r="N7" s="3860"/>
      <c r="O7" s="3865" t="s">
        <v>10</v>
      </c>
      <c r="P7" s="3891" t="s">
        <v>3</v>
      </c>
      <c r="Q7" s="3865" t="s">
        <v>1</v>
      </c>
      <c r="R7" s="3865" t="s">
        <v>11</v>
      </c>
      <c r="S7" s="3894" t="s">
        <v>12</v>
      </c>
      <c r="T7" s="3865" t="s">
        <v>13</v>
      </c>
      <c r="U7" s="3865" t="s">
        <v>14</v>
      </c>
      <c r="V7" s="3865" t="s">
        <v>1420</v>
      </c>
      <c r="W7" s="3897" t="s">
        <v>12</v>
      </c>
      <c r="X7" s="3898"/>
      <c r="Y7" s="3899"/>
      <c r="Z7" s="3891" t="s">
        <v>3</v>
      </c>
      <c r="AA7" s="3865" t="s">
        <v>16</v>
      </c>
      <c r="AB7" s="3843" t="s">
        <v>17</v>
      </c>
      <c r="AC7" s="3844"/>
      <c r="AD7" s="3844"/>
      <c r="AE7" s="3844"/>
      <c r="AF7" s="3844"/>
      <c r="AG7" s="3844"/>
      <c r="AH7" s="3844"/>
      <c r="AI7" s="3844"/>
      <c r="AJ7" s="3844"/>
      <c r="AK7" s="3844"/>
      <c r="AL7" s="3844"/>
      <c r="AM7" s="3845"/>
      <c r="AN7" s="3846" t="s">
        <v>18</v>
      </c>
      <c r="AO7" s="3847"/>
      <c r="AP7" s="3847"/>
      <c r="AQ7" s="3847"/>
      <c r="AR7" s="3847"/>
      <c r="AS7" s="3847"/>
      <c r="AT7" s="3847"/>
      <c r="AU7" s="3847"/>
      <c r="AV7" s="3847"/>
      <c r="AW7" s="3847"/>
      <c r="AX7" s="3847"/>
      <c r="AY7" s="3848"/>
      <c r="AZ7" s="3843" t="s">
        <v>119</v>
      </c>
      <c r="BA7" s="3844"/>
      <c r="BB7" s="3844"/>
      <c r="BC7" s="3844"/>
      <c r="BD7" s="3844"/>
      <c r="BE7" s="3845"/>
      <c r="BF7" s="3831" t="s">
        <v>19</v>
      </c>
      <c r="BG7" s="3831"/>
      <c r="BH7" s="3831" t="s">
        <v>20</v>
      </c>
      <c r="BI7" s="3831"/>
      <c r="BJ7" s="3833" t="s">
        <v>21</v>
      </c>
      <c r="BK7" s="1386"/>
    </row>
    <row r="8" spans="1:63" s="1387" customFormat="1" ht="54.75" customHeight="1">
      <c r="A8" s="3857"/>
      <c r="B8" s="3861"/>
      <c r="C8" s="3862"/>
      <c r="D8" s="3866"/>
      <c r="E8" s="3861"/>
      <c r="F8" s="3862"/>
      <c r="G8" s="3866"/>
      <c r="H8" s="3861"/>
      <c r="I8" s="3862"/>
      <c r="J8" s="3866"/>
      <c r="K8" s="3866"/>
      <c r="L8" s="3866"/>
      <c r="M8" s="3861"/>
      <c r="N8" s="3862"/>
      <c r="O8" s="3866"/>
      <c r="P8" s="3892"/>
      <c r="Q8" s="3866"/>
      <c r="R8" s="3866"/>
      <c r="S8" s="3895"/>
      <c r="T8" s="3866"/>
      <c r="U8" s="3866"/>
      <c r="V8" s="3866"/>
      <c r="W8" s="3900"/>
      <c r="X8" s="3901"/>
      <c r="Y8" s="3902"/>
      <c r="Z8" s="3892"/>
      <c r="AA8" s="3866"/>
      <c r="AB8" s="3836" t="s">
        <v>22</v>
      </c>
      <c r="AC8" s="3836"/>
      <c r="AD8" s="3837" t="s">
        <v>23</v>
      </c>
      <c r="AE8" s="3838"/>
      <c r="AF8" s="3839" t="s">
        <v>24</v>
      </c>
      <c r="AG8" s="3840"/>
      <c r="AH8" s="3839" t="s">
        <v>25</v>
      </c>
      <c r="AI8" s="3840"/>
      <c r="AJ8" s="3839" t="s">
        <v>26</v>
      </c>
      <c r="AK8" s="3840"/>
      <c r="AL8" s="3841" t="s">
        <v>27</v>
      </c>
      <c r="AM8" s="3842"/>
      <c r="AN8" s="3841" t="s">
        <v>28</v>
      </c>
      <c r="AO8" s="3842"/>
      <c r="AP8" s="3841" t="s">
        <v>29</v>
      </c>
      <c r="AQ8" s="3842"/>
      <c r="AR8" s="3841" t="s">
        <v>30</v>
      </c>
      <c r="AS8" s="3842"/>
      <c r="AT8" s="3841" t="s">
        <v>31</v>
      </c>
      <c r="AU8" s="3842"/>
      <c r="AV8" s="3841" t="s">
        <v>32</v>
      </c>
      <c r="AW8" s="3842"/>
      <c r="AX8" s="3836" t="s">
        <v>33</v>
      </c>
      <c r="AY8" s="3836"/>
      <c r="AZ8" s="3849" t="s">
        <v>116</v>
      </c>
      <c r="BA8" s="3868" t="s">
        <v>120</v>
      </c>
      <c r="BB8" s="3849" t="s">
        <v>121</v>
      </c>
      <c r="BC8" s="3850" t="s">
        <v>117</v>
      </c>
      <c r="BD8" s="3849" t="s">
        <v>118</v>
      </c>
      <c r="BE8" s="3852" t="s">
        <v>122</v>
      </c>
      <c r="BF8" s="3832"/>
      <c r="BG8" s="3832"/>
      <c r="BH8" s="3832"/>
      <c r="BI8" s="3832"/>
      <c r="BJ8" s="3834"/>
      <c r="BK8" s="1386"/>
    </row>
    <row r="9" spans="1:63" s="1387" customFormat="1" ht="30" customHeight="1">
      <c r="A9" s="3858"/>
      <c r="B9" s="3863"/>
      <c r="C9" s="3864"/>
      <c r="D9" s="3867"/>
      <c r="E9" s="3863"/>
      <c r="F9" s="3864"/>
      <c r="G9" s="3867"/>
      <c r="H9" s="3863"/>
      <c r="I9" s="3864"/>
      <c r="J9" s="3867"/>
      <c r="K9" s="3867"/>
      <c r="L9" s="3867"/>
      <c r="M9" s="1388" t="s">
        <v>106</v>
      </c>
      <c r="N9" s="1389" t="s">
        <v>107</v>
      </c>
      <c r="O9" s="3867"/>
      <c r="P9" s="3893"/>
      <c r="Q9" s="3867"/>
      <c r="R9" s="3867"/>
      <c r="S9" s="3896"/>
      <c r="T9" s="3867"/>
      <c r="U9" s="3867"/>
      <c r="V9" s="3867"/>
      <c r="W9" s="1388" t="s">
        <v>105</v>
      </c>
      <c r="X9" s="1389" t="s">
        <v>115</v>
      </c>
      <c r="Y9" s="1389" t="s">
        <v>114</v>
      </c>
      <c r="Z9" s="3893"/>
      <c r="AA9" s="3867"/>
      <c r="AB9" s="1388" t="s">
        <v>106</v>
      </c>
      <c r="AC9" s="1389" t="s">
        <v>107</v>
      </c>
      <c r="AD9" s="1388" t="s">
        <v>106</v>
      </c>
      <c r="AE9" s="1389" t="s">
        <v>107</v>
      </c>
      <c r="AF9" s="1388" t="s">
        <v>106</v>
      </c>
      <c r="AG9" s="1389" t="s">
        <v>107</v>
      </c>
      <c r="AH9" s="1388" t="s">
        <v>106</v>
      </c>
      <c r="AI9" s="1389" t="s">
        <v>107</v>
      </c>
      <c r="AJ9" s="1388" t="s">
        <v>106</v>
      </c>
      <c r="AK9" s="1389" t="s">
        <v>107</v>
      </c>
      <c r="AL9" s="1388" t="s">
        <v>106</v>
      </c>
      <c r="AM9" s="1389" t="s">
        <v>107</v>
      </c>
      <c r="AN9" s="1388" t="s">
        <v>106</v>
      </c>
      <c r="AO9" s="1389" t="s">
        <v>107</v>
      </c>
      <c r="AP9" s="1388" t="s">
        <v>106</v>
      </c>
      <c r="AQ9" s="1389" t="s">
        <v>107</v>
      </c>
      <c r="AR9" s="1388" t="s">
        <v>106</v>
      </c>
      <c r="AS9" s="1389" t="s">
        <v>107</v>
      </c>
      <c r="AT9" s="1388" t="s">
        <v>106</v>
      </c>
      <c r="AU9" s="1389" t="s">
        <v>107</v>
      </c>
      <c r="AV9" s="1388" t="s">
        <v>106</v>
      </c>
      <c r="AW9" s="1389" t="s">
        <v>107</v>
      </c>
      <c r="AX9" s="1388" t="s">
        <v>106</v>
      </c>
      <c r="AY9" s="1389" t="s">
        <v>107</v>
      </c>
      <c r="AZ9" s="3849"/>
      <c r="BA9" s="3868"/>
      <c r="BB9" s="3849"/>
      <c r="BC9" s="3851"/>
      <c r="BD9" s="3849"/>
      <c r="BE9" s="3853"/>
      <c r="BF9" s="1390" t="s">
        <v>106</v>
      </c>
      <c r="BG9" s="1391" t="s">
        <v>107</v>
      </c>
      <c r="BH9" s="1390" t="s">
        <v>106</v>
      </c>
      <c r="BI9" s="1391" t="s">
        <v>107</v>
      </c>
      <c r="BJ9" s="3835"/>
      <c r="BK9" s="1386"/>
    </row>
    <row r="10" spans="1:63" s="1385" customFormat="1" ht="15">
      <c r="A10" s="3854">
        <v>2</v>
      </c>
      <c r="B10" s="1392" t="s">
        <v>1421</v>
      </c>
      <c r="C10" s="1393"/>
      <c r="D10" s="1394"/>
      <c r="E10" s="1394"/>
      <c r="F10" s="1394"/>
      <c r="G10" s="1394"/>
      <c r="H10" s="1394"/>
      <c r="I10" s="1394"/>
      <c r="J10" s="1394"/>
      <c r="K10" s="1394"/>
      <c r="L10" s="1394"/>
      <c r="M10" s="1394"/>
      <c r="N10" s="1395"/>
      <c r="O10" s="1394"/>
      <c r="P10" s="1394"/>
      <c r="Q10" s="1394"/>
      <c r="R10" s="1394"/>
      <c r="S10" s="1394"/>
      <c r="T10" s="1394"/>
      <c r="U10" s="1394"/>
      <c r="V10" s="1394"/>
      <c r="W10" s="1394"/>
      <c r="X10" s="1395"/>
      <c r="Y10" s="1395"/>
      <c r="Z10" s="1394"/>
      <c r="AA10" s="1394"/>
      <c r="AB10" s="1394"/>
      <c r="AC10" s="1395"/>
      <c r="AD10" s="1394"/>
      <c r="AE10" s="1395"/>
      <c r="AF10" s="1394"/>
      <c r="AG10" s="1395"/>
      <c r="AH10" s="1394"/>
      <c r="AI10" s="1395"/>
      <c r="AJ10" s="1394"/>
      <c r="AK10" s="1395"/>
      <c r="AL10" s="1394"/>
      <c r="AM10" s="1395"/>
      <c r="AN10" s="1394"/>
      <c r="AO10" s="1395"/>
      <c r="AP10" s="1394"/>
      <c r="AQ10" s="1395"/>
      <c r="AR10" s="1394"/>
      <c r="AS10" s="1395"/>
      <c r="AT10" s="1394"/>
      <c r="AU10" s="1395"/>
      <c r="AV10" s="1394"/>
      <c r="AW10" s="1395"/>
      <c r="AX10" s="1394"/>
      <c r="AY10" s="1395"/>
      <c r="AZ10" s="1394"/>
      <c r="BA10" s="1396"/>
      <c r="BB10" s="1394"/>
      <c r="BC10" s="1394"/>
      <c r="BD10" s="1397"/>
      <c r="BE10" s="1397"/>
      <c r="BF10" s="1397"/>
      <c r="BG10" s="1395"/>
      <c r="BH10" s="1394"/>
      <c r="BI10" s="1395"/>
      <c r="BJ10" s="1398"/>
      <c r="BK10" s="1384"/>
    </row>
    <row r="11" spans="1:62" s="1406" customFormat="1" ht="15">
      <c r="A11" s="3855"/>
      <c r="B11" s="1399"/>
      <c r="C11" s="1400"/>
      <c r="D11" s="1401"/>
      <c r="E11" s="1401"/>
      <c r="F11" s="1401"/>
      <c r="G11" s="1401"/>
      <c r="H11" s="1401"/>
      <c r="I11" s="1401"/>
      <c r="J11" s="1401"/>
      <c r="K11" s="1401"/>
      <c r="L11" s="1401"/>
      <c r="M11" s="1401"/>
      <c r="N11" s="1402"/>
      <c r="O11" s="1401"/>
      <c r="P11" s="1401"/>
      <c r="Q11" s="1401"/>
      <c r="R11" s="1401"/>
      <c r="S11" s="1401"/>
      <c r="T11" s="1401"/>
      <c r="U11" s="1401"/>
      <c r="V11" s="1401"/>
      <c r="W11" s="1401"/>
      <c r="X11" s="1402"/>
      <c r="Y11" s="1402"/>
      <c r="Z11" s="1401"/>
      <c r="AA11" s="1401"/>
      <c r="AB11" s="1401"/>
      <c r="AC11" s="1402"/>
      <c r="AD11" s="1401"/>
      <c r="AE11" s="1402"/>
      <c r="AF11" s="1401"/>
      <c r="AG11" s="1402"/>
      <c r="AH11" s="1401"/>
      <c r="AI11" s="1402"/>
      <c r="AJ11" s="1401"/>
      <c r="AK11" s="1402"/>
      <c r="AL11" s="1401"/>
      <c r="AM11" s="1402"/>
      <c r="AN11" s="1401"/>
      <c r="AO11" s="1402"/>
      <c r="AP11" s="1401"/>
      <c r="AQ11" s="1402"/>
      <c r="AR11" s="1401"/>
      <c r="AS11" s="1402"/>
      <c r="AT11" s="1401"/>
      <c r="AU11" s="1402"/>
      <c r="AV11" s="1401"/>
      <c r="AW11" s="1402"/>
      <c r="AX11" s="1401"/>
      <c r="AY11" s="1402"/>
      <c r="AZ11" s="1401"/>
      <c r="BA11" s="1403"/>
      <c r="BB11" s="1401"/>
      <c r="BC11" s="1401"/>
      <c r="BD11" s="1404"/>
      <c r="BE11" s="1404"/>
      <c r="BF11" s="1404"/>
      <c r="BG11" s="1402"/>
      <c r="BH11" s="1401"/>
      <c r="BI11" s="1402"/>
      <c r="BJ11" s="1405"/>
    </row>
    <row r="12" spans="1:62" s="1406" customFormat="1" ht="15">
      <c r="A12" s="3869" t="s">
        <v>1422</v>
      </c>
      <c r="B12" s="3870"/>
      <c r="C12" s="3871"/>
      <c r="D12" s="1407">
        <v>2</v>
      </c>
      <c r="E12" s="1408" t="s">
        <v>1423</v>
      </c>
      <c r="F12" s="1409"/>
      <c r="G12" s="1409"/>
      <c r="H12" s="1409"/>
      <c r="I12" s="1409"/>
      <c r="J12" s="1409"/>
      <c r="K12" s="1409"/>
      <c r="L12" s="1409"/>
      <c r="M12" s="1409"/>
      <c r="N12" s="1410"/>
      <c r="O12" s="1409"/>
      <c r="P12" s="1409"/>
      <c r="Q12" s="1409"/>
      <c r="R12" s="1409"/>
      <c r="S12" s="1409"/>
      <c r="T12" s="1409"/>
      <c r="U12" s="1409"/>
      <c r="V12" s="1409"/>
      <c r="W12" s="1409"/>
      <c r="X12" s="1410"/>
      <c r="Y12" s="1410"/>
      <c r="Z12" s="1409"/>
      <c r="AA12" s="1409"/>
      <c r="AB12" s="1409"/>
      <c r="AC12" s="1410"/>
      <c r="AD12" s="1409"/>
      <c r="AE12" s="1410"/>
      <c r="AF12" s="1409"/>
      <c r="AG12" s="1410"/>
      <c r="AH12" s="1409"/>
      <c r="AI12" s="1410"/>
      <c r="AJ12" s="1409"/>
      <c r="AK12" s="1410"/>
      <c r="AL12" s="1409"/>
      <c r="AM12" s="1410"/>
      <c r="AN12" s="1409"/>
      <c r="AO12" s="1410"/>
      <c r="AP12" s="1409"/>
      <c r="AQ12" s="1410"/>
      <c r="AR12" s="1409"/>
      <c r="AS12" s="1410"/>
      <c r="AT12" s="1409"/>
      <c r="AU12" s="1410"/>
      <c r="AV12" s="1409"/>
      <c r="AW12" s="1410"/>
      <c r="AX12" s="1409"/>
      <c r="AY12" s="1410"/>
      <c r="AZ12" s="1409"/>
      <c r="BA12" s="1411"/>
      <c r="BB12" s="1409"/>
      <c r="BC12" s="1409"/>
      <c r="BD12" s="1412"/>
      <c r="BE12" s="1412"/>
      <c r="BF12" s="1412"/>
      <c r="BG12" s="1410"/>
      <c r="BH12" s="1409"/>
      <c r="BI12" s="1410"/>
      <c r="BJ12" s="1413"/>
    </row>
    <row r="13" spans="1:62" s="1406" customFormat="1" ht="16.5" customHeight="1">
      <c r="A13" s="3872"/>
      <c r="B13" s="3873"/>
      <c r="C13" s="3874"/>
      <c r="D13" s="3878"/>
      <c r="E13" s="3879"/>
      <c r="F13" s="3879"/>
      <c r="G13" s="1414">
        <v>8</v>
      </c>
      <c r="H13" s="1415" t="s">
        <v>1424</v>
      </c>
      <c r="I13" s="1416"/>
      <c r="J13" s="1416"/>
      <c r="K13" s="1416"/>
      <c r="L13" s="1416"/>
      <c r="M13" s="1416"/>
      <c r="N13" s="1417"/>
      <c r="O13" s="1416"/>
      <c r="P13" s="1416"/>
      <c r="Q13" s="1416"/>
      <c r="R13" s="1416"/>
      <c r="S13" s="1416"/>
      <c r="T13" s="1416"/>
      <c r="U13" s="1416"/>
      <c r="V13" s="1416"/>
      <c r="W13" s="1416"/>
      <c r="X13" s="1417"/>
      <c r="Y13" s="1417"/>
      <c r="Z13" s="1416"/>
      <c r="AA13" s="1416"/>
      <c r="AB13" s="1416"/>
      <c r="AC13" s="1417"/>
      <c r="AD13" s="1416"/>
      <c r="AE13" s="1417"/>
      <c r="AF13" s="1416"/>
      <c r="AG13" s="1417"/>
      <c r="AH13" s="1416"/>
      <c r="AI13" s="1417"/>
      <c r="AJ13" s="1416"/>
      <c r="AK13" s="1417"/>
      <c r="AL13" s="1416"/>
      <c r="AM13" s="1417"/>
      <c r="AN13" s="1416"/>
      <c r="AO13" s="1417"/>
      <c r="AP13" s="1416"/>
      <c r="AQ13" s="1417"/>
      <c r="AR13" s="1416"/>
      <c r="AS13" s="1417"/>
      <c r="AT13" s="1416"/>
      <c r="AU13" s="1417"/>
      <c r="AV13" s="1416"/>
      <c r="AW13" s="1417"/>
      <c r="AX13" s="1416"/>
      <c r="AY13" s="1417"/>
      <c r="AZ13" s="1416"/>
      <c r="BA13" s="1418"/>
      <c r="BB13" s="1416"/>
      <c r="BC13" s="1416"/>
      <c r="BD13" s="1419"/>
      <c r="BE13" s="1419"/>
      <c r="BF13" s="1419"/>
      <c r="BG13" s="1417"/>
      <c r="BH13" s="1416"/>
      <c r="BI13" s="1417"/>
      <c r="BJ13" s="1420"/>
    </row>
    <row r="14" spans="1:62" s="1406" customFormat="1" ht="16.5" customHeight="1">
      <c r="A14" s="3872"/>
      <c r="B14" s="3873"/>
      <c r="C14" s="3874"/>
      <c r="D14" s="3878"/>
      <c r="E14" s="3879"/>
      <c r="F14" s="3879"/>
      <c r="G14" s="3873"/>
      <c r="H14" s="3873"/>
      <c r="I14" s="3873"/>
      <c r="J14" s="3883">
        <v>38</v>
      </c>
      <c r="K14" s="3884" t="s">
        <v>1425</v>
      </c>
      <c r="L14" s="3879" t="s">
        <v>37</v>
      </c>
      <c r="M14" s="3883">
        <v>4</v>
      </c>
      <c r="N14" s="3912">
        <v>3</v>
      </c>
      <c r="O14" s="3879" t="s">
        <v>1426</v>
      </c>
      <c r="P14" s="3915">
        <v>51</v>
      </c>
      <c r="Q14" s="3884" t="s">
        <v>1427</v>
      </c>
      <c r="R14" s="3905">
        <v>0.5</v>
      </c>
      <c r="S14" s="3908">
        <v>15000000</v>
      </c>
      <c r="T14" s="3884" t="s">
        <v>1428</v>
      </c>
      <c r="U14" s="3884" t="s">
        <v>1429</v>
      </c>
      <c r="V14" s="3884" t="s">
        <v>1430</v>
      </c>
      <c r="W14" s="3909">
        <v>7500000</v>
      </c>
      <c r="X14" s="3917">
        <v>7500000</v>
      </c>
      <c r="Y14" s="3917">
        <v>7500000</v>
      </c>
      <c r="Z14" s="3920">
        <v>20</v>
      </c>
      <c r="AA14" s="3921" t="s">
        <v>232</v>
      </c>
      <c r="AB14" s="3815">
        <v>64149</v>
      </c>
      <c r="AC14" s="3818">
        <f>+AB14/($W$14+$W$19+$W$24+$W$32+$W$40)*($Y$14+$Y$19+$Y$24+$Y$32+$Y$40)</f>
        <v>25980.345</v>
      </c>
      <c r="AD14" s="3815" t="s">
        <v>1431</v>
      </c>
      <c r="AE14" s="3818">
        <f>+AD14/($W$14+$W$19+$W$24+$W$32+$W$40)*($Y$14+$Y$19+$Y$24+$Y$32+$Y$40)</f>
        <v>29250.719999999998</v>
      </c>
      <c r="AF14" s="3815" t="s">
        <v>1432</v>
      </c>
      <c r="AG14" s="3818">
        <f>+AF14/($W$14+$W$19+$W$24+$W$32+$W$40)*($Y$14+$Y$19+$Y$24+$Y$32+$Y$40)</f>
        <v>11128.185</v>
      </c>
      <c r="AH14" s="3815" t="s">
        <v>1433</v>
      </c>
      <c r="AI14" s="3818">
        <f>+AH14/($W$14+$W$19+$W$24+$W$32+$W$40)*($Y$14+$Y$19+$Y$24+$Y$32+$Y$40)</f>
        <v>35171.415</v>
      </c>
      <c r="AJ14" s="3815" t="s">
        <v>1434</v>
      </c>
      <c r="AK14" s="3818">
        <f>+AJ14/($W$14+$W$19+$W$24+$W$32+$W$40)*($Y$14+$Y$19+$Y$24+$Y$32+$Y$40)</f>
        <v>95753.745</v>
      </c>
      <c r="AL14" s="3815" t="s">
        <v>1435</v>
      </c>
      <c r="AM14" s="3818">
        <f>+AL14/($W$14+$W$19+$W$24+$W$32+$W$40)*($Y$14+$Y$19+$Y$24+$Y$32+$Y$40)</f>
        <v>32960.520000000004</v>
      </c>
      <c r="AN14" s="3815">
        <v>13208</v>
      </c>
      <c r="AO14" s="3818">
        <f>+AN14/($W$14+$W$19+$W$24+$W$32+$W$40)*($Y$14+$Y$19+$Y$24+$Y$32+$Y$40)</f>
        <v>5349.24</v>
      </c>
      <c r="AP14" s="3815">
        <v>1827</v>
      </c>
      <c r="AQ14" s="3818">
        <f>+AP14/($W$14+$W$19+$W$24+$W$32+$W$40)*($Y$14+$Y$19+$Y$24+$Y$32+$Y$40)</f>
        <v>739.935</v>
      </c>
      <c r="AR14" s="3815"/>
      <c r="AS14" s="3818"/>
      <c r="AT14" s="3815"/>
      <c r="AU14" s="3818"/>
      <c r="AV14" s="3815">
        <v>16897</v>
      </c>
      <c r="AW14" s="3818">
        <f>+AV14/($W$14+$W$19+$W$24+$W$32+$W$40)*($Y$14+$Y$19+$Y$24+$Y$32+$Y$40)</f>
        <v>6843.285</v>
      </c>
      <c r="AX14" s="3815">
        <v>81384</v>
      </c>
      <c r="AY14" s="3818">
        <f>+AX14/($W$14+$W$19+$W$24+$W$32+$W$40)*($Y$14+$Y$19+$Y$24+$Y$32+$Y$40)</f>
        <v>32960.520000000004</v>
      </c>
      <c r="AZ14" s="3942" t="s">
        <v>1436</v>
      </c>
      <c r="BA14" s="3916">
        <v>7500000</v>
      </c>
      <c r="BB14" s="3938">
        <v>7500000</v>
      </c>
      <c r="BC14" s="3938">
        <v>100</v>
      </c>
      <c r="BD14" s="3938" t="s">
        <v>38</v>
      </c>
      <c r="BE14" s="3938" t="s">
        <v>1437</v>
      </c>
      <c r="BF14" s="3939" t="s">
        <v>1438</v>
      </c>
      <c r="BG14" s="3934" t="s">
        <v>1439</v>
      </c>
      <c r="BH14" s="3931">
        <v>42735</v>
      </c>
      <c r="BI14" s="3934" t="s">
        <v>1440</v>
      </c>
      <c r="BJ14" s="3935" t="s">
        <v>1441</v>
      </c>
    </row>
    <row r="15" spans="1:62" s="1406" customFormat="1" ht="16.5" customHeight="1">
      <c r="A15" s="3872"/>
      <c r="B15" s="3873"/>
      <c r="C15" s="3874"/>
      <c r="D15" s="3878"/>
      <c r="E15" s="3879"/>
      <c r="F15" s="3879"/>
      <c r="G15" s="3873"/>
      <c r="H15" s="3873"/>
      <c r="I15" s="3873"/>
      <c r="J15" s="3883"/>
      <c r="K15" s="3884"/>
      <c r="L15" s="3879"/>
      <c r="M15" s="3883"/>
      <c r="N15" s="3913"/>
      <c r="O15" s="3879"/>
      <c r="P15" s="3915"/>
      <c r="Q15" s="3884"/>
      <c r="R15" s="3906"/>
      <c r="S15" s="3908"/>
      <c r="T15" s="3884"/>
      <c r="U15" s="3884"/>
      <c r="V15" s="3884"/>
      <c r="W15" s="3910"/>
      <c r="X15" s="3918"/>
      <c r="Y15" s="3918"/>
      <c r="Z15" s="3920"/>
      <c r="AA15" s="3921"/>
      <c r="AB15" s="3816"/>
      <c r="AC15" s="3819"/>
      <c r="AD15" s="3816"/>
      <c r="AE15" s="3819"/>
      <c r="AF15" s="3816"/>
      <c r="AG15" s="3819"/>
      <c r="AH15" s="3816"/>
      <c r="AI15" s="3819"/>
      <c r="AJ15" s="3816"/>
      <c r="AK15" s="3819"/>
      <c r="AL15" s="3816"/>
      <c r="AM15" s="3819"/>
      <c r="AN15" s="3816"/>
      <c r="AO15" s="3819"/>
      <c r="AP15" s="3816"/>
      <c r="AQ15" s="3819"/>
      <c r="AR15" s="3816"/>
      <c r="AS15" s="3819"/>
      <c r="AT15" s="3816"/>
      <c r="AU15" s="3819"/>
      <c r="AV15" s="3816"/>
      <c r="AW15" s="3819"/>
      <c r="AX15" s="3816"/>
      <c r="AY15" s="3819"/>
      <c r="AZ15" s="3943"/>
      <c r="BA15" s="3916"/>
      <c r="BB15" s="3938"/>
      <c r="BC15" s="3938"/>
      <c r="BD15" s="3938"/>
      <c r="BE15" s="3938"/>
      <c r="BF15" s="3940"/>
      <c r="BG15" s="3934"/>
      <c r="BH15" s="3932"/>
      <c r="BI15" s="3934"/>
      <c r="BJ15" s="3935"/>
    </row>
    <row r="16" spans="1:62" s="1406" customFormat="1" ht="16.5" customHeight="1">
      <c r="A16" s="3872"/>
      <c r="B16" s="3873"/>
      <c r="C16" s="3874"/>
      <c r="D16" s="3878"/>
      <c r="E16" s="3879"/>
      <c r="F16" s="3879"/>
      <c r="G16" s="3873"/>
      <c r="H16" s="3873"/>
      <c r="I16" s="3873"/>
      <c r="J16" s="3883"/>
      <c r="K16" s="3884"/>
      <c r="L16" s="3879"/>
      <c r="M16" s="3883"/>
      <c r="N16" s="3913"/>
      <c r="O16" s="3879"/>
      <c r="P16" s="3915"/>
      <c r="Q16" s="3884"/>
      <c r="R16" s="3906"/>
      <c r="S16" s="3908"/>
      <c r="T16" s="3884"/>
      <c r="U16" s="3884"/>
      <c r="V16" s="3884"/>
      <c r="W16" s="3910"/>
      <c r="X16" s="3918"/>
      <c r="Y16" s="3918"/>
      <c r="Z16" s="3920"/>
      <c r="AA16" s="3921"/>
      <c r="AB16" s="3816"/>
      <c r="AC16" s="3819"/>
      <c r="AD16" s="3816"/>
      <c r="AE16" s="3819"/>
      <c r="AF16" s="3816"/>
      <c r="AG16" s="3819"/>
      <c r="AH16" s="3816"/>
      <c r="AI16" s="3819"/>
      <c r="AJ16" s="3816"/>
      <c r="AK16" s="3819"/>
      <c r="AL16" s="3816"/>
      <c r="AM16" s="3819"/>
      <c r="AN16" s="3816"/>
      <c r="AO16" s="3819"/>
      <c r="AP16" s="3816"/>
      <c r="AQ16" s="3819"/>
      <c r="AR16" s="3816"/>
      <c r="AS16" s="3819"/>
      <c r="AT16" s="3816"/>
      <c r="AU16" s="3819"/>
      <c r="AV16" s="3816"/>
      <c r="AW16" s="3819"/>
      <c r="AX16" s="3816"/>
      <c r="AY16" s="3819"/>
      <c r="AZ16" s="3943"/>
      <c r="BA16" s="3916"/>
      <c r="BB16" s="3938"/>
      <c r="BC16" s="3938"/>
      <c r="BD16" s="3938"/>
      <c r="BE16" s="3938"/>
      <c r="BF16" s="3940"/>
      <c r="BG16" s="3934"/>
      <c r="BH16" s="3932"/>
      <c r="BI16" s="3934"/>
      <c r="BJ16" s="3935"/>
    </row>
    <row r="17" spans="1:62" s="1385" customFormat="1" ht="13.5" customHeight="1">
      <c r="A17" s="3872"/>
      <c r="B17" s="3873"/>
      <c r="C17" s="3874"/>
      <c r="D17" s="3878"/>
      <c r="E17" s="3879"/>
      <c r="F17" s="3879"/>
      <c r="G17" s="3873"/>
      <c r="H17" s="3873"/>
      <c r="I17" s="3873"/>
      <c r="J17" s="3883"/>
      <c r="K17" s="3884"/>
      <c r="L17" s="3879"/>
      <c r="M17" s="3883"/>
      <c r="N17" s="3913"/>
      <c r="O17" s="3879"/>
      <c r="P17" s="3915"/>
      <c r="Q17" s="3884"/>
      <c r="R17" s="3906"/>
      <c r="S17" s="3908"/>
      <c r="T17" s="3884"/>
      <c r="U17" s="3884"/>
      <c r="V17" s="3884"/>
      <c r="W17" s="3910"/>
      <c r="X17" s="3918"/>
      <c r="Y17" s="3918"/>
      <c r="Z17" s="3920"/>
      <c r="AA17" s="3921"/>
      <c r="AB17" s="3816"/>
      <c r="AC17" s="3819"/>
      <c r="AD17" s="3816"/>
      <c r="AE17" s="3819"/>
      <c r="AF17" s="3816"/>
      <c r="AG17" s="3819"/>
      <c r="AH17" s="3816"/>
      <c r="AI17" s="3819"/>
      <c r="AJ17" s="3816"/>
      <c r="AK17" s="3819"/>
      <c r="AL17" s="3816"/>
      <c r="AM17" s="3819"/>
      <c r="AN17" s="3816"/>
      <c r="AO17" s="3819"/>
      <c r="AP17" s="3816"/>
      <c r="AQ17" s="3819"/>
      <c r="AR17" s="3816"/>
      <c r="AS17" s="3819"/>
      <c r="AT17" s="3816"/>
      <c r="AU17" s="3819"/>
      <c r="AV17" s="3816"/>
      <c r="AW17" s="3819"/>
      <c r="AX17" s="3816"/>
      <c r="AY17" s="3819"/>
      <c r="AZ17" s="3943"/>
      <c r="BA17" s="3916"/>
      <c r="BB17" s="3938"/>
      <c r="BC17" s="3938"/>
      <c r="BD17" s="3938"/>
      <c r="BE17" s="3938"/>
      <c r="BF17" s="3940"/>
      <c r="BG17" s="3934"/>
      <c r="BH17" s="3932"/>
      <c r="BI17" s="3934"/>
      <c r="BJ17" s="3935"/>
    </row>
    <row r="18" spans="1:62" s="1385" customFormat="1" ht="13.5" customHeight="1">
      <c r="A18" s="3872"/>
      <c r="B18" s="3873"/>
      <c r="C18" s="3874"/>
      <c r="D18" s="3878"/>
      <c r="E18" s="3879"/>
      <c r="F18" s="3879"/>
      <c r="G18" s="3873"/>
      <c r="H18" s="3873"/>
      <c r="I18" s="3873"/>
      <c r="J18" s="3883"/>
      <c r="K18" s="3884"/>
      <c r="L18" s="3879"/>
      <c r="M18" s="3883"/>
      <c r="N18" s="3914"/>
      <c r="O18" s="3879"/>
      <c r="P18" s="3915"/>
      <c r="Q18" s="3884"/>
      <c r="R18" s="3907"/>
      <c r="S18" s="3908"/>
      <c r="T18" s="3884"/>
      <c r="U18" s="3884"/>
      <c r="V18" s="3884"/>
      <c r="W18" s="3911"/>
      <c r="X18" s="3919"/>
      <c r="Y18" s="3919"/>
      <c r="Z18" s="3920"/>
      <c r="AA18" s="3921"/>
      <c r="AB18" s="3816"/>
      <c r="AC18" s="3819"/>
      <c r="AD18" s="3816"/>
      <c r="AE18" s="3819"/>
      <c r="AF18" s="3816"/>
      <c r="AG18" s="3819"/>
      <c r="AH18" s="3816"/>
      <c r="AI18" s="3819"/>
      <c r="AJ18" s="3816"/>
      <c r="AK18" s="3819"/>
      <c r="AL18" s="3816"/>
      <c r="AM18" s="3819"/>
      <c r="AN18" s="3816"/>
      <c r="AO18" s="3819"/>
      <c r="AP18" s="3816"/>
      <c r="AQ18" s="3819"/>
      <c r="AR18" s="3816"/>
      <c r="AS18" s="3819"/>
      <c r="AT18" s="3816"/>
      <c r="AU18" s="3819"/>
      <c r="AV18" s="3816"/>
      <c r="AW18" s="3819"/>
      <c r="AX18" s="3816"/>
      <c r="AY18" s="3819"/>
      <c r="AZ18" s="3944"/>
      <c r="BA18" s="3916"/>
      <c r="BB18" s="3938"/>
      <c r="BC18" s="3938"/>
      <c r="BD18" s="3938"/>
      <c r="BE18" s="3938"/>
      <c r="BF18" s="3941"/>
      <c r="BG18" s="3934"/>
      <c r="BH18" s="3933"/>
      <c r="BI18" s="3934"/>
      <c r="BJ18" s="3935"/>
    </row>
    <row r="19" spans="1:62" s="1385" customFormat="1" ht="15" customHeight="1">
      <c r="A19" s="3872"/>
      <c r="B19" s="3873"/>
      <c r="C19" s="3874"/>
      <c r="D19" s="3878"/>
      <c r="E19" s="3879"/>
      <c r="F19" s="3879"/>
      <c r="G19" s="3873"/>
      <c r="H19" s="3873"/>
      <c r="I19" s="3873"/>
      <c r="J19" s="3883">
        <v>39</v>
      </c>
      <c r="K19" s="3884" t="s">
        <v>1442</v>
      </c>
      <c r="L19" s="3879"/>
      <c r="M19" s="3883">
        <v>3</v>
      </c>
      <c r="N19" s="3912">
        <v>3</v>
      </c>
      <c r="O19" s="3879"/>
      <c r="P19" s="3915"/>
      <c r="Q19" s="3884"/>
      <c r="R19" s="3936">
        <v>0.5</v>
      </c>
      <c r="S19" s="3908"/>
      <c r="T19" s="3884"/>
      <c r="U19" s="3884" t="s">
        <v>1443</v>
      </c>
      <c r="V19" s="3884" t="s">
        <v>1444</v>
      </c>
      <c r="W19" s="3909">
        <v>7500000</v>
      </c>
      <c r="X19" s="3917">
        <v>7500000</v>
      </c>
      <c r="Y19" s="3917">
        <v>7500000</v>
      </c>
      <c r="Z19" s="3920"/>
      <c r="AA19" s="3921"/>
      <c r="AB19" s="3816"/>
      <c r="AC19" s="3819"/>
      <c r="AD19" s="3816"/>
      <c r="AE19" s="3819"/>
      <c r="AF19" s="3816"/>
      <c r="AG19" s="3819"/>
      <c r="AH19" s="3816"/>
      <c r="AI19" s="3819"/>
      <c r="AJ19" s="3816"/>
      <c r="AK19" s="3819"/>
      <c r="AL19" s="3816"/>
      <c r="AM19" s="3819"/>
      <c r="AN19" s="3816"/>
      <c r="AO19" s="3819"/>
      <c r="AP19" s="3816"/>
      <c r="AQ19" s="3819"/>
      <c r="AR19" s="3816"/>
      <c r="AS19" s="3819"/>
      <c r="AT19" s="3816"/>
      <c r="AU19" s="3819"/>
      <c r="AV19" s="3816"/>
      <c r="AW19" s="3819"/>
      <c r="AX19" s="3816"/>
      <c r="AY19" s="3819"/>
      <c r="AZ19" s="3942" t="s">
        <v>1445</v>
      </c>
      <c r="BA19" s="3916">
        <v>7500000</v>
      </c>
      <c r="BB19" s="3938">
        <v>7500000</v>
      </c>
      <c r="BC19" s="3938">
        <v>100</v>
      </c>
      <c r="BD19" s="3938" t="s">
        <v>38</v>
      </c>
      <c r="BE19" s="3938" t="s">
        <v>1437</v>
      </c>
      <c r="BF19" s="3939" t="s">
        <v>1438</v>
      </c>
      <c r="BG19" s="3934" t="s">
        <v>1446</v>
      </c>
      <c r="BH19" s="3931">
        <v>42735</v>
      </c>
      <c r="BI19" s="3934" t="s">
        <v>1447</v>
      </c>
      <c r="BJ19" s="3935"/>
    </row>
    <row r="20" spans="1:63" s="1385" customFormat="1" ht="13.5" customHeight="1">
      <c r="A20" s="3872"/>
      <c r="B20" s="3873"/>
      <c r="C20" s="3874"/>
      <c r="D20" s="3878"/>
      <c r="E20" s="3879"/>
      <c r="F20" s="3879"/>
      <c r="G20" s="3873"/>
      <c r="H20" s="3873"/>
      <c r="I20" s="3873"/>
      <c r="J20" s="3883"/>
      <c r="K20" s="3884"/>
      <c r="L20" s="3879"/>
      <c r="M20" s="3883"/>
      <c r="N20" s="3913"/>
      <c r="O20" s="3879"/>
      <c r="P20" s="3915"/>
      <c r="Q20" s="3884"/>
      <c r="R20" s="3936"/>
      <c r="S20" s="3908"/>
      <c r="T20" s="3884"/>
      <c r="U20" s="3884"/>
      <c r="V20" s="3884"/>
      <c r="W20" s="3910"/>
      <c r="X20" s="3918"/>
      <c r="Y20" s="3918"/>
      <c r="Z20" s="3920"/>
      <c r="AA20" s="3921"/>
      <c r="AB20" s="3816"/>
      <c r="AC20" s="3819"/>
      <c r="AD20" s="3816"/>
      <c r="AE20" s="3819"/>
      <c r="AF20" s="3816"/>
      <c r="AG20" s="3819"/>
      <c r="AH20" s="3816"/>
      <c r="AI20" s="3819"/>
      <c r="AJ20" s="3816"/>
      <c r="AK20" s="3819"/>
      <c r="AL20" s="3816"/>
      <c r="AM20" s="3819"/>
      <c r="AN20" s="3816"/>
      <c r="AO20" s="3819"/>
      <c r="AP20" s="3816"/>
      <c r="AQ20" s="3819"/>
      <c r="AR20" s="3816"/>
      <c r="AS20" s="3819"/>
      <c r="AT20" s="3816"/>
      <c r="AU20" s="3819"/>
      <c r="AV20" s="3816"/>
      <c r="AW20" s="3819"/>
      <c r="AX20" s="3816"/>
      <c r="AY20" s="3819"/>
      <c r="AZ20" s="3943"/>
      <c r="BA20" s="3916"/>
      <c r="BB20" s="3938"/>
      <c r="BC20" s="3938"/>
      <c r="BD20" s="3938"/>
      <c r="BE20" s="3938"/>
      <c r="BF20" s="3940"/>
      <c r="BG20" s="3934"/>
      <c r="BH20" s="3932"/>
      <c r="BI20" s="3934"/>
      <c r="BJ20" s="3935"/>
      <c r="BK20" s="1384"/>
    </row>
    <row r="21" spans="1:63" s="1385" customFormat="1" ht="16.5" customHeight="1">
      <c r="A21" s="3872"/>
      <c r="B21" s="3873"/>
      <c r="C21" s="3874"/>
      <c r="D21" s="3878"/>
      <c r="E21" s="3879"/>
      <c r="F21" s="3879"/>
      <c r="G21" s="3873"/>
      <c r="H21" s="3873"/>
      <c r="I21" s="3873"/>
      <c r="J21" s="3883"/>
      <c r="K21" s="3884"/>
      <c r="L21" s="3879"/>
      <c r="M21" s="3883"/>
      <c r="N21" s="3913"/>
      <c r="O21" s="3879"/>
      <c r="P21" s="3915"/>
      <c r="Q21" s="3884"/>
      <c r="R21" s="3936"/>
      <c r="S21" s="3908"/>
      <c r="T21" s="3884"/>
      <c r="U21" s="3884"/>
      <c r="V21" s="3884"/>
      <c r="W21" s="3910"/>
      <c r="X21" s="3918"/>
      <c r="Y21" s="3918"/>
      <c r="Z21" s="3920"/>
      <c r="AA21" s="3921"/>
      <c r="AB21" s="3816"/>
      <c r="AC21" s="3819"/>
      <c r="AD21" s="3816"/>
      <c r="AE21" s="3819"/>
      <c r="AF21" s="3816"/>
      <c r="AG21" s="3819"/>
      <c r="AH21" s="3816"/>
      <c r="AI21" s="3819"/>
      <c r="AJ21" s="3816"/>
      <c r="AK21" s="3819"/>
      <c r="AL21" s="3816"/>
      <c r="AM21" s="3819"/>
      <c r="AN21" s="3816"/>
      <c r="AO21" s="3819"/>
      <c r="AP21" s="3816"/>
      <c r="AQ21" s="3819"/>
      <c r="AR21" s="3816"/>
      <c r="AS21" s="3819"/>
      <c r="AT21" s="3816"/>
      <c r="AU21" s="3819"/>
      <c r="AV21" s="3816"/>
      <c r="AW21" s="3819"/>
      <c r="AX21" s="3816"/>
      <c r="AY21" s="3819"/>
      <c r="AZ21" s="3943"/>
      <c r="BA21" s="3916"/>
      <c r="BB21" s="3938"/>
      <c r="BC21" s="3938"/>
      <c r="BD21" s="3938"/>
      <c r="BE21" s="3938"/>
      <c r="BF21" s="3940"/>
      <c r="BG21" s="3934"/>
      <c r="BH21" s="3932"/>
      <c r="BI21" s="3934"/>
      <c r="BJ21" s="3935"/>
      <c r="BK21" s="1384"/>
    </row>
    <row r="22" spans="1:63" s="1385" customFormat="1" ht="9.75" customHeight="1">
      <c r="A22" s="3872"/>
      <c r="B22" s="3873"/>
      <c r="C22" s="3874"/>
      <c r="D22" s="3878"/>
      <c r="E22" s="3879"/>
      <c r="F22" s="3879"/>
      <c r="G22" s="3873"/>
      <c r="H22" s="3873"/>
      <c r="I22" s="3873"/>
      <c r="J22" s="3883"/>
      <c r="K22" s="3884"/>
      <c r="L22" s="3879"/>
      <c r="M22" s="3883"/>
      <c r="N22" s="3913"/>
      <c r="O22" s="3879"/>
      <c r="P22" s="3915"/>
      <c r="Q22" s="3884"/>
      <c r="R22" s="3936"/>
      <c r="S22" s="3908"/>
      <c r="T22" s="3884"/>
      <c r="U22" s="3884"/>
      <c r="V22" s="3884"/>
      <c r="W22" s="3910"/>
      <c r="X22" s="3918"/>
      <c r="Y22" s="3918"/>
      <c r="Z22" s="3920"/>
      <c r="AA22" s="3921"/>
      <c r="AB22" s="3816"/>
      <c r="AC22" s="3819"/>
      <c r="AD22" s="3816"/>
      <c r="AE22" s="3819"/>
      <c r="AF22" s="3816"/>
      <c r="AG22" s="3819"/>
      <c r="AH22" s="3816"/>
      <c r="AI22" s="3819"/>
      <c r="AJ22" s="3816"/>
      <c r="AK22" s="3819"/>
      <c r="AL22" s="3816"/>
      <c r="AM22" s="3819"/>
      <c r="AN22" s="3816"/>
      <c r="AO22" s="3819"/>
      <c r="AP22" s="3816"/>
      <c r="AQ22" s="3819"/>
      <c r="AR22" s="3816"/>
      <c r="AS22" s="3819"/>
      <c r="AT22" s="3816"/>
      <c r="AU22" s="3819"/>
      <c r="AV22" s="3816"/>
      <c r="AW22" s="3819"/>
      <c r="AX22" s="3816"/>
      <c r="AY22" s="3819"/>
      <c r="AZ22" s="3943"/>
      <c r="BA22" s="3916"/>
      <c r="BB22" s="3938"/>
      <c r="BC22" s="3938"/>
      <c r="BD22" s="3938"/>
      <c r="BE22" s="3938"/>
      <c r="BF22" s="3940"/>
      <c r="BG22" s="3934"/>
      <c r="BH22" s="3932"/>
      <c r="BI22" s="3934"/>
      <c r="BJ22" s="3935"/>
      <c r="BK22" s="1384"/>
    </row>
    <row r="23" spans="1:62" ht="16.5" customHeight="1" thickBot="1">
      <c r="A23" s="3872"/>
      <c r="B23" s="3873"/>
      <c r="C23" s="3874"/>
      <c r="D23" s="3878"/>
      <c r="E23" s="3879"/>
      <c r="F23" s="3879"/>
      <c r="G23" s="3873"/>
      <c r="H23" s="3873"/>
      <c r="I23" s="3873"/>
      <c r="J23" s="3883"/>
      <c r="K23" s="3884"/>
      <c r="L23" s="3879"/>
      <c r="M23" s="3883"/>
      <c r="N23" s="3914"/>
      <c r="O23" s="3879"/>
      <c r="P23" s="3915"/>
      <c r="Q23" s="3884"/>
      <c r="R23" s="3936"/>
      <c r="S23" s="3908"/>
      <c r="T23" s="3884"/>
      <c r="U23" s="3937"/>
      <c r="V23" s="3884"/>
      <c r="W23" s="3911"/>
      <c r="X23" s="3919"/>
      <c r="Y23" s="3919"/>
      <c r="Z23" s="3920"/>
      <c r="AA23" s="3921"/>
      <c r="AB23" s="3816"/>
      <c r="AC23" s="3819"/>
      <c r="AD23" s="3816"/>
      <c r="AE23" s="3819"/>
      <c r="AF23" s="3816"/>
      <c r="AG23" s="3819"/>
      <c r="AH23" s="3816"/>
      <c r="AI23" s="3819"/>
      <c r="AJ23" s="3816"/>
      <c r="AK23" s="3819"/>
      <c r="AL23" s="3816"/>
      <c r="AM23" s="3819"/>
      <c r="AN23" s="3816"/>
      <c r="AO23" s="3819"/>
      <c r="AP23" s="3816"/>
      <c r="AQ23" s="3819"/>
      <c r="AR23" s="3816"/>
      <c r="AS23" s="3819"/>
      <c r="AT23" s="3816"/>
      <c r="AU23" s="3819"/>
      <c r="AV23" s="3816"/>
      <c r="AW23" s="3819"/>
      <c r="AX23" s="3816"/>
      <c r="AY23" s="3819"/>
      <c r="AZ23" s="3944"/>
      <c r="BA23" s="3916"/>
      <c r="BB23" s="3938"/>
      <c r="BC23" s="3938"/>
      <c r="BD23" s="3938"/>
      <c r="BE23" s="3938"/>
      <c r="BF23" s="3941"/>
      <c r="BG23" s="3934"/>
      <c r="BH23" s="3933"/>
      <c r="BI23" s="3934"/>
      <c r="BJ23" s="3935"/>
    </row>
    <row r="24" spans="1:62" ht="15.75" customHeight="1" thickTop="1">
      <c r="A24" s="3872"/>
      <c r="B24" s="3873"/>
      <c r="C24" s="3874"/>
      <c r="D24" s="3878"/>
      <c r="E24" s="3879"/>
      <c r="F24" s="3879"/>
      <c r="G24" s="3873"/>
      <c r="H24" s="3873"/>
      <c r="I24" s="3874"/>
      <c r="J24" s="3945">
        <v>40</v>
      </c>
      <c r="K24" s="3947" t="s">
        <v>1448</v>
      </c>
      <c r="L24" s="3949" t="s">
        <v>37</v>
      </c>
      <c r="M24" s="3950">
        <v>0.05</v>
      </c>
      <c r="N24" s="3952">
        <v>0</v>
      </c>
      <c r="O24" s="3955" t="s">
        <v>1449</v>
      </c>
      <c r="P24" s="3957">
        <v>52</v>
      </c>
      <c r="Q24" s="3958" t="s">
        <v>1450</v>
      </c>
      <c r="R24" s="3964">
        <f>W24/S24</f>
        <v>0.5714285714285714</v>
      </c>
      <c r="S24" s="3969">
        <v>35000000</v>
      </c>
      <c r="T24" s="3958" t="s">
        <v>1451</v>
      </c>
      <c r="U24" s="3947" t="s">
        <v>1452</v>
      </c>
      <c r="V24" s="3968" t="s">
        <v>1453</v>
      </c>
      <c r="W24" s="3904">
        <v>20000000</v>
      </c>
      <c r="X24" s="3922">
        <v>0</v>
      </c>
      <c r="Y24" s="3922">
        <v>0</v>
      </c>
      <c r="Z24" s="3928">
        <v>20</v>
      </c>
      <c r="AA24" s="3925" t="s">
        <v>232</v>
      </c>
      <c r="AB24" s="3816"/>
      <c r="AC24" s="3819"/>
      <c r="AD24" s="3816"/>
      <c r="AE24" s="3819"/>
      <c r="AF24" s="3816"/>
      <c r="AG24" s="3819"/>
      <c r="AH24" s="3816"/>
      <c r="AI24" s="3819"/>
      <c r="AJ24" s="3816"/>
      <c r="AK24" s="3819"/>
      <c r="AL24" s="3816"/>
      <c r="AM24" s="3819"/>
      <c r="AN24" s="3816"/>
      <c r="AO24" s="3819"/>
      <c r="AP24" s="3816"/>
      <c r="AQ24" s="3819"/>
      <c r="AR24" s="3816"/>
      <c r="AS24" s="3819"/>
      <c r="AT24" s="3816"/>
      <c r="AU24" s="3819"/>
      <c r="AV24" s="3816"/>
      <c r="AW24" s="3819"/>
      <c r="AX24" s="3816"/>
      <c r="AY24" s="3819"/>
      <c r="AZ24" s="3903"/>
      <c r="BA24" s="3825"/>
      <c r="BB24" s="3823"/>
      <c r="BC24" s="3823"/>
      <c r="BD24" s="3823"/>
      <c r="BE24" s="3824"/>
      <c r="BF24" s="3824"/>
      <c r="BG24" s="3824"/>
      <c r="BH24" s="3824"/>
      <c r="BI24" s="3824"/>
      <c r="BJ24" t="s">
        <v>1441</v>
      </c>
    </row>
    <row r="25" spans="1:62" ht="13.5" customHeight="1">
      <c r="A25" s="3872"/>
      <c r="B25" s="3873"/>
      <c r="C25" s="3874"/>
      <c r="D25" s="3878"/>
      <c r="E25" s="3879"/>
      <c r="F25" s="3879"/>
      <c r="G25" s="3873"/>
      <c r="H25" s="3873"/>
      <c r="I25" s="3874"/>
      <c r="J25" s="3946"/>
      <c r="K25" s="3948"/>
      <c r="L25" s="3949"/>
      <c r="M25" s="3951"/>
      <c r="N25" s="3953"/>
      <c r="O25" s="3955"/>
      <c r="P25" s="3957"/>
      <c r="Q25" s="3884"/>
      <c r="R25" s="3965"/>
      <c r="S25" s="3969"/>
      <c r="T25" s="3884"/>
      <c r="U25" s="3948"/>
      <c r="V25" s="3968"/>
      <c r="W25" s="3904"/>
      <c r="X25" s="3923"/>
      <c r="Y25" s="3923"/>
      <c r="Z25" s="3929"/>
      <c r="AA25" s="3926"/>
      <c r="AB25" s="3816"/>
      <c r="AC25" s="3819"/>
      <c r="AD25" s="3816"/>
      <c r="AE25" s="3819"/>
      <c r="AF25" s="3816"/>
      <c r="AG25" s="3819"/>
      <c r="AH25" s="3816"/>
      <c r="AI25" s="3819"/>
      <c r="AJ25" s="3816"/>
      <c r="AK25" s="3819"/>
      <c r="AL25" s="3816"/>
      <c r="AM25" s="3819"/>
      <c r="AN25" s="3816"/>
      <c r="AO25" s="3819"/>
      <c r="AP25" s="3816"/>
      <c r="AQ25" s="3819"/>
      <c r="AR25" s="3816"/>
      <c r="AS25" s="3819"/>
      <c r="AT25" s="3816"/>
      <c r="AU25" s="3819"/>
      <c r="AV25" s="3816"/>
      <c r="AW25" s="3819"/>
      <c r="AX25" s="3816"/>
      <c r="AY25" s="3819"/>
      <c r="AZ25" s="3904"/>
      <c r="BA25" s="3826"/>
      <c r="BB25" s="3823"/>
      <c r="BC25" s="3823"/>
      <c r="BD25" s="3823"/>
      <c r="BE25" s="3824"/>
      <c r="BF25" s="3824"/>
      <c r="BG25" s="3824"/>
      <c r="BH25" s="3824"/>
      <c r="BI25" s="3824"/>
      <c r="BJ25"/>
    </row>
    <row r="26" spans="1:62" ht="13.5" customHeight="1">
      <c r="A26" s="3872"/>
      <c r="B26" s="3873"/>
      <c r="C26" s="3874"/>
      <c r="D26" s="3878"/>
      <c r="E26" s="3879"/>
      <c r="F26" s="3879"/>
      <c r="G26" s="3873"/>
      <c r="H26" s="3873"/>
      <c r="I26" s="3874"/>
      <c r="J26" s="3946"/>
      <c r="K26" s="3948"/>
      <c r="L26" s="3949"/>
      <c r="M26" s="3951"/>
      <c r="N26" s="3953"/>
      <c r="O26" s="3955"/>
      <c r="P26" s="3957"/>
      <c r="Q26" s="3884"/>
      <c r="R26" s="3965"/>
      <c r="S26" s="3969"/>
      <c r="T26" s="3884"/>
      <c r="U26" s="3948"/>
      <c r="V26" s="3968"/>
      <c r="W26" s="3904"/>
      <c r="X26" s="3923"/>
      <c r="Y26" s="3923"/>
      <c r="Z26" s="3929"/>
      <c r="AA26" s="3926"/>
      <c r="AB26" s="3816"/>
      <c r="AC26" s="3819"/>
      <c r="AD26" s="3816"/>
      <c r="AE26" s="3819"/>
      <c r="AF26" s="3816"/>
      <c r="AG26" s="3819"/>
      <c r="AH26" s="3816"/>
      <c r="AI26" s="3819"/>
      <c r="AJ26" s="3816"/>
      <c r="AK26" s="3819"/>
      <c r="AL26" s="3816"/>
      <c r="AM26" s="3819"/>
      <c r="AN26" s="3816"/>
      <c r="AO26" s="3819"/>
      <c r="AP26" s="3816"/>
      <c r="AQ26" s="3819"/>
      <c r="AR26" s="3816"/>
      <c r="AS26" s="3819"/>
      <c r="AT26" s="3816"/>
      <c r="AU26" s="3819"/>
      <c r="AV26" s="3816"/>
      <c r="AW26" s="3819"/>
      <c r="AX26" s="3816"/>
      <c r="AY26" s="3819"/>
      <c r="AZ26" s="3904"/>
      <c r="BA26" s="3826"/>
      <c r="BB26" s="3823"/>
      <c r="BC26" s="3823"/>
      <c r="BD26" s="3823"/>
      <c r="BE26" s="3824"/>
      <c r="BF26" s="3824"/>
      <c r="BG26" s="3824"/>
      <c r="BH26" s="3824"/>
      <c r="BI26" s="3824"/>
      <c r="BJ26"/>
    </row>
    <row r="27" spans="1:62" ht="13.5" customHeight="1">
      <c r="A27" s="3872"/>
      <c r="B27" s="3873"/>
      <c r="C27" s="3874"/>
      <c r="D27" s="3878"/>
      <c r="E27" s="3879"/>
      <c r="F27" s="3879"/>
      <c r="G27" s="3873"/>
      <c r="H27" s="3873"/>
      <c r="I27" s="3874"/>
      <c r="J27" s="3946"/>
      <c r="K27" s="3948"/>
      <c r="L27" s="3949"/>
      <c r="M27" s="3951"/>
      <c r="N27" s="3953"/>
      <c r="O27" s="3955"/>
      <c r="P27" s="3957"/>
      <c r="Q27" s="3884"/>
      <c r="R27" s="3965"/>
      <c r="S27" s="3969"/>
      <c r="T27" s="3884"/>
      <c r="U27" s="3948"/>
      <c r="V27" s="3968"/>
      <c r="W27" s="3904"/>
      <c r="X27" s="3923"/>
      <c r="Y27" s="3923"/>
      <c r="Z27" s="3929"/>
      <c r="AA27" s="3926"/>
      <c r="AB27" s="3816"/>
      <c r="AC27" s="3819"/>
      <c r="AD27" s="3816"/>
      <c r="AE27" s="3819"/>
      <c r="AF27" s="3816"/>
      <c r="AG27" s="3819"/>
      <c r="AH27" s="3816"/>
      <c r="AI27" s="3819"/>
      <c r="AJ27" s="3816"/>
      <c r="AK27" s="3819"/>
      <c r="AL27" s="3816"/>
      <c r="AM27" s="3819"/>
      <c r="AN27" s="3816"/>
      <c r="AO27" s="3819"/>
      <c r="AP27" s="3816"/>
      <c r="AQ27" s="3819"/>
      <c r="AR27" s="3816"/>
      <c r="AS27" s="3819"/>
      <c r="AT27" s="3816"/>
      <c r="AU27" s="3819"/>
      <c r="AV27" s="3816"/>
      <c r="AW27" s="3819"/>
      <c r="AX27" s="3816"/>
      <c r="AY27" s="3819"/>
      <c r="AZ27" s="3904"/>
      <c r="BA27" s="3826"/>
      <c r="BB27" s="3823"/>
      <c r="BC27" s="3823"/>
      <c r="BD27" s="3823"/>
      <c r="BE27" s="3824"/>
      <c r="BF27" s="3824"/>
      <c r="BG27" s="3824"/>
      <c r="BH27" s="3824"/>
      <c r="BI27" s="3824"/>
      <c r="BJ27"/>
    </row>
    <row r="28" spans="1:62" ht="11.25" customHeight="1">
      <c r="A28" s="3872"/>
      <c r="B28" s="3873"/>
      <c r="C28" s="3874"/>
      <c r="D28" s="3878"/>
      <c r="E28" s="3879"/>
      <c r="F28" s="3879"/>
      <c r="G28" s="3873"/>
      <c r="H28" s="3873"/>
      <c r="I28" s="3874"/>
      <c r="J28" s="3946"/>
      <c r="K28" s="3948"/>
      <c r="L28" s="3949"/>
      <c r="M28" s="3951"/>
      <c r="N28" s="3953"/>
      <c r="O28" s="3955"/>
      <c r="P28" s="3957"/>
      <c r="Q28" s="3884"/>
      <c r="R28" s="3965"/>
      <c r="S28" s="3969"/>
      <c r="T28" s="3884"/>
      <c r="U28" s="3948"/>
      <c r="V28" s="3968"/>
      <c r="W28" s="3904"/>
      <c r="X28" s="3923"/>
      <c r="Y28" s="3923"/>
      <c r="Z28" s="3929"/>
      <c r="AA28" s="3926"/>
      <c r="AB28" s="3816"/>
      <c r="AC28" s="3819"/>
      <c r="AD28" s="3816"/>
      <c r="AE28" s="3819"/>
      <c r="AF28" s="3816"/>
      <c r="AG28" s="3819"/>
      <c r="AH28" s="3816"/>
      <c r="AI28" s="3819"/>
      <c r="AJ28" s="3816"/>
      <c r="AK28" s="3819"/>
      <c r="AL28" s="3816"/>
      <c r="AM28" s="3819"/>
      <c r="AN28" s="3816"/>
      <c r="AO28" s="3819"/>
      <c r="AP28" s="3816"/>
      <c r="AQ28" s="3819"/>
      <c r="AR28" s="3816"/>
      <c r="AS28" s="3819"/>
      <c r="AT28" s="3816"/>
      <c r="AU28" s="3819"/>
      <c r="AV28" s="3816"/>
      <c r="AW28" s="3819"/>
      <c r="AX28" s="3816"/>
      <c r="AY28" s="3819"/>
      <c r="AZ28" s="3904"/>
      <c r="BA28" s="3826"/>
      <c r="BB28" s="3823"/>
      <c r="BC28" s="3823"/>
      <c r="BD28" s="3823"/>
      <c r="BE28" s="3824"/>
      <c r="BF28" s="3824"/>
      <c r="BG28" s="3824"/>
      <c r="BH28" s="3824"/>
      <c r="BI28" s="3824"/>
      <c r="BJ28"/>
    </row>
    <row r="29" spans="1:62" ht="13.5" customHeight="1">
      <c r="A29" s="3872"/>
      <c r="B29" s="3873"/>
      <c r="C29" s="3874"/>
      <c r="D29" s="3878"/>
      <c r="E29" s="3879"/>
      <c r="F29" s="3879"/>
      <c r="G29" s="3873"/>
      <c r="H29" s="3873"/>
      <c r="I29" s="3874"/>
      <c r="J29" s="3946"/>
      <c r="K29" s="3948"/>
      <c r="L29" s="3949"/>
      <c r="M29" s="3951"/>
      <c r="N29" s="3953"/>
      <c r="O29" s="3955"/>
      <c r="P29" s="3957"/>
      <c r="Q29" s="3884"/>
      <c r="R29" s="3965"/>
      <c r="S29" s="3969"/>
      <c r="T29" s="3884"/>
      <c r="U29" s="3948"/>
      <c r="V29" s="3968"/>
      <c r="W29" s="3904"/>
      <c r="X29" s="3923"/>
      <c r="Y29" s="3923"/>
      <c r="Z29" s="3929"/>
      <c r="AA29" s="3926"/>
      <c r="AB29" s="3816"/>
      <c r="AC29" s="3819"/>
      <c r="AD29" s="3816"/>
      <c r="AE29" s="3819"/>
      <c r="AF29" s="3816"/>
      <c r="AG29" s="3819"/>
      <c r="AH29" s="3816"/>
      <c r="AI29" s="3819"/>
      <c r="AJ29" s="3816"/>
      <c r="AK29" s="3819"/>
      <c r="AL29" s="3816"/>
      <c r="AM29" s="3819"/>
      <c r="AN29" s="3816"/>
      <c r="AO29" s="3819"/>
      <c r="AP29" s="3816"/>
      <c r="AQ29" s="3819"/>
      <c r="AR29" s="3816"/>
      <c r="AS29" s="3819"/>
      <c r="AT29" s="3816"/>
      <c r="AU29" s="3819"/>
      <c r="AV29" s="3816"/>
      <c r="AW29" s="3819"/>
      <c r="AX29" s="3816"/>
      <c r="AY29" s="3819"/>
      <c r="AZ29" s="3904"/>
      <c r="BA29" s="3826"/>
      <c r="BB29" s="3823"/>
      <c r="BC29" s="3823"/>
      <c r="BD29" s="3823"/>
      <c r="BE29" s="3824"/>
      <c r="BF29" s="3824"/>
      <c r="BG29" s="3824"/>
      <c r="BH29" s="3824"/>
      <c r="BI29" s="3824"/>
      <c r="BJ29"/>
    </row>
    <row r="30" spans="1:62" ht="14.25">
      <c r="A30" s="3872"/>
      <c r="B30" s="3873"/>
      <c r="C30" s="3874"/>
      <c r="D30" s="3878"/>
      <c r="E30" s="3879"/>
      <c r="F30" s="3879"/>
      <c r="G30" s="3873"/>
      <c r="H30" s="3873"/>
      <c r="I30" s="3874"/>
      <c r="J30" s="3946"/>
      <c r="K30" s="3948"/>
      <c r="L30" s="3949"/>
      <c r="M30" s="3951"/>
      <c r="N30" s="3953"/>
      <c r="O30" s="3955"/>
      <c r="P30" s="3957"/>
      <c r="Q30" s="3884"/>
      <c r="R30" s="3965"/>
      <c r="S30" s="3969"/>
      <c r="T30" s="3884"/>
      <c r="U30" s="3948"/>
      <c r="V30" s="3968"/>
      <c r="W30" s="3904"/>
      <c r="X30" s="3923"/>
      <c r="Y30" s="3923"/>
      <c r="Z30" s="3929"/>
      <c r="AA30" s="3926"/>
      <c r="AB30" s="3816"/>
      <c r="AC30" s="3819"/>
      <c r="AD30" s="3816"/>
      <c r="AE30" s="3819"/>
      <c r="AF30" s="3816"/>
      <c r="AG30" s="3819"/>
      <c r="AH30" s="3816"/>
      <c r="AI30" s="3819"/>
      <c r="AJ30" s="3816"/>
      <c r="AK30" s="3819"/>
      <c r="AL30" s="3816"/>
      <c r="AM30" s="3819"/>
      <c r="AN30" s="3816"/>
      <c r="AO30" s="3819"/>
      <c r="AP30" s="3816"/>
      <c r="AQ30" s="3819"/>
      <c r="AR30" s="3816"/>
      <c r="AS30" s="3819"/>
      <c r="AT30" s="3816"/>
      <c r="AU30" s="3819"/>
      <c r="AV30" s="3816"/>
      <c r="AW30" s="3819"/>
      <c r="AX30" s="3816"/>
      <c r="AY30" s="3819"/>
      <c r="AZ30" s="3904"/>
      <c r="BA30" s="3826"/>
      <c r="BB30" s="3823"/>
      <c r="BC30" s="3823"/>
      <c r="BD30" s="3823"/>
      <c r="BE30" s="3824"/>
      <c r="BF30" s="3824"/>
      <c r="BG30" s="3824"/>
      <c r="BH30" s="3824"/>
      <c r="BI30" s="3824"/>
      <c r="BJ30"/>
    </row>
    <row r="31" spans="1:62" ht="13.5" customHeight="1">
      <c r="A31" s="3872"/>
      <c r="B31" s="3873"/>
      <c r="C31" s="3874"/>
      <c r="D31" s="3878"/>
      <c r="E31" s="3879"/>
      <c r="F31" s="3879"/>
      <c r="G31" s="3873"/>
      <c r="H31" s="3873"/>
      <c r="I31" s="3874"/>
      <c r="J31" s="3946"/>
      <c r="K31" s="3948"/>
      <c r="L31" s="3949"/>
      <c r="M31" s="3951"/>
      <c r="N31" s="3954"/>
      <c r="O31" s="3955"/>
      <c r="P31" s="3957"/>
      <c r="Q31" s="3884"/>
      <c r="R31" s="3966"/>
      <c r="S31" s="3969"/>
      <c r="T31" s="3884"/>
      <c r="U31" s="3948"/>
      <c r="V31" s="3970"/>
      <c r="W31" s="3971"/>
      <c r="X31" s="3924"/>
      <c r="Y31" s="3924"/>
      <c r="Z31" s="3930"/>
      <c r="AA31" s="3926"/>
      <c r="AB31" s="3816"/>
      <c r="AC31" s="3819"/>
      <c r="AD31" s="3816"/>
      <c r="AE31" s="3819"/>
      <c r="AF31" s="3816"/>
      <c r="AG31" s="3819"/>
      <c r="AH31" s="3816"/>
      <c r="AI31" s="3819"/>
      <c r="AJ31" s="3816"/>
      <c r="AK31" s="3819"/>
      <c r="AL31" s="3816"/>
      <c r="AM31" s="3819"/>
      <c r="AN31" s="3816"/>
      <c r="AO31" s="3819"/>
      <c r="AP31" s="3816"/>
      <c r="AQ31" s="3819"/>
      <c r="AR31" s="3816"/>
      <c r="AS31" s="3819"/>
      <c r="AT31" s="3816"/>
      <c r="AU31" s="3819"/>
      <c r="AV31" s="3816"/>
      <c r="AW31" s="3819"/>
      <c r="AX31" s="3816"/>
      <c r="AY31" s="3819"/>
      <c r="AZ31" s="3904"/>
      <c r="BA31"/>
      <c r="BB31" s="3823"/>
      <c r="BC31" s="3823"/>
      <c r="BD31" s="3823"/>
      <c r="BE31" s="3824"/>
      <c r="BF31" s="3824"/>
      <c r="BG31" s="3824"/>
      <c r="BH31" s="3824"/>
      <c r="BI31" s="3824"/>
      <c r="BJ31"/>
    </row>
    <row r="32" spans="1:62" ht="13.5" customHeight="1">
      <c r="A32" s="3872"/>
      <c r="B32" s="3873"/>
      <c r="C32" s="3874"/>
      <c r="D32" s="3878"/>
      <c r="E32" s="3879"/>
      <c r="F32" s="3879"/>
      <c r="G32" s="3873"/>
      <c r="H32" s="3873"/>
      <c r="I32" s="3874"/>
      <c r="J32" s="3946">
        <v>41</v>
      </c>
      <c r="K32" s="3948" t="s">
        <v>1454</v>
      </c>
      <c r="L32" s="3949"/>
      <c r="M32" s="3960">
        <v>1</v>
      </c>
      <c r="N32" s="3972">
        <v>1</v>
      </c>
      <c r="O32" s="3955"/>
      <c r="P32" s="3957"/>
      <c r="Q32" s="3884"/>
      <c r="R32">
        <f>W32/S24</f>
        <v>0.21428571428571427</v>
      </c>
      <c r="S32" s="3969"/>
      <c r="T32" s="3884"/>
      <c r="U32" t="s">
        <v>1454</v>
      </c>
      <c r="V32" s="3967" t="s">
        <v>1455</v>
      </c>
      <c r="W32" s="3903">
        <v>7500000</v>
      </c>
      <c r="X32" s="3922">
        <v>7500000</v>
      </c>
      <c r="Y32" s="3922">
        <v>0</v>
      </c>
      <c r="Z32" s="3928">
        <v>20</v>
      </c>
      <c r="AA32" s="3926"/>
      <c r="AB32" s="3816"/>
      <c r="AC32" s="3819"/>
      <c r="AD32" s="3816"/>
      <c r="AE32" s="3819"/>
      <c r="AF32" s="3816"/>
      <c r="AG32" s="3819"/>
      <c r="AH32" s="3816"/>
      <c r="AI32" s="3819"/>
      <c r="AJ32" s="3816"/>
      <c r="AK32" s="3819"/>
      <c r="AL32" s="3816"/>
      <c r="AM32" s="3819"/>
      <c r="AN32" s="3816"/>
      <c r="AO32" s="3819"/>
      <c r="AP32" s="3816"/>
      <c r="AQ32" s="3819"/>
      <c r="AR32" s="3816"/>
      <c r="AS32" s="3819"/>
      <c r="AT32" s="3816"/>
      <c r="AU32" s="3819"/>
      <c r="AV32" s="3816"/>
      <c r="AW32" s="3819"/>
      <c r="AX32" s="3816"/>
      <c r="AY32" s="3819"/>
      <c r="AZ32" s="3925" t="s">
        <v>1458</v>
      </c>
      <c r="BA32" s="3825">
        <v>7500000</v>
      </c>
      <c r="BB32" s="3825">
        <v>0</v>
      </c>
      <c r="BC32" s="3825">
        <v>0</v>
      </c>
      <c r="BD32" s="3825" t="s">
        <v>38</v>
      </c>
      <c r="BE32" s="3827" t="s">
        <v>1437</v>
      </c>
      <c r="BF32" s="3829">
        <v>42597</v>
      </c>
      <c r="BG32" s="3821" t="s">
        <v>1439</v>
      </c>
      <c r="BH32" s="3829">
        <v>42735</v>
      </c>
      <c r="BI32" s="3821"/>
      <c r="BJ32"/>
    </row>
    <row r="33" spans="1:62" ht="13.5" customHeight="1">
      <c r="A33" s="3872"/>
      <c r="B33" s="3873"/>
      <c r="C33" s="3874"/>
      <c r="D33" s="3878"/>
      <c r="E33" s="3879"/>
      <c r="F33" s="3879"/>
      <c r="G33" s="3873"/>
      <c r="H33" s="3873"/>
      <c r="I33" s="3874"/>
      <c r="J33" s="3946"/>
      <c r="K33" s="3948"/>
      <c r="L33" s="3949"/>
      <c r="M33" s="3960"/>
      <c r="N33" s="3972"/>
      <c r="O33" s="3955"/>
      <c r="P33" s="3957"/>
      <c r="Q33" s="3884"/>
      <c r="R33"/>
      <c r="S33" s="3969"/>
      <c r="T33" s="3884"/>
      <c r="U33"/>
      <c r="V33" s="3968"/>
      <c r="W33" s="3904"/>
      <c r="X33" s="3923"/>
      <c r="Y33" s="3923"/>
      <c r="Z33" s="3929"/>
      <c r="AA33" s="3926"/>
      <c r="AB33" s="3816"/>
      <c r="AC33" s="3819"/>
      <c r="AD33" s="3816"/>
      <c r="AE33" s="3819"/>
      <c r="AF33" s="3816"/>
      <c r="AG33" s="3819"/>
      <c r="AH33" s="3816"/>
      <c r="AI33" s="3819"/>
      <c r="AJ33" s="3816"/>
      <c r="AK33" s="3819"/>
      <c r="AL33" s="3816"/>
      <c r="AM33" s="3819"/>
      <c r="AN33" s="3816"/>
      <c r="AO33" s="3819"/>
      <c r="AP33" s="3816"/>
      <c r="AQ33" s="3819"/>
      <c r="AR33" s="3816"/>
      <c r="AS33" s="3819"/>
      <c r="AT33" s="3816"/>
      <c r="AU33" s="3819"/>
      <c r="AV33" s="3816"/>
      <c r="AW33" s="3819"/>
      <c r="AX33" s="3816"/>
      <c r="AY33" s="3819"/>
      <c r="AZ33" s="3926"/>
      <c r="BA33" s="3826"/>
      <c r="BB33" s="3826"/>
      <c r="BC33" s="3826"/>
      <c r="BD33" s="3826"/>
      <c r="BE33" s="3828"/>
      <c r="BF33" s="3830"/>
      <c r="BG33" s="3822"/>
      <c r="BH33" s="3830"/>
      <c r="BI33" s="3822"/>
      <c r="BJ33"/>
    </row>
    <row r="34" spans="1:62" ht="13.5" customHeight="1">
      <c r="A34" s="3872"/>
      <c r="B34" s="3873"/>
      <c r="C34" s="3874"/>
      <c r="D34" s="3878"/>
      <c r="E34" s="3879"/>
      <c r="F34" s="3879"/>
      <c r="G34" s="3873"/>
      <c r="H34" s="3873"/>
      <c r="I34" s="3874"/>
      <c r="J34" s="3946"/>
      <c r="K34" s="3948"/>
      <c r="L34" s="3949"/>
      <c r="M34" s="3960"/>
      <c r="N34" s="3972"/>
      <c r="O34" s="3955"/>
      <c r="P34" s="3957"/>
      <c r="Q34" s="3884"/>
      <c r="R34"/>
      <c r="S34" s="3969"/>
      <c r="T34" s="3884"/>
      <c r="U34"/>
      <c r="V34" s="3968"/>
      <c r="W34" s="3904"/>
      <c r="X34" s="3923"/>
      <c r="Y34" s="3923"/>
      <c r="Z34" s="3929"/>
      <c r="AA34" s="3926"/>
      <c r="AB34" s="3816"/>
      <c r="AC34" s="3819"/>
      <c r="AD34" s="3816"/>
      <c r="AE34" s="3819"/>
      <c r="AF34" s="3816"/>
      <c r="AG34" s="3819"/>
      <c r="AH34" s="3816"/>
      <c r="AI34" s="3819"/>
      <c r="AJ34" s="3816"/>
      <c r="AK34" s="3819"/>
      <c r="AL34" s="3816"/>
      <c r="AM34" s="3819"/>
      <c r="AN34" s="3816"/>
      <c r="AO34" s="3819"/>
      <c r="AP34" s="3816"/>
      <c r="AQ34" s="3819"/>
      <c r="AR34" s="3816"/>
      <c r="AS34" s="3819"/>
      <c r="AT34" s="3816"/>
      <c r="AU34" s="3819"/>
      <c r="AV34" s="3816"/>
      <c r="AW34" s="3819"/>
      <c r="AX34" s="3816"/>
      <c r="AY34" s="3819"/>
      <c r="AZ34" s="3926"/>
      <c r="BA34" s="3826"/>
      <c r="BB34" s="3826"/>
      <c r="BC34" s="3826"/>
      <c r="BD34" s="3826"/>
      <c r="BE34" s="3828"/>
      <c r="BF34" s="3830"/>
      <c r="BG34" s="3822"/>
      <c r="BH34" s="3830"/>
      <c r="BI34" s="3822"/>
      <c r="BJ34"/>
    </row>
    <row r="35" spans="1:62" ht="13.5" customHeight="1">
      <c r="A35" s="3872"/>
      <c r="B35" s="3873"/>
      <c r="C35" s="3874"/>
      <c r="D35" s="3878"/>
      <c r="E35" s="3879"/>
      <c r="F35" s="3879"/>
      <c r="G35" s="3873"/>
      <c r="H35" s="3873"/>
      <c r="I35" s="3874"/>
      <c r="J35" s="3946"/>
      <c r="K35" s="3948"/>
      <c r="L35" s="3949"/>
      <c r="M35" s="3960"/>
      <c r="N35" s="3972"/>
      <c r="O35" s="3955"/>
      <c r="P35" s="3957"/>
      <c r="Q35" s="3884"/>
      <c r="R35"/>
      <c r="S35" s="3969"/>
      <c r="T35" s="3884"/>
      <c r="U35"/>
      <c r="V35" s="3968"/>
      <c r="W35" s="3904"/>
      <c r="X35" s="3923"/>
      <c r="Y35" s="3923"/>
      <c r="Z35" s="3929"/>
      <c r="AA35" s="3926"/>
      <c r="AB35" s="3816"/>
      <c r="AC35" s="3819"/>
      <c r="AD35" s="3816"/>
      <c r="AE35" s="3819"/>
      <c r="AF35" s="3816"/>
      <c r="AG35" s="3819"/>
      <c r="AH35" s="3816"/>
      <c r="AI35" s="3819"/>
      <c r="AJ35" s="3816"/>
      <c r="AK35" s="3819"/>
      <c r="AL35" s="3816"/>
      <c r="AM35" s="3819"/>
      <c r="AN35" s="3816"/>
      <c r="AO35" s="3819"/>
      <c r="AP35" s="3816"/>
      <c r="AQ35" s="3819"/>
      <c r="AR35" s="3816"/>
      <c r="AS35" s="3819"/>
      <c r="AT35" s="3816"/>
      <c r="AU35" s="3819"/>
      <c r="AV35" s="3816"/>
      <c r="AW35" s="3819"/>
      <c r="AX35" s="3816"/>
      <c r="AY35" s="3819"/>
      <c r="AZ35" s="3926"/>
      <c r="BA35" s="3826"/>
      <c r="BB35" s="3826"/>
      <c r="BC35" s="3826"/>
      <c r="BD35" s="3826"/>
      <c r="BE35" s="3828"/>
      <c r="BF35" s="3830"/>
      <c r="BG35" s="3822"/>
      <c r="BH35" s="3830"/>
      <c r="BI35" s="3822"/>
      <c r="BJ35"/>
    </row>
    <row r="36" spans="1:62" ht="13.5" customHeight="1">
      <c r="A36" s="3872"/>
      <c r="B36" s="3873"/>
      <c r="C36" s="3874"/>
      <c r="D36" s="3878"/>
      <c r="E36" s="3879"/>
      <c r="F36" s="3879"/>
      <c r="G36" s="3873"/>
      <c r="H36" s="3873"/>
      <c r="I36" s="3874"/>
      <c r="J36" s="3946"/>
      <c r="K36" s="3948"/>
      <c r="L36" s="3949"/>
      <c r="M36" s="3960"/>
      <c r="N36" s="3972"/>
      <c r="O36" s="3955"/>
      <c r="P36" s="3957"/>
      <c r="Q36" s="3884"/>
      <c r="R36"/>
      <c r="S36" s="3969"/>
      <c r="T36" s="3884"/>
      <c r="U36"/>
      <c r="V36" s="3968"/>
      <c r="W36" s="3904"/>
      <c r="X36" s="3923"/>
      <c r="Y36" s="3923"/>
      <c r="Z36" s="3929"/>
      <c r="AA36" s="3926"/>
      <c r="AB36" s="3816"/>
      <c r="AC36" s="3819"/>
      <c r="AD36" s="3816"/>
      <c r="AE36" s="3819"/>
      <c r="AF36" s="3816"/>
      <c r="AG36" s="3819"/>
      <c r="AH36" s="3816"/>
      <c r="AI36" s="3819"/>
      <c r="AJ36" s="3816"/>
      <c r="AK36" s="3819"/>
      <c r="AL36" s="3816"/>
      <c r="AM36" s="3819"/>
      <c r="AN36" s="3816"/>
      <c r="AO36" s="3819"/>
      <c r="AP36" s="3816"/>
      <c r="AQ36" s="3819"/>
      <c r="AR36" s="3816"/>
      <c r="AS36" s="3819"/>
      <c r="AT36" s="3816"/>
      <c r="AU36" s="3819"/>
      <c r="AV36" s="3816"/>
      <c r="AW36" s="3819"/>
      <c r="AX36" s="3816"/>
      <c r="AY36" s="3819"/>
      <c r="AZ36" s="3926"/>
      <c r="BA36" s="3826"/>
      <c r="BB36" s="3826"/>
      <c r="BC36" s="3826"/>
      <c r="BD36" s="3826"/>
      <c r="BE36" s="3828"/>
      <c r="BF36" s="3830"/>
      <c r="BG36" s="3822"/>
      <c r="BH36" s="3830"/>
      <c r="BI36" s="3822"/>
      <c r="BJ36"/>
    </row>
    <row r="37" spans="1:62" ht="13.5" customHeight="1">
      <c r="A37" s="3872"/>
      <c r="B37" s="3873"/>
      <c r="C37" s="3874"/>
      <c r="D37" s="3878"/>
      <c r="E37" s="3879"/>
      <c r="F37" s="3879"/>
      <c r="G37" s="3873"/>
      <c r="H37" s="3873"/>
      <c r="I37" s="3874"/>
      <c r="J37" s="3946"/>
      <c r="K37" s="3948"/>
      <c r="L37" s="3949"/>
      <c r="M37" s="3960"/>
      <c r="N37" s="3972"/>
      <c r="O37" s="3955"/>
      <c r="P37" s="3957"/>
      <c r="Q37" s="3884"/>
      <c r="R37"/>
      <c r="S37" s="3969"/>
      <c r="T37" s="3884"/>
      <c r="U37"/>
      <c r="V37" s="3968"/>
      <c r="W37" s="3904"/>
      <c r="X37" s="3923"/>
      <c r="Y37" s="3923"/>
      <c r="Z37" s="3929"/>
      <c r="AA37" s="3926"/>
      <c r="AB37" s="3816"/>
      <c r="AC37" s="3819"/>
      <c r="AD37" s="3816"/>
      <c r="AE37" s="3819"/>
      <c r="AF37" s="3816"/>
      <c r="AG37" s="3819"/>
      <c r="AH37" s="3816"/>
      <c r="AI37" s="3819"/>
      <c r="AJ37" s="3816"/>
      <c r="AK37" s="3819"/>
      <c r="AL37" s="3816"/>
      <c r="AM37" s="3819"/>
      <c r="AN37" s="3816"/>
      <c r="AO37" s="3819"/>
      <c r="AP37" s="3816"/>
      <c r="AQ37" s="3819"/>
      <c r="AR37" s="3816"/>
      <c r="AS37" s="3819"/>
      <c r="AT37" s="3816"/>
      <c r="AU37" s="3819"/>
      <c r="AV37" s="3816"/>
      <c r="AW37" s="3819"/>
      <c r="AX37" s="3816"/>
      <c r="AY37" s="3819"/>
      <c r="AZ37" s="3926"/>
      <c r="BA37" s="3826"/>
      <c r="BB37" s="3826"/>
      <c r="BC37" s="3826"/>
      <c r="BD37" s="3826"/>
      <c r="BE37" s="3828"/>
      <c r="BF37" s="3830"/>
      <c r="BG37" s="3822"/>
      <c r="BH37" s="3830"/>
      <c r="BI37" s="3822"/>
      <c r="BJ37"/>
    </row>
    <row r="38" spans="1:62" ht="14.25">
      <c r="A38" s="3872"/>
      <c r="B38" s="3873"/>
      <c r="C38" s="3874"/>
      <c r="D38" s="3878"/>
      <c r="E38" s="3879"/>
      <c r="F38" s="3879"/>
      <c r="G38" s="3873"/>
      <c r="H38" s="3873"/>
      <c r="I38" s="3874"/>
      <c r="J38" s="3946"/>
      <c r="K38" s="3948"/>
      <c r="L38" s="3949"/>
      <c r="M38" s="3960"/>
      <c r="N38" s="3972"/>
      <c r="O38" s="3955"/>
      <c r="P38" s="3957"/>
      <c r="Q38" s="3884"/>
      <c r="R38"/>
      <c r="S38" s="3969"/>
      <c r="T38" s="3884"/>
      <c r="U38"/>
      <c r="V38" s="3968"/>
      <c r="W38" s="3904"/>
      <c r="X38" s="3923"/>
      <c r="Y38" s="3923"/>
      <c r="Z38" s="3929"/>
      <c r="AA38" s="3926"/>
      <c r="AB38" s="3816"/>
      <c r="AC38" s="3819"/>
      <c r="AD38" s="3816"/>
      <c r="AE38" s="3819"/>
      <c r="AF38" s="3816"/>
      <c r="AG38" s="3819"/>
      <c r="AH38" s="3816"/>
      <c r="AI38" s="3819"/>
      <c r="AJ38" s="3816"/>
      <c r="AK38" s="3819"/>
      <c r="AL38" s="3816"/>
      <c r="AM38" s="3819"/>
      <c r="AN38" s="3816"/>
      <c r="AO38" s="3819"/>
      <c r="AP38" s="3816"/>
      <c r="AQ38" s="3819"/>
      <c r="AR38" s="3816"/>
      <c r="AS38" s="3819"/>
      <c r="AT38" s="3816"/>
      <c r="AU38" s="3819"/>
      <c r="AV38" s="3816"/>
      <c r="AW38" s="3819"/>
      <c r="AX38" s="3816"/>
      <c r="AY38" s="3819"/>
      <c r="AZ38" s="3926"/>
      <c r="BA38" s="3826"/>
      <c r="BB38" s="3826"/>
      <c r="BC38" s="3826"/>
      <c r="BD38" s="3826"/>
      <c r="BE38" s="3828"/>
      <c r="BF38" s="3830"/>
      <c r="BG38" s="3822"/>
      <c r="BH38" s="3830"/>
      <c r="BI38" s="3822"/>
      <c r="BJ38"/>
    </row>
    <row r="39" spans="1:62" ht="14.25">
      <c r="A39" s="3872"/>
      <c r="B39" s="3873"/>
      <c r="C39" s="3874"/>
      <c r="D39" s="3878"/>
      <c r="E39" s="3879"/>
      <c r="F39" s="3879"/>
      <c r="G39" s="3873"/>
      <c r="H39" s="3873"/>
      <c r="I39" s="3874"/>
      <c r="J39" s="3946"/>
      <c r="K39" s="3948"/>
      <c r="L39" s="3949"/>
      <c r="M39" s="3960"/>
      <c r="N39" s="3972"/>
      <c r="O39" s="3955"/>
      <c r="P39" s="3957"/>
      <c r="Q39" s="3884"/>
      <c r="R39"/>
      <c r="S39" s="3969"/>
      <c r="T39" s="3884"/>
      <c r="U39"/>
      <c r="V39" s="3970"/>
      <c r="W39" s="3971"/>
      <c r="X39" s="3924"/>
      <c r="Y39" s="3924"/>
      <c r="Z39" s="3930"/>
      <c r="AA39" s="3926"/>
      <c r="AB39" s="3816"/>
      <c r="AC39" s="3819"/>
      <c r="AD39" s="3816"/>
      <c r="AE39" s="3819"/>
      <c r="AF39" s="3816"/>
      <c r="AG39" s="3819"/>
      <c r="AH39" s="3816"/>
      <c r="AI39" s="3819"/>
      <c r="AJ39" s="3816"/>
      <c r="AK39" s="3819"/>
      <c r="AL39" s="3816"/>
      <c r="AM39" s="3819"/>
      <c r="AN39" s="3816"/>
      <c r="AO39" s="3819"/>
      <c r="AP39" s="3816"/>
      <c r="AQ39" s="3819"/>
      <c r="AR39" s="3816"/>
      <c r="AS39" s="3819"/>
      <c r="AT39" s="3816"/>
      <c r="AU39" s="3819"/>
      <c r="AV39" s="3816"/>
      <c r="AW39" s="3819"/>
      <c r="AX39" s="3816"/>
      <c r="AY39" s="3819"/>
      <c r="AZ39" s="3926"/>
      <c r="BA39" s="3826"/>
      <c r="BB39" s="3826"/>
      <c r="BC39" s="3826"/>
      <c r="BD39" s="3826"/>
      <c r="BE39" s="3828"/>
      <c r="BF39" s="3830"/>
      <c r="BG39" s="3822"/>
      <c r="BH39" s="3830"/>
      <c r="BI39" s="3822"/>
      <c r="BJ39"/>
    </row>
    <row r="40" spans="1:62" ht="13.5" customHeight="1">
      <c r="A40" s="3872"/>
      <c r="B40" s="3873"/>
      <c r="C40" s="3874"/>
      <c r="D40" s="3878"/>
      <c r="E40" s="3879"/>
      <c r="F40" s="3879"/>
      <c r="G40" s="3873"/>
      <c r="H40" s="3873"/>
      <c r="I40" s="3874"/>
      <c r="J40" s="3960">
        <v>42</v>
      </c>
      <c r="K40" s="3884" t="s">
        <v>1456</v>
      </c>
      <c r="L40" s="3949"/>
      <c r="M40" s="3960">
        <v>1</v>
      </c>
      <c r="N40" s="3952">
        <v>1</v>
      </c>
      <c r="O40" s="3955"/>
      <c r="P40" s="3957"/>
      <c r="Q40" s="3884"/>
      <c r="R40" s="3964">
        <f>W40/S24</f>
        <v>0.21428571428571427</v>
      </c>
      <c r="S40" s="3969"/>
      <c r="T40" s="3884"/>
      <c r="U40" s="3884" t="s">
        <v>1456</v>
      </c>
      <c r="V40" s="3967" t="s">
        <v>1457</v>
      </c>
      <c r="W40" s="3903">
        <v>7500000</v>
      </c>
      <c r="X40" s="3922">
        <v>5250000</v>
      </c>
      <c r="Y40" s="3922">
        <v>5250000</v>
      </c>
      <c r="Z40" s="3928">
        <v>20</v>
      </c>
      <c r="AA40" s="3926"/>
      <c r="AB40" s="3816"/>
      <c r="AC40" s="3819"/>
      <c r="AD40" s="3816" t="s">
        <v>1431</v>
      </c>
      <c r="AE40" s="3819"/>
      <c r="AF40" s="3816" t="s">
        <v>1432</v>
      </c>
      <c r="AG40" s="3819"/>
      <c r="AH40" s="3816" t="s">
        <v>1433</v>
      </c>
      <c r="AI40" s="3819"/>
      <c r="AJ40" s="3816" t="s">
        <v>1434</v>
      </c>
      <c r="AK40" s="3819"/>
      <c r="AL40" s="3816" t="s">
        <v>1435</v>
      </c>
      <c r="AM40" s="3819"/>
      <c r="AN40" s="3816">
        <v>13208</v>
      </c>
      <c r="AO40" s="3819"/>
      <c r="AP40" s="3816">
        <v>1827</v>
      </c>
      <c r="AQ40" s="3819"/>
      <c r="AR40" s="3816"/>
      <c r="AS40" s="3819"/>
      <c r="AT40" s="3816"/>
      <c r="AU40" s="3819"/>
      <c r="AV40" s="3816">
        <v>16897</v>
      </c>
      <c r="AW40" s="3819"/>
      <c r="AX40" s="3816">
        <v>81384</v>
      </c>
      <c r="AY40" s="3819"/>
      <c r="AZ40" s="3920" t="s">
        <v>1459</v>
      </c>
      <c r="BA40" s="3811">
        <v>5250000</v>
      </c>
      <c r="BB40" s="3811">
        <v>5250000</v>
      </c>
      <c r="BC40" s="3812">
        <f>+BB40/BA40</f>
        <v>1</v>
      </c>
      <c r="BD40" s="3813" t="s">
        <v>38</v>
      </c>
      <c r="BE40" s="3814" t="s">
        <v>1437</v>
      </c>
      <c r="BF40" s="3810">
        <v>42697</v>
      </c>
      <c r="BG40" s="3809">
        <v>42697</v>
      </c>
      <c r="BH40" s="3810">
        <v>42733</v>
      </c>
      <c r="BI40" s="3809">
        <v>42733</v>
      </c>
      <c r="BJ40"/>
    </row>
    <row r="41" spans="1:62" ht="13.5" customHeight="1">
      <c r="A41" s="3872"/>
      <c r="B41" s="3873"/>
      <c r="C41" s="3874"/>
      <c r="D41" s="3878"/>
      <c r="E41" s="3879"/>
      <c r="F41" s="3879"/>
      <c r="G41" s="3873"/>
      <c r="H41" s="3873"/>
      <c r="I41" s="3874"/>
      <c r="J41" s="3960"/>
      <c r="K41" s="3884"/>
      <c r="L41" s="3949"/>
      <c r="M41" s="3960"/>
      <c r="N41" s="3953"/>
      <c r="O41" s="3955"/>
      <c r="P41" s="3957"/>
      <c r="Q41" s="3884"/>
      <c r="R41" s="3965"/>
      <c r="S41" s="3969"/>
      <c r="T41" s="3884"/>
      <c r="U41" s="3884"/>
      <c r="V41" s="3968"/>
      <c r="W41" s="3904"/>
      <c r="X41" s="3923"/>
      <c r="Y41" s="3923"/>
      <c r="Z41" s="3929"/>
      <c r="AA41" s="3926"/>
      <c r="AB41" s="3816"/>
      <c r="AC41" s="3819"/>
      <c r="AD41" s="3816"/>
      <c r="AE41" s="3819"/>
      <c r="AF41" s="3816"/>
      <c r="AG41" s="3819"/>
      <c r="AH41" s="3816"/>
      <c r="AI41" s="3819"/>
      <c r="AJ41" s="3816"/>
      <c r="AK41" s="3819"/>
      <c r="AL41" s="3816"/>
      <c r="AM41" s="3819"/>
      <c r="AN41" s="3816"/>
      <c r="AO41" s="3819"/>
      <c r="AP41" s="3816"/>
      <c r="AQ41" s="3819"/>
      <c r="AR41" s="3816"/>
      <c r="AS41" s="3819"/>
      <c r="AT41" s="3816"/>
      <c r="AU41" s="3819"/>
      <c r="AV41" s="3816"/>
      <c r="AW41" s="3819"/>
      <c r="AX41" s="3816"/>
      <c r="AY41" s="3819"/>
      <c r="AZ41" s="3920"/>
      <c r="BA41" s="3811"/>
      <c r="BB41" s="3811"/>
      <c r="BC41" s="3812"/>
      <c r="BD41" s="3813"/>
      <c r="BE41" s="3814"/>
      <c r="BF41" s="3810"/>
      <c r="BG41" s="3809"/>
      <c r="BH41" s="3810"/>
      <c r="BI41" s="3809"/>
      <c r="BJ41"/>
    </row>
    <row r="42" spans="1:62" ht="36.75" customHeight="1">
      <c r="A42" s="3872"/>
      <c r="B42" s="3873"/>
      <c r="C42" s="3874"/>
      <c r="D42" s="3878"/>
      <c r="E42" s="3879"/>
      <c r="F42" s="3879"/>
      <c r="G42" s="3873"/>
      <c r="H42" s="3873"/>
      <c r="I42" s="3874"/>
      <c r="J42" s="3960"/>
      <c r="K42" s="3884"/>
      <c r="L42" s="3949"/>
      <c r="M42" s="3960"/>
      <c r="N42" s="3953"/>
      <c r="O42" s="3955"/>
      <c r="P42" s="3957"/>
      <c r="Q42" s="3884"/>
      <c r="R42" s="3965"/>
      <c r="S42" s="3969"/>
      <c r="T42" s="3884"/>
      <c r="U42" s="3884"/>
      <c r="V42" s="3968"/>
      <c r="W42" s="3904"/>
      <c r="X42" s="3923"/>
      <c r="Y42" s="3923"/>
      <c r="Z42" s="3929"/>
      <c r="AA42" s="3926"/>
      <c r="AB42" s="3816"/>
      <c r="AC42" s="3819"/>
      <c r="AD42" s="3816"/>
      <c r="AE42" s="3819"/>
      <c r="AF42" s="3816"/>
      <c r="AG42" s="3819"/>
      <c r="AH42" s="3816"/>
      <c r="AI42" s="3819"/>
      <c r="AJ42" s="3816"/>
      <c r="AK42" s="3819"/>
      <c r="AL42" s="3816"/>
      <c r="AM42" s="3819"/>
      <c r="AN42" s="3816"/>
      <c r="AO42" s="3819"/>
      <c r="AP42" s="3816"/>
      <c r="AQ42" s="3819"/>
      <c r="AR42" s="3816"/>
      <c r="AS42" s="3819"/>
      <c r="AT42" s="3816"/>
      <c r="AU42" s="3819"/>
      <c r="AV42" s="3816"/>
      <c r="AW42" s="3819"/>
      <c r="AX42" s="3816"/>
      <c r="AY42" s="3819"/>
      <c r="AZ42" s="3920"/>
      <c r="BA42" s="3811"/>
      <c r="BB42" s="3811"/>
      <c r="BC42" s="3812"/>
      <c r="BD42" s="3813"/>
      <c r="BE42" s="3814"/>
      <c r="BF42" s="3810"/>
      <c r="BG42" s="3809"/>
      <c r="BH42" s="3810"/>
      <c r="BI42" s="3809"/>
      <c r="BJ42"/>
    </row>
    <row r="43" spans="1:62" ht="35.25" customHeight="1">
      <c r="A43" s="3872"/>
      <c r="B43" s="3873"/>
      <c r="C43" s="3874"/>
      <c r="D43" s="3878"/>
      <c r="E43" s="3879"/>
      <c r="F43" s="3879"/>
      <c r="G43" s="3873"/>
      <c r="H43" s="3873"/>
      <c r="I43" s="3874"/>
      <c r="J43" s="3960"/>
      <c r="K43" s="3884"/>
      <c r="L43" s="3949"/>
      <c r="M43" s="3960"/>
      <c r="N43" s="3953"/>
      <c r="O43" s="3955"/>
      <c r="P43" s="3957"/>
      <c r="Q43" s="3884"/>
      <c r="R43" s="3965"/>
      <c r="S43" s="3969"/>
      <c r="T43" s="3884"/>
      <c r="U43" s="3884"/>
      <c r="V43" s="3968"/>
      <c r="W43" s="3904"/>
      <c r="X43" s="3923"/>
      <c r="Y43" s="3923"/>
      <c r="Z43" s="3929"/>
      <c r="AA43" s="3926"/>
      <c r="AB43" s="3816"/>
      <c r="AC43" s="3819"/>
      <c r="AD43" s="3816"/>
      <c r="AE43" s="3819"/>
      <c r="AF43" s="3816"/>
      <c r="AG43" s="3819"/>
      <c r="AH43" s="3816"/>
      <c r="AI43" s="3819"/>
      <c r="AJ43" s="3816"/>
      <c r="AK43" s="3819"/>
      <c r="AL43" s="3816"/>
      <c r="AM43" s="3819"/>
      <c r="AN43" s="3816"/>
      <c r="AO43" s="3819"/>
      <c r="AP43" s="3816"/>
      <c r="AQ43" s="3819"/>
      <c r="AR43" s="3816"/>
      <c r="AS43" s="3819"/>
      <c r="AT43" s="3816"/>
      <c r="AU43" s="3819"/>
      <c r="AV43" s="3816"/>
      <c r="AW43" s="3819"/>
      <c r="AX43" s="3816"/>
      <c r="AY43" s="3819"/>
      <c r="AZ43" s="3920"/>
      <c r="BA43" s="3811"/>
      <c r="BB43" s="3811"/>
      <c r="BC43" s="3812"/>
      <c r="BD43" s="3813"/>
      <c r="BE43" s="3814"/>
      <c r="BF43" s="3810"/>
      <c r="BG43" s="3809"/>
      <c r="BH43" s="3810"/>
      <c r="BI43" s="3809"/>
      <c r="BJ43"/>
    </row>
    <row r="44" spans="1:62" ht="13.5" customHeight="1">
      <c r="A44" s="3872"/>
      <c r="B44" s="3873"/>
      <c r="C44" s="3874"/>
      <c r="D44" s="3878"/>
      <c r="E44" s="3879"/>
      <c r="F44" s="3879"/>
      <c r="G44" s="3873"/>
      <c r="H44" s="3873"/>
      <c r="I44" s="3874"/>
      <c r="J44" s="3960"/>
      <c r="K44" s="3884"/>
      <c r="L44" s="3949"/>
      <c r="M44" s="3960"/>
      <c r="N44" s="3953"/>
      <c r="O44" s="3955"/>
      <c r="P44" s="3957"/>
      <c r="Q44" s="3884"/>
      <c r="R44" s="3965"/>
      <c r="S44" s="3969"/>
      <c r="T44" s="3884"/>
      <c r="U44" s="3884"/>
      <c r="V44" s="3968"/>
      <c r="W44" s="3904"/>
      <c r="X44" s="3923"/>
      <c r="Y44" s="3923"/>
      <c r="Z44" s="3929"/>
      <c r="AA44" s="3926"/>
      <c r="AB44" s="3816"/>
      <c r="AC44" s="3819"/>
      <c r="AD44" s="3816"/>
      <c r="AE44" s="3819"/>
      <c r="AF44" s="3816"/>
      <c r="AG44" s="3819"/>
      <c r="AH44" s="3816"/>
      <c r="AI44" s="3819"/>
      <c r="AJ44" s="3816"/>
      <c r="AK44" s="3819"/>
      <c r="AL44" s="3816"/>
      <c r="AM44" s="3819"/>
      <c r="AN44" s="3816"/>
      <c r="AO44" s="3819"/>
      <c r="AP44" s="3816"/>
      <c r="AQ44" s="3819"/>
      <c r="AR44" s="3816"/>
      <c r="AS44" s="3819"/>
      <c r="AT44" s="3816"/>
      <c r="AU44" s="3819"/>
      <c r="AV44" s="3816"/>
      <c r="AW44" s="3819"/>
      <c r="AX44" s="3816"/>
      <c r="AY44" s="3819"/>
      <c r="AZ44" s="3920"/>
      <c r="BA44" s="3811"/>
      <c r="BB44" s="3811"/>
      <c r="BC44" s="3812"/>
      <c r="BD44" s="3813"/>
      <c r="BE44" s="3814"/>
      <c r="BF44" s="3810"/>
      <c r="BG44" s="3809"/>
      <c r="BH44" s="3810"/>
      <c r="BI44" s="3809"/>
      <c r="BJ44"/>
    </row>
    <row r="45" spans="1:62" ht="26.25" customHeight="1">
      <c r="A45" s="3872"/>
      <c r="B45" s="3873"/>
      <c r="C45" s="3874"/>
      <c r="D45" s="3878"/>
      <c r="E45" s="3879"/>
      <c r="F45" s="3879"/>
      <c r="G45" s="3873"/>
      <c r="H45" s="3873"/>
      <c r="I45" s="3874"/>
      <c r="J45" s="3961"/>
      <c r="K45" s="3959"/>
      <c r="L45" s="3949"/>
      <c r="M45" s="3961"/>
      <c r="N45" s="3954"/>
      <c r="O45" s="3956"/>
      <c r="P45" s="1421"/>
      <c r="Q45" s="3959"/>
      <c r="R45" s="3966"/>
      <c r="S45" s="3969"/>
      <c r="T45" s="3959"/>
      <c r="U45" s="3959"/>
      <c r="V45" s="3968"/>
      <c r="W45" s="3904"/>
      <c r="X45" s="3924"/>
      <c r="Y45" s="3924"/>
      <c r="Z45" s="3930"/>
      <c r="AA45" s="3927"/>
      <c r="AB45" s="3817"/>
      <c r="AC45" s="3820"/>
      <c r="AD45" s="3817"/>
      <c r="AE45" s="3820"/>
      <c r="AF45" s="3817"/>
      <c r="AG45" s="3820"/>
      <c r="AH45" s="3817"/>
      <c r="AI45" s="3820"/>
      <c r="AJ45" s="3817"/>
      <c r="AK45" s="3820"/>
      <c r="AL45" s="3817"/>
      <c r="AM45" s="3820"/>
      <c r="AN45" s="3817"/>
      <c r="AO45" s="3820"/>
      <c r="AP45" s="3817"/>
      <c r="AQ45" s="3820"/>
      <c r="AR45" s="3817"/>
      <c r="AS45" s="3820"/>
      <c r="AT45" s="3817"/>
      <c r="AU45" s="3820"/>
      <c r="AV45" s="3817"/>
      <c r="AW45" s="3820"/>
      <c r="AX45" s="3817"/>
      <c r="AY45" s="3820"/>
      <c r="AZ45" s="3920"/>
      <c r="BA45" s="3811"/>
      <c r="BB45" s="3811"/>
      <c r="BC45" s="3812"/>
      <c r="BD45" s="3813"/>
      <c r="BE45" s="3814"/>
      <c r="BF45" s="3810"/>
      <c r="BG45" s="3809"/>
      <c r="BH45" s="3810"/>
      <c r="BI45" s="3809"/>
      <c r="BJ45"/>
    </row>
    <row r="46" spans="1:62" ht="14.25" customHeight="1">
      <c r="A46" s="3872"/>
      <c r="B46" s="3873"/>
      <c r="C46" s="3874"/>
      <c r="D46" s="3878"/>
      <c r="E46" s="3879"/>
      <c r="F46" s="3879"/>
      <c r="G46" s="3962">
        <v>9</v>
      </c>
      <c r="H46" s="1415" t="s">
        <v>1460</v>
      </c>
      <c r="I46" s="1422"/>
      <c r="J46" s="1422"/>
      <c r="K46" s="1422"/>
      <c r="L46" s="1422"/>
      <c r="M46" s="1422"/>
      <c r="N46" s="1423"/>
      <c r="O46" s="1422"/>
      <c r="P46" s="1422"/>
      <c r="Q46" s="1422"/>
      <c r="R46" s="1422"/>
      <c r="S46" s="1422"/>
      <c r="T46" s="1422"/>
      <c r="U46" s="1422"/>
      <c r="V46" s="1422"/>
      <c r="W46" s="1422"/>
      <c r="X46" s="1423"/>
      <c r="Y46" s="1423"/>
      <c r="Z46" s="1422"/>
      <c r="AA46" s="1422"/>
      <c r="AB46" s="1422"/>
      <c r="AC46" s="1423"/>
      <c r="AD46" s="1422"/>
      <c r="AE46" s="1423"/>
      <c r="AF46" s="1422"/>
      <c r="AG46" s="1423"/>
      <c r="AH46" s="1422"/>
      <c r="AI46" s="1423"/>
      <c r="AJ46" s="1422"/>
      <c r="AK46" s="1423"/>
      <c r="AL46" s="1422"/>
      <c r="AM46" s="1423"/>
      <c r="AN46" s="1422"/>
      <c r="AO46" s="1423"/>
      <c r="AP46" s="1422"/>
      <c r="AQ46" s="1423"/>
      <c r="AR46" s="1422"/>
      <c r="AS46" s="1423"/>
      <c r="AT46" s="1422"/>
      <c r="AU46" s="1423"/>
      <c r="AV46" s="1422"/>
      <c r="AW46" s="1423"/>
      <c r="AX46" s="1422"/>
      <c r="AY46" s="1423"/>
      <c r="AZ46" s="1422"/>
      <c r="BA46" s="1424"/>
      <c r="BB46" s="1422"/>
      <c r="BC46" s="1422"/>
      <c r="BD46" s="1425"/>
      <c r="BE46" s="1425"/>
      <c r="BF46" s="1425"/>
      <c r="BG46" s="1423"/>
      <c r="BH46" s="1422"/>
      <c r="BI46" s="1423"/>
      <c r="BJ46"/>
    </row>
    <row r="47" spans="1:62" ht="14.25" customHeight="1">
      <c r="A47" s="3872"/>
      <c r="B47" s="3873"/>
      <c r="C47" s="3874"/>
      <c r="D47" s="3878"/>
      <c r="E47" s="3879"/>
      <c r="F47" s="3879"/>
      <c r="G47" s="3963"/>
      <c r="H47" s="1426"/>
      <c r="I47" s="1427"/>
      <c r="J47" s="1427"/>
      <c r="K47" s="1427"/>
      <c r="L47" s="1427"/>
      <c r="M47" s="1427"/>
      <c r="N47" s="1428"/>
      <c r="O47" s="1427"/>
      <c r="P47" s="1427"/>
      <c r="Q47" s="1427"/>
      <c r="R47" s="1427"/>
      <c r="S47" s="1427"/>
      <c r="T47" s="1427"/>
      <c r="U47" s="1427"/>
      <c r="V47" s="1427"/>
      <c r="W47" s="1427"/>
      <c r="X47" s="1428"/>
      <c r="Y47" s="1428"/>
      <c r="Z47" s="1427"/>
      <c r="AA47" s="1427"/>
      <c r="AB47" s="1427"/>
      <c r="AC47" s="1428"/>
      <c r="AD47" s="1427"/>
      <c r="AE47" s="1428"/>
      <c r="AF47" s="1427"/>
      <c r="AG47" s="1428"/>
      <c r="AH47" s="1427"/>
      <c r="AI47" s="1428"/>
      <c r="AJ47" s="1427"/>
      <c r="AK47" s="1428"/>
      <c r="AL47" s="1427"/>
      <c r="AM47" s="1428"/>
      <c r="AN47" s="1427"/>
      <c r="AO47" s="1428"/>
      <c r="AP47" s="1427"/>
      <c r="AQ47" s="1428"/>
      <c r="AR47" s="1427"/>
      <c r="AS47" s="1428"/>
      <c r="AT47" s="1427"/>
      <c r="AU47" s="1428"/>
      <c r="AV47" s="1427"/>
      <c r="AW47" s="1428"/>
      <c r="AX47" s="1427"/>
      <c r="AY47" s="1428"/>
      <c r="AZ47" s="1427"/>
      <c r="BA47" s="1429"/>
      <c r="BB47" s="1427"/>
      <c r="BC47" s="1427"/>
      <c r="BD47" s="1430"/>
      <c r="BE47" s="1430"/>
      <c r="BF47" s="1430"/>
      <c r="BG47" s="1428"/>
      <c r="BH47" s="1427"/>
      <c r="BI47" s="1428"/>
      <c r="BJ47"/>
    </row>
    <row r="48" spans="1:62" ht="57">
      <c r="A48" s="3872"/>
      <c r="B48" s="3873"/>
      <c r="C48" s="3874"/>
      <c r="D48" s="3878"/>
      <c r="E48" s="3879"/>
      <c r="F48" s="3879"/>
      <c r="G48"/>
      <c r="H48"/>
      <c r="I48"/>
      <c r="J48" s="1431">
        <v>43</v>
      </c>
      <c r="K48" s="1432" t="s">
        <v>1461</v>
      </c>
      <c r="L48" s="3949" t="s">
        <v>37</v>
      </c>
      <c r="M48" s="1433">
        <v>3</v>
      </c>
      <c r="N48" s="1434">
        <v>3</v>
      </c>
      <c r="O48" s="3881" t="s">
        <v>1462</v>
      </c>
      <c r="P48">
        <v>53</v>
      </c>
      <c r="Q48" t="s">
        <v>1463</v>
      </c>
      <c r="R48" s="1435">
        <f>W48/S48</f>
        <v>0.2403954802259887</v>
      </c>
      <c r="S48" s="3969">
        <v>177000000</v>
      </c>
      <c r="T48" s="3968" t="s">
        <v>1464</v>
      </c>
      <c r="U48" s="3881" t="s">
        <v>1465</v>
      </c>
      <c r="V48" s="1436" t="s">
        <v>1466</v>
      </c>
      <c r="W48" s="1437">
        <v>42550000</v>
      </c>
      <c r="X48" s="2329">
        <v>38170000</v>
      </c>
      <c r="Y48" s="2329">
        <v>38170000</v>
      </c>
      <c r="Z48">
        <v>20</v>
      </c>
      <c r="AA48" s="3956" t="s">
        <v>232</v>
      </c>
      <c r="AB48" s="3799">
        <v>64149</v>
      </c>
      <c r="AC48" s="3796">
        <f>+AB48/($W$48+$W$49+$W$52+$W$54)*($Y$48+$Y$49+$Y$52+$Y$54)</f>
        <v>62561.58406779661</v>
      </c>
      <c r="AD48" s="3799" t="s">
        <v>1431</v>
      </c>
      <c r="AE48" s="3796">
        <f>+AD48/($W$48+$W$49+$W$52+$W$54)*($Y$48+$Y$49+$Y$52+$Y$54)</f>
        <v>70436.76203389831</v>
      </c>
      <c r="AF48" s="3799" t="s">
        <v>1432</v>
      </c>
      <c r="AG48" s="3796">
        <f>+AF48/($W$48+$W$49+$W$52+$W$54)*($Y$48+$Y$49+$Y$52+$Y$54)</f>
        <v>26797.060677966103</v>
      </c>
      <c r="AH48" s="3799" t="s">
        <v>1433</v>
      </c>
      <c r="AI48" s="3796">
        <f>+AH48/($W$48+$W$49+$W$52+$W$54)*($Y$48+$Y$49+$Y$52+$Y$54)</f>
        <v>84694.00372881355</v>
      </c>
      <c r="AJ48" s="3799" t="s">
        <v>1434</v>
      </c>
      <c r="AK48" s="3796">
        <f>+AJ48/($W$48+$W$49+$W$52+$W$54)*($Y$48+$Y$49+$Y$52+$Y$54)</f>
        <v>230578.3840677966</v>
      </c>
      <c r="AL48" s="3799" t="s">
        <v>1435</v>
      </c>
      <c r="AM48" s="3796">
        <f>+AL48/($W$48+$W$49+$W$52+$W$54)*($Y$48+$Y$49+$Y$52+$Y$54)</f>
        <v>79370.09084745763</v>
      </c>
      <c r="AN48" s="3799">
        <v>13208</v>
      </c>
      <c r="AO48" s="3796">
        <f>+AN48/($W$48+$W$49+$W$52+$W$54)*($Y$48+$Y$49+$Y$52+$Y$54)</f>
        <v>12881.157966101695</v>
      </c>
      <c r="AP48" s="3799">
        <v>1827</v>
      </c>
      <c r="AQ48" s="3796">
        <f>+AP48/($W$48+$W$49+$W$52+$W$54)*($Y$48+$Y$49+$Y$52+$Y$54)</f>
        <v>1781.789491525424</v>
      </c>
      <c r="AR48" s="3799"/>
      <c r="AS48" s="3796"/>
      <c r="AT48" s="3799"/>
      <c r="AU48" s="3796"/>
      <c r="AV48" s="3799">
        <v>16897</v>
      </c>
      <c r="AW48" s="3796">
        <f>+AV48/($W$48+$W$49+$W$52+$W$54)*($Y$48+$Y$49+$Y$52+$Y$54)</f>
        <v>16478.870847457627</v>
      </c>
      <c r="AX48" s="3799">
        <v>81384</v>
      </c>
      <c r="AY48" s="3796">
        <f>+AX48/($W$48+$W$49+$W$52+$W$54)*($Y$48+$Y$49+$Y$52+$Y$54)</f>
        <v>79370.09084745763</v>
      </c>
      <c r="AZ48" s="1438" t="s">
        <v>1467</v>
      </c>
      <c r="BA48" s="1439">
        <v>5000000</v>
      </c>
      <c r="BB48" s="1440">
        <v>5000000</v>
      </c>
      <c r="BC48" s="1441">
        <v>100</v>
      </c>
      <c r="BD48" s="1438" t="s">
        <v>38</v>
      </c>
      <c r="BE48" s="1442" t="s">
        <v>1468</v>
      </c>
      <c r="BF48" s="1443">
        <v>42597</v>
      </c>
      <c r="BG48" s="1444">
        <v>42614</v>
      </c>
      <c r="BH48" s="1443">
        <v>42735</v>
      </c>
      <c r="BI48" s="1444">
        <v>42673</v>
      </c>
      <c r="BJ48" t="s">
        <v>1441</v>
      </c>
    </row>
    <row r="49" spans="1:62" ht="57">
      <c r="A49" s="3872"/>
      <c r="B49" s="3873"/>
      <c r="C49" s="3874"/>
      <c r="D49" s="3878"/>
      <c r="E49" s="3879"/>
      <c r="F49" s="3879"/>
      <c r="G49"/>
      <c r="H49"/>
      <c r="I49"/>
      <c r="J49">
        <v>44</v>
      </c>
      <c r="K49" t="s">
        <v>1469</v>
      </c>
      <c r="L49" s="3949"/>
      <c r="M49">
        <v>1</v>
      </c>
      <c r="N49">
        <v>1</v>
      </c>
      <c r="O49" s="3955"/>
      <c r="P49" s="3957"/>
      <c r="Q49"/>
      <c r="R49" s="3964">
        <f>W49/S48</f>
        <v>0.3076271186440678</v>
      </c>
      <c r="S49" s="3969"/>
      <c r="T49" s="3968"/>
      <c r="U49" s="3955"/>
      <c r="V49" t="s">
        <v>1470</v>
      </c>
      <c r="W49" s="3903">
        <v>54450000</v>
      </c>
      <c r="X49" s="3922">
        <v>54450000</v>
      </c>
      <c r="Y49" s="3922">
        <v>54450000</v>
      </c>
      <c r="Z49" s="3957"/>
      <c r="AA49" s="3956"/>
      <c r="AB49" s="3800"/>
      <c r="AC49" s="3797"/>
      <c r="AD49" s="3800"/>
      <c r="AE49" s="3797"/>
      <c r="AF49" s="3800"/>
      <c r="AG49" s="3797"/>
      <c r="AH49" s="3800"/>
      <c r="AI49" s="3797"/>
      <c r="AJ49" s="3800"/>
      <c r="AK49" s="3797"/>
      <c r="AL49" s="3800"/>
      <c r="AM49" s="3797"/>
      <c r="AN49" s="3800"/>
      <c r="AO49" s="3797"/>
      <c r="AP49" s="3800"/>
      <c r="AQ49" s="3797"/>
      <c r="AR49" s="3800"/>
      <c r="AS49" s="3797"/>
      <c r="AT49" s="3800"/>
      <c r="AU49" s="3797"/>
      <c r="AV49" s="3800"/>
      <c r="AW49" s="3797"/>
      <c r="AX49" s="3800"/>
      <c r="AY49" s="3797"/>
      <c r="AZ49" s="1442" t="s">
        <v>1471</v>
      </c>
      <c r="BA49" s="1439">
        <v>68200000</v>
      </c>
      <c r="BB49" s="1440">
        <v>68200000</v>
      </c>
      <c r="BC49" s="1441">
        <v>100</v>
      </c>
      <c r="BD49" s="1438" t="s">
        <v>38</v>
      </c>
      <c r="BE49" s="1442" t="s">
        <v>1468</v>
      </c>
      <c r="BF49" s="1443">
        <v>42656</v>
      </c>
      <c r="BG49" s="1444">
        <v>42656</v>
      </c>
      <c r="BH49" s="1443">
        <v>42724</v>
      </c>
      <c r="BI49" s="1444">
        <v>42724</v>
      </c>
      <c r="BJ49"/>
    </row>
    <row r="50" spans="1:62" ht="57">
      <c r="A50" s="3872"/>
      <c r="B50" s="3873"/>
      <c r="C50" s="3874"/>
      <c r="D50" s="3878"/>
      <c r="E50" s="3879"/>
      <c r="F50" s="3879"/>
      <c r="G50"/>
      <c r="H50"/>
      <c r="I50"/>
      <c r="J50"/>
      <c r="K50"/>
      <c r="L50" s="3949"/>
      <c r="M50"/>
      <c r="N50"/>
      <c r="O50" s="3955"/>
      <c r="P50" s="3957"/>
      <c r="Q50"/>
      <c r="R50" s="3965"/>
      <c r="S50" s="3969"/>
      <c r="T50" s="3968"/>
      <c r="U50" s="3955"/>
      <c r="V50"/>
      <c r="W50" s="3904"/>
      <c r="X50" s="3923"/>
      <c r="Y50" s="3923"/>
      <c r="Z50" s="3957"/>
      <c r="AA50" s="3879"/>
      <c r="AB50" s="3800"/>
      <c r="AC50" s="3797"/>
      <c r="AD50" s="3800"/>
      <c r="AE50" s="3797"/>
      <c r="AF50" s="3800"/>
      <c r="AG50" s="3797"/>
      <c r="AH50" s="3800"/>
      <c r="AI50" s="3797"/>
      <c r="AJ50" s="3800"/>
      <c r="AK50" s="3797"/>
      <c r="AL50" s="3800"/>
      <c r="AM50" s="3797"/>
      <c r="AN50" s="3800"/>
      <c r="AO50" s="3797"/>
      <c r="AP50" s="3800"/>
      <c r="AQ50" s="3797"/>
      <c r="AR50" s="3800"/>
      <c r="AS50" s="3797"/>
      <c r="AT50" s="3800"/>
      <c r="AU50" s="3797"/>
      <c r="AV50" s="3800"/>
      <c r="AW50" s="3797"/>
      <c r="AX50" s="3800"/>
      <c r="AY50" s="3797"/>
      <c r="AZ50" s="1445" t="s">
        <v>1472</v>
      </c>
      <c r="BA50" s="1446">
        <v>4170000</v>
      </c>
      <c r="BB50" s="1447">
        <v>4170000</v>
      </c>
      <c r="BC50" s="1448">
        <v>100</v>
      </c>
      <c r="BD50" s="1449" t="s">
        <v>38</v>
      </c>
      <c r="BE50" s="1450" t="s">
        <v>1468</v>
      </c>
      <c r="BF50" s="1451">
        <v>42689</v>
      </c>
      <c r="BG50" s="1452">
        <v>42689</v>
      </c>
      <c r="BH50" s="1451">
        <v>42733</v>
      </c>
      <c r="BI50" s="1452">
        <v>42733</v>
      </c>
      <c r="BJ50"/>
    </row>
    <row r="51" spans="1:62" ht="46.5" customHeight="1">
      <c r="A51" s="3872"/>
      <c r="B51" s="3873"/>
      <c r="C51" s="3874"/>
      <c r="D51" s="3878"/>
      <c r="E51" s="3879"/>
      <c r="F51" s="3879"/>
      <c r="G51"/>
      <c r="H51"/>
      <c r="I51"/>
      <c r="J51" s="3945"/>
      <c r="K51"/>
      <c r="L51" s="3949"/>
      <c r="M51"/>
      <c r="N51"/>
      <c r="O51" s="3955"/>
      <c r="P51" s="3957"/>
      <c r="Q51"/>
      <c r="R51" s="3966"/>
      <c r="S51" s="3969"/>
      <c r="T51" s="3968"/>
      <c r="U51" s="3955"/>
      <c r="V51"/>
      <c r="W51" s="3971"/>
      <c r="X51" s="3924"/>
      <c r="Y51" s="3924"/>
      <c r="Z51" s="3957"/>
      <c r="AA51" s="3879"/>
      <c r="AB51" s="3800"/>
      <c r="AC51" s="3797"/>
      <c r="AD51" s="3800"/>
      <c r="AE51" s="3797"/>
      <c r="AF51" s="3800"/>
      <c r="AG51" s="3797"/>
      <c r="AH51" s="3800"/>
      <c r="AI51" s="3797"/>
      <c r="AJ51" s="3800"/>
      <c r="AK51" s="3797"/>
      <c r="AL51" s="3800"/>
      <c r="AM51" s="3797"/>
      <c r="AN51" s="3800"/>
      <c r="AO51" s="3797"/>
      <c r="AP51" s="3800"/>
      <c r="AQ51" s="3797"/>
      <c r="AR51" s="3800"/>
      <c r="AS51" s="3797"/>
      <c r="AT51" s="3800"/>
      <c r="AU51" s="3797"/>
      <c r="AV51" s="3800"/>
      <c r="AW51" s="3797"/>
      <c r="AX51" s="3800"/>
      <c r="AY51" s="3802"/>
      <c r="AZ51" s="3792" t="s">
        <v>1473</v>
      </c>
      <c r="BA51">
        <v>4800000</v>
      </c>
      <c r="BB51">
        <v>4800000</v>
      </c>
      <c r="BC51" s="3792">
        <v>100</v>
      </c>
      <c r="BD51" s="3792" t="s">
        <v>38</v>
      </c>
      <c r="BE51" s="3794" t="s">
        <v>1441</v>
      </c>
      <c r="BF51">
        <v>42691</v>
      </c>
      <c r="BG51">
        <v>42691</v>
      </c>
      <c r="BH51">
        <v>42733</v>
      </c>
      <c r="BI51">
        <v>42733</v>
      </c>
      <c r="BJ51"/>
    </row>
    <row r="52" spans="1:62" ht="14.25">
      <c r="A52" s="3872"/>
      <c r="B52" s="3873"/>
      <c r="C52" s="3874"/>
      <c r="D52" s="3878"/>
      <c r="E52" s="3879"/>
      <c r="F52" s="3879"/>
      <c r="G52"/>
      <c r="H52"/>
      <c r="I52"/>
      <c r="J52">
        <v>45</v>
      </c>
      <c r="K52" t="s">
        <v>1474</v>
      </c>
      <c r="L52" s="3949"/>
      <c r="M52">
        <v>2</v>
      </c>
      <c r="N52">
        <v>2</v>
      </c>
      <c r="O52" s="3955"/>
      <c r="P52" s="3957"/>
      <c r="Q52"/>
      <c r="R52" s="3964">
        <f>W52/S48</f>
        <v>0.11299435028248588</v>
      </c>
      <c r="S52" s="3969"/>
      <c r="T52" s="3968"/>
      <c r="U52" s="3955"/>
      <c r="V52" t="s">
        <v>1475</v>
      </c>
      <c r="W52" s="3903">
        <v>20000000</v>
      </c>
      <c r="X52" s="3922">
        <v>20000000</v>
      </c>
      <c r="Y52" s="3922">
        <v>20000000</v>
      </c>
      <c r="Z52" s="3957"/>
      <c r="AA52" s="3879"/>
      <c r="AB52" s="3800"/>
      <c r="AC52" s="3797"/>
      <c r="AD52" s="3800"/>
      <c r="AE52" s="3797"/>
      <c r="AF52" s="3800"/>
      <c r="AG52" s="3797"/>
      <c r="AH52" s="3800"/>
      <c r="AI52" s="3797"/>
      <c r="AJ52" s="3800"/>
      <c r="AK52" s="3797"/>
      <c r="AL52" s="3800"/>
      <c r="AM52" s="3797"/>
      <c r="AN52" s="3800"/>
      <c r="AO52" s="3797"/>
      <c r="AP52" s="3800"/>
      <c r="AQ52" s="3797"/>
      <c r="AR52" s="3800"/>
      <c r="AS52" s="3797"/>
      <c r="AT52" s="3800"/>
      <c r="AU52" s="3797"/>
      <c r="AV52" s="3800"/>
      <c r="AW52" s="3797"/>
      <c r="AX52" s="3800"/>
      <c r="AY52" s="3802"/>
      <c r="AZ52" s="3793"/>
      <c r="BA52"/>
      <c r="BB52"/>
      <c r="BC52" s="3793"/>
      <c r="BD52" s="3793"/>
      <c r="BE52" s="3795"/>
      <c r="BF52"/>
      <c r="BG52"/>
      <c r="BH52"/>
      <c r="BI52"/>
      <c r="BJ52"/>
    </row>
    <row r="53" spans="1:62" ht="106.5" customHeight="1">
      <c r="A53" s="3872"/>
      <c r="B53" s="3873"/>
      <c r="C53" s="3874"/>
      <c r="D53" s="3878"/>
      <c r="E53" s="3879"/>
      <c r="F53" s="3879"/>
      <c r="G53"/>
      <c r="H53"/>
      <c r="I53"/>
      <c r="J53"/>
      <c r="K53"/>
      <c r="L53" s="3949"/>
      <c r="M53"/>
      <c r="N53"/>
      <c r="O53" s="3955"/>
      <c r="P53" s="3957"/>
      <c r="Q53"/>
      <c r="R53" s="3966"/>
      <c r="S53" s="3969"/>
      <c r="T53" s="3968"/>
      <c r="U53" s="3955"/>
      <c r="V53"/>
      <c r="W53" s="3971"/>
      <c r="X53" s="3924"/>
      <c r="Y53" s="3924"/>
      <c r="Z53"/>
      <c r="AA53" s="3879"/>
      <c r="AB53" s="3800"/>
      <c r="AC53" s="3797"/>
      <c r="AD53" s="3800"/>
      <c r="AE53" s="3797"/>
      <c r="AF53" s="3800"/>
      <c r="AG53" s="3797"/>
      <c r="AH53" s="3800"/>
      <c r="AI53" s="3797"/>
      <c r="AJ53" s="3800"/>
      <c r="AK53" s="3797"/>
      <c r="AL53" s="3800"/>
      <c r="AM53" s="3797"/>
      <c r="AN53" s="3800"/>
      <c r="AO53" s="3797"/>
      <c r="AP53" s="3800"/>
      <c r="AQ53" s="3797"/>
      <c r="AR53" s="3800"/>
      <c r="AS53" s="3797"/>
      <c r="AT53" s="3800"/>
      <c r="AU53" s="3797"/>
      <c r="AV53" s="3800"/>
      <c r="AW53" s="3797"/>
      <c r="AX53" s="3800"/>
      <c r="AY53" s="3797"/>
      <c r="AZ53" s="1453" t="s">
        <v>1476</v>
      </c>
      <c r="BA53" s="1454">
        <v>30450000</v>
      </c>
      <c r="BB53" s="1455">
        <v>30450000</v>
      </c>
      <c r="BC53" s="1456">
        <v>100</v>
      </c>
      <c r="BD53" s="1456" t="s">
        <v>38</v>
      </c>
      <c r="BE53" s="1457" t="s">
        <v>1441</v>
      </c>
      <c r="BF53" s="1458">
        <v>42597</v>
      </c>
      <c r="BG53" s="1459">
        <v>42621</v>
      </c>
      <c r="BH53" s="1458">
        <v>42735</v>
      </c>
      <c r="BI53" s="1459">
        <v>42727</v>
      </c>
      <c r="BJ53"/>
    </row>
    <row r="54" spans="1:62" ht="13.5" customHeight="1">
      <c r="A54" s="3872"/>
      <c r="B54" s="3873"/>
      <c r="C54" s="3874"/>
      <c r="D54" s="3878"/>
      <c r="E54" s="3879"/>
      <c r="F54" s="3879"/>
      <c r="G54"/>
      <c r="H54"/>
      <c r="I54"/>
      <c r="J54" s="3960">
        <v>46</v>
      </c>
      <c r="K54" s="3884" t="s">
        <v>1477</v>
      </c>
      <c r="L54" s="3949"/>
      <c r="M54">
        <v>1</v>
      </c>
      <c r="N54">
        <v>1</v>
      </c>
      <c r="O54" s="3955" t="s">
        <v>1478</v>
      </c>
      <c r="P54" s="3957"/>
      <c r="Q54"/>
      <c r="R54" s="3966">
        <f>W54/S48</f>
        <v>0.3389830508474576</v>
      </c>
      <c r="S54" s="3969"/>
      <c r="T54" s="3968"/>
      <c r="U54" s="3884" t="s">
        <v>1479</v>
      </c>
      <c r="V54" s="3888" t="s">
        <v>1480</v>
      </c>
      <c r="W54">
        <v>60000000</v>
      </c>
      <c r="X54" s="3823">
        <v>60000000</v>
      </c>
      <c r="Y54" s="3922">
        <v>60000000</v>
      </c>
      <c r="Z54">
        <v>88</v>
      </c>
      <c r="AA54" s="3879" t="s">
        <v>351</v>
      </c>
      <c r="AB54" s="3800"/>
      <c r="AC54" s="3797"/>
      <c r="AD54" s="3800"/>
      <c r="AE54" s="3797"/>
      <c r="AF54" s="3800"/>
      <c r="AG54" s="3797"/>
      <c r="AH54" s="3800"/>
      <c r="AI54" s="3797"/>
      <c r="AJ54" s="3800"/>
      <c r="AK54" s="3797"/>
      <c r="AL54" s="3800"/>
      <c r="AM54" s="3797"/>
      <c r="AN54" s="3800"/>
      <c r="AO54" s="3797"/>
      <c r="AP54" s="3800"/>
      <c r="AQ54" s="3797"/>
      <c r="AR54" s="3800"/>
      <c r="AS54" s="3797"/>
      <c r="AT54" s="3800"/>
      <c r="AU54" s="3797"/>
      <c r="AV54" s="3800"/>
      <c r="AW54" s="3797"/>
      <c r="AX54" s="3800"/>
      <c r="AY54" s="3797"/>
      <c r="AZ54" t="s">
        <v>1481</v>
      </c>
      <c r="BA54">
        <v>60000000</v>
      </c>
      <c r="BB54">
        <v>60000000</v>
      </c>
      <c r="BC54">
        <f>+BB54/BA54</f>
        <v>1</v>
      </c>
      <c r="BD54" s="3792" t="s">
        <v>1482</v>
      </c>
      <c r="BE54" t="s">
        <v>1483</v>
      </c>
      <c r="BF54">
        <v>42628</v>
      </c>
      <c r="BG54">
        <v>42628</v>
      </c>
      <c r="BH54">
        <v>42735</v>
      </c>
      <c r="BI54">
        <v>42735</v>
      </c>
      <c r="BJ54"/>
    </row>
    <row r="55" spans="1:62" ht="13.5" customHeight="1">
      <c r="A55" s="3872"/>
      <c r="B55" s="3873"/>
      <c r="C55" s="3874"/>
      <c r="D55" s="3878"/>
      <c r="E55" s="3879"/>
      <c r="F55" s="3879"/>
      <c r="G55"/>
      <c r="H55"/>
      <c r="I55"/>
      <c r="J55" s="3960"/>
      <c r="K55" s="3884"/>
      <c r="L55" s="3949"/>
      <c r="M55"/>
      <c r="N55"/>
      <c r="O55" s="3955"/>
      <c r="P55" s="3957"/>
      <c r="Q55"/>
      <c r="R55"/>
      <c r="S55" s="3969"/>
      <c r="T55" s="3968"/>
      <c r="U55" s="3884"/>
      <c r="V55" s="3889"/>
      <c r="W55"/>
      <c r="X55" s="3823"/>
      <c r="Y55" s="3923"/>
      <c r="Z55" s="3957"/>
      <c r="AA55" s="3879"/>
      <c r="AB55" s="3800"/>
      <c r="AC55" s="3797"/>
      <c r="AD55" s="3800"/>
      <c r="AE55" s="3797"/>
      <c r="AF55" s="3800"/>
      <c r="AG55" s="3797"/>
      <c r="AH55" s="3800"/>
      <c r="AI55" s="3797"/>
      <c r="AJ55" s="3800"/>
      <c r="AK55" s="3797"/>
      <c r="AL55" s="3800"/>
      <c r="AM55" s="3797"/>
      <c r="AN55" s="3800"/>
      <c r="AO55" s="3797"/>
      <c r="AP55" s="3800"/>
      <c r="AQ55" s="3797"/>
      <c r="AR55" s="3800"/>
      <c r="AS55" s="3797"/>
      <c r="AT55" s="3800"/>
      <c r="AU55" s="3797"/>
      <c r="AV55" s="3800"/>
      <c r="AW55" s="3797"/>
      <c r="AX55" s="3800"/>
      <c r="AY55" s="3797"/>
      <c r="AZ55"/>
      <c r="BA55"/>
      <c r="BB55"/>
      <c r="BC55"/>
      <c r="BD55"/>
      <c r="BE55"/>
      <c r="BF55"/>
      <c r="BG55"/>
      <c r="BH55"/>
      <c r="BI55"/>
      <c r="BJ55"/>
    </row>
    <row r="56" spans="1:62" ht="13.5" customHeight="1">
      <c r="A56" s="3872"/>
      <c r="B56" s="3873"/>
      <c r="C56" s="3874"/>
      <c r="D56" s="3878"/>
      <c r="E56" s="3879"/>
      <c r="F56" s="3879"/>
      <c r="G56"/>
      <c r="H56"/>
      <c r="I56"/>
      <c r="J56" s="3960"/>
      <c r="K56" s="3884"/>
      <c r="L56" s="3949"/>
      <c r="M56"/>
      <c r="N56"/>
      <c r="O56" s="3955"/>
      <c r="P56" s="3957"/>
      <c r="Q56"/>
      <c r="R56"/>
      <c r="S56" s="3969"/>
      <c r="T56" s="3968"/>
      <c r="U56" s="3884"/>
      <c r="V56" s="3889"/>
      <c r="W56"/>
      <c r="X56" s="3823"/>
      <c r="Y56" s="3923"/>
      <c r="Z56" s="3957"/>
      <c r="AA56" s="3879"/>
      <c r="AB56" s="3800"/>
      <c r="AC56" s="3797"/>
      <c r="AD56" s="3800"/>
      <c r="AE56" s="3797"/>
      <c r="AF56" s="3800"/>
      <c r="AG56" s="3797"/>
      <c r="AH56" s="3800"/>
      <c r="AI56" s="3797"/>
      <c r="AJ56" s="3800"/>
      <c r="AK56" s="3797"/>
      <c r="AL56" s="3800"/>
      <c r="AM56" s="3797"/>
      <c r="AN56" s="3800"/>
      <c r="AO56" s="3797"/>
      <c r="AP56" s="3800"/>
      <c r="AQ56" s="3797"/>
      <c r="AR56" s="3800"/>
      <c r="AS56" s="3797"/>
      <c r="AT56" s="3800"/>
      <c r="AU56" s="3797"/>
      <c r="AV56" s="3800"/>
      <c r="AW56" s="3797"/>
      <c r="AX56" s="3800"/>
      <c r="AY56" s="3797"/>
      <c r="AZ56"/>
      <c r="BA56"/>
      <c r="BB56"/>
      <c r="BC56"/>
      <c r="BD56"/>
      <c r="BE56"/>
      <c r="BF56"/>
      <c r="BG56"/>
      <c r="BH56"/>
      <c r="BI56"/>
      <c r="BJ56"/>
    </row>
    <row r="57" spans="1:62" ht="13.5" customHeight="1">
      <c r="A57" s="3872"/>
      <c r="B57" s="3873"/>
      <c r="C57" s="3874"/>
      <c r="D57" s="3878"/>
      <c r="E57" s="3879"/>
      <c r="F57" s="3879"/>
      <c r="G57"/>
      <c r="H57"/>
      <c r="I57"/>
      <c r="J57" s="3960"/>
      <c r="K57" s="3884"/>
      <c r="L57" s="3949"/>
      <c r="M57"/>
      <c r="N57"/>
      <c r="O57" s="3955"/>
      <c r="P57" s="3957"/>
      <c r="Q57"/>
      <c r="R57"/>
      <c r="S57" s="3969"/>
      <c r="T57" s="3968"/>
      <c r="U57" s="3884"/>
      <c r="V57" s="3889"/>
      <c r="W57"/>
      <c r="X57" s="3823"/>
      <c r="Y57" s="3923"/>
      <c r="Z57" s="3957"/>
      <c r="AA57" s="3879"/>
      <c r="AB57" s="3800"/>
      <c r="AC57" s="3797"/>
      <c r="AD57" s="3800"/>
      <c r="AE57" s="3797"/>
      <c r="AF57" s="3800"/>
      <c r="AG57" s="3797"/>
      <c r="AH57" s="3800"/>
      <c r="AI57" s="3797"/>
      <c r="AJ57" s="3800"/>
      <c r="AK57" s="3797"/>
      <c r="AL57" s="3800"/>
      <c r="AM57" s="3797"/>
      <c r="AN57" s="3800"/>
      <c r="AO57" s="3797"/>
      <c r="AP57" s="3800"/>
      <c r="AQ57" s="3797"/>
      <c r="AR57" s="3800"/>
      <c r="AS57" s="3797"/>
      <c r="AT57" s="3800"/>
      <c r="AU57" s="3797"/>
      <c r="AV57" s="3800"/>
      <c r="AW57" s="3797"/>
      <c r="AX57" s="3800"/>
      <c r="AY57" s="3797"/>
      <c r="AZ57"/>
      <c r="BA57"/>
      <c r="BB57"/>
      <c r="BC57"/>
      <c r="BD57"/>
      <c r="BE57"/>
      <c r="BF57"/>
      <c r="BG57"/>
      <c r="BH57"/>
      <c r="BI57"/>
      <c r="BJ57"/>
    </row>
    <row r="58" spans="1:62" ht="13.5" customHeight="1">
      <c r="A58" s="3872"/>
      <c r="B58" s="3873"/>
      <c r="C58" s="3874"/>
      <c r="D58" s="3878"/>
      <c r="E58" s="3879"/>
      <c r="F58" s="3879"/>
      <c r="G58"/>
      <c r="H58"/>
      <c r="I58"/>
      <c r="J58" s="3960"/>
      <c r="K58" s="3884"/>
      <c r="L58" s="3949"/>
      <c r="M58"/>
      <c r="N58"/>
      <c r="O58" s="3955"/>
      <c r="P58" s="3957"/>
      <c r="Q58"/>
      <c r="R58"/>
      <c r="S58" s="3969"/>
      <c r="T58" s="3968"/>
      <c r="U58" s="3884"/>
      <c r="V58" s="3889"/>
      <c r="W58"/>
      <c r="X58" s="3823"/>
      <c r="Y58" s="3923"/>
      <c r="Z58" s="3957"/>
      <c r="AA58" s="3879"/>
      <c r="AB58" s="3800"/>
      <c r="AC58" s="3797"/>
      <c r="AD58" s="3800"/>
      <c r="AE58" s="3797"/>
      <c r="AF58" s="3800"/>
      <c r="AG58" s="3797"/>
      <c r="AH58" s="3800"/>
      <c r="AI58" s="3797"/>
      <c r="AJ58" s="3800"/>
      <c r="AK58" s="3797"/>
      <c r="AL58" s="3800"/>
      <c r="AM58" s="3797"/>
      <c r="AN58" s="3800"/>
      <c r="AO58" s="3797"/>
      <c r="AP58" s="3800"/>
      <c r="AQ58" s="3797"/>
      <c r="AR58" s="3800"/>
      <c r="AS58" s="3797"/>
      <c r="AT58" s="3800"/>
      <c r="AU58" s="3797"/>
      <c r="AV58" s="3800"/>
      <c r="AW58" s="3797"/>
      <c r="AX58" s="3800"/>
      <c r="AY58" s="3797"/>
      <c r="AZ58"/>
      <c r="BA58"/>
      <c r="BB58"/>
      <c r="BC58"/>
      <c r="BD58"/>
      <c r="BE58"/>
      <c r="BF58"/>
      <c r="BG58"/>
      <c r="BH58"/>
      <c r="BI58"/>
      <c r="BJ58"/>
    </row>
    <row r="59" spans="1:62" ht="13.5" customHeight="1">
      <c r="A59" s="3872"/>
      <c r="B59" s="3873"/>
      <c r="C59" s="3874"/>
      <c r="D59" s="3878"/>
      <c r="E59" s="3879"/>
      <c r="F59" s="3879"/>
      <c r="G59"/>
      <c r="H59"/>
      <c r="I59"/>
      <c r="J59" s="3961"/>
      <c r="K59" s="3959"/>
      <c r="L59" s="3949"/>
      <c r="M59"/>
      <c r="N59"/>
      <c r="O59" s="3956"/>
      <c r="P59"/>
      <c r="Q59"/>
      <c r="R59" s="3964"/>
      <c r="S59" s="3969"/>
      <c r="T59" s="3968"/>
      <c r="U59" s="3959"/>
      <c r="V59" s="3889"/>
      <c r="W59" s="3903"/>
      <c r="X59" s="3922"/>
      <c r="Y59" s="3924"/>
      <c r="Z59"/>
      <c r="AA59" s="3881"/>
      <c r="AB59" s="3801"/>
      <c r="AC59" s="3798"/>
      <c r="AD59" s="3801"/>
      <c r="AE59" s="3798"/>
      <c r="AF59" s="3801"/>
      <c r="AG59" s="3798"/>
      <c r="AH59" s="3801"/>
      <c r="AI59" s="3798"/>
      <c r="AJ59" s="3801"/>
      <c r="AK59" s="3798"/>
      <c r="AL59" s="3801"/>
      <c r="AM59" s="3798"/>
      <c r="AN59" s="3801"/>
      <c r="AO59" s="3798"/>
      <c r="AP59" s="3801"/>
      <c r="AQ59" s="3798"/>
      <c r="AR59" s="3801"/>
      <c r="AS59" s="3798"/>
      <c r="AT59" s="3801"/>
      <c r="AU59" s="3798"/>
      <c r="AV59" s="3801"/>
      <c r="AW59" s="3798"/>
      <c r="AX59" s="3801"/>
      <c r="AY59" s="3798"/>
      <c r="AZ59"/>
      <c r="BA59"/>
      <c r="BB59"/>
      <c r="BC59"/>
      <c r="BD59" s="3793"/>
      <c r="BE59"/>
      <c r="BF59"/>
      <c r="BG59"/>
      <c r="BH59"/>
      <c r="BI59"/>
      <c r="BJ59"/>
    </row>
    <row r="60" spans="1:62" ht="13.5" customHeight="1">
      <c r="A60" s="3872"/>
      <c r="B60" s="3873"/>
      <c r="C60" s="3874"/>
      <c r="D60" s="3878"/>
      <c r="E60" s="3879"/>
      <c r="F60" s="3879"/>
      <c r="G60" s="3962">
        <v>10</v>
      </c>
      <c r="H60" s="1460" t="s">
        <v>1484</v>
      </c>
      <c r="I60" s="1461"/>
      <c r="J60" s="1461"/>
      <c r="K60" s="1461"/>
      <c r="L60" s="1461"/>
      <c r="M60" s="1461"/>
      <c r="N60" s="1462"/>
      <c r="O60" s="1461"/>
      <c r="P60" s="1461"/>
      <c r="Q60" s="1461"/>
      <c r="R60" s="1461"/>
      <c r="S60" s="1461"/>
      <c r="T60" s="1461"/>
      <c r="U60" s="1461"/>
      <c r="V60" s="1461"/>
      <c r="W60" s="1461"/>
      <c r="X60" s="1462"/>
      <c r="Y60" s="1462"/>
      <c r="Z60" s="1461"/>
      <c r="AA60" s="1461"/>
      <c r="AB60" s="1461"/>
      <c r="AC60" s="1462"/>
      <c r="AD60" s="1461"/>
      <c r="AE60" s="1462"/>
      <c r="AF60" s="1461"/>
      <c r="AG60" s="1462"/>
      <c r="AH60" s="1461"/>
      <c r="AI60" s="1462"/>
      <c r="AJ60" s="1461"/>
      <c r="AK60" s="1462"/>
      <c r="AL60" s="1461"/>
      <c r="AM60" s="1462"/>
      <c r="AN60" s="1461"/>
      <c r="AO60" s="1462"/>
      <c r="AP60" s="1461"/>
      <c r="AQ60" s="1462"/>
      <c r="AR60" s="1461"/>
      <c r="AS60" s="1462"/>
      <c r="AT60" s="1461"/>
      <c r="AU60" s="1462"/>
      <c r="AV60" s="1461"/>
      <c r="AW60" s="1462"/>
      <c r="AX60" s="1461"/>
      <c r="AY60" s="1462"/>
      <c r="AZ60" s="1461"/>
      <c r="BA60" s="1418"/>
      <c r="BB60" s="1461"/>
      <c r="BC60" s="1461"/>
      <c r="BD60" s="1419"/>
      <c r="BE60" s="1419"/>
      <c r="BF60" s="1419"/>
      <c r="BG60" s="1462"/>
      <c r="BH60" s="1461"/>
      <c r="BI60" s="1462"/>
      <c r="BJ60"/>
    </row>
    <row r="61" spans="1:62" ht="13.5" customHeight="1">
      <c r="A61" s="3872"/>
      <c r="B61" s="3873"/>
      <c r="C61" s="3874"/>
      <c r="D61" s="3878"/>
      <c r="E61" s="3879"/>
      <c r="F61" s="3879"/>
      <c r="G61"/>
      <c r="H61" s="1463"/>
      <c r="I61" s="1464"/>
      <c r="J61" s="1465"/>
      <c r="K61" s="1465"/>
      <c r="L61" s="1465"/>
      <c r="M61" s="1465"/>
      <c r="N61" s="1466"/>
      <c r="O61" s="1465"/>
      <c r="P61" s="1465"/>
      <c r="Q61" s="1465"/>
      <c r="R61" s="1465"/>
      <c r="S61" s="1465"/>
      <c r="T61" s="1465"/>
      <c r="U61" s="1465"/>
      <c r="V61" s="1465"/>
      <c r="W61" s="1465"/>
      <c r="X61" s="1466"/>
      <c r="Y61" s="1466"/>
      <c r="Z61" s="1465"/>
      <c r="AA61" s="1465"/>
      <c r="AB61" s="1465"/>
      <c r="AC61" s="1466"/>
      <c r="AD61" s="1465"/>
      <c r="AE61" s="1466"/>
      <c r="AF61" s="1465"/>
      <c r="AG61" s="1466"/>
      <c r="AH61" s="1465"/>
      <c r="AI61" s="1466"/>
      <c r="AJ61" s="1465"/>
      <c r="AK61" s="1466"/>
      <c r="AL61" s="1465"/>
      <c r="AM61" s="1466"/>
      <c r="AN61" s="1465"/>
      <c r="AO61" s="1466"/>
      <c r="AP61" s="1465"/>
      <c r="AQ61" s="1466"/>
      <c r="AR61" s="1465"/>
      <c r="AS61" s="1466"/>
      <c r="AT61" s="1465"/>
      <c r="AU61" s="1466"/>
      <c r="AV61" s="1465"/>
      <c r="AW61" s="1466"/>
      <c r="AX61" s="1465"/>
      <c r="AY61" s="1466"/>
      <c r="AZ61" s="1464"/>
      <c r="BA61" s="1467"/>
      <c r="BB61" s="1464"/>
      <c r="BC61" s="1464"/>
      <c r="BD61" s="1468"/>
      <c r="BE61" s="1468"/>
      <c r="BF61" s="1468"/>
      <c r="BG61" s="1469"/>
      <c r="BH61" s="1464"/>
      <c r="BI61" s="1469"/>
      <c r="BJ61"/>
    </row>
    <row r="62" spans="1:256" s="1479" customFormat="1" ht="39" customHeight="1">
      <c r="A62" s="3872"/>
      <c r="B62" s="3873"/>
      <c r="C62" s="3874"/>
      <c r="D62" s="3878"/>
      <c r="E62" s="3879"/>
      <c r="F62" s="3880"/>
      <c r="G62" s="1470"/>
      <c r="H62" s="1471"/>
      <c r="I62" s="1472"/>
      <c r="J62">
        <v>47</v>
      </c>
      <c r="K62" s="3888" t="s">
        <v>1485</v>
      </c>
      <c r="L62" t="s">
        <v>1486</v>
      </c>
      <c r="M62">
        <v>12</v>
      </c>
      <c r="N62">
        <v>12</v>
      </c>
      <c r="O62" t="s">
        <v>1487</v>
      </c>
      <c r="P62" s="3925">
        <v>54</v>
      </c>
      <c r="Q62" s="3888" t="s">
        <v>1488</v>
      </c>
      <c r="R62">
        <v>1</v>
      </c>
      <c r="S62" s="3903">
        <v>20000000</v>
      </c>
      <c r="T62" s="3888" t="s">
        <v>1489</v>
      </c>
      <c r="U62" s="1473" t="s">
        <v>1490</v>
      </c>
      <c r="V62" s="1474" t="s">
        <v>1491</v>
      </c>
      <c r="W62" s="3903">
        <v>20000000</v>
      </c>
      <c r="X62" s="3922">
        <v>20000000</v>
      </c>
      <c r="Y62" s="3922">
        <v>20000000</v>
      </c>
      <c r="Z62" s="3928">
        <v>20</v>
      </c>
      <c r="AA62" t="s">
        <v>232</v>
      </c>
      <c r="AB62" s="3806">
        <f aca="true" t="shared" si="0" ref="AB62:AP62">AB72</f>
        <v>64149</v>
      </c>
      <c r="AC62" s="3803">
        <f>+AB62/$W$62*$Y$62</f>
        <v>64149</v>
      </c>
      <c r="AD62" s="3806" t="str">
        <f t="shared" si="0"/>
        <v>72.224</v>
      </c>
      <c r="AE62" s="3803">
        <f>+AD62/$W$62*$Y$62</f>
        <v>72224</v>
      </c>
      <c r="AF62" s="3806" t="str">
        <f t="shared" si="0"/>
        <v>27.477</v>
      </c>
      <c r="AG62" s="3803">
        <f>+AF62/$W$62*$Y$62</f>
        <v>27477</v>
      </c>
      <c r="AH62" s="3806" t="str">
        <f t="shared" si="0"/>
        <v>86.843</v>
      </c>
      <c r="AI62" s="3803">
        <f>+AH62/$W$62*$Y$62</f>
        <v>86843</v>
      </c>
      <c r="AJ62" s="3806" t="str">
        <f t="shared" si="0"/>
        <v>236.429</v>
      </c>
      <c r="AK62" s="3803">
        <f>+AJ62/$W$62*$Y$62</f>
        <v>236429</v>
      </c>
      <c r="AL62" s="3806" t="str">
        <f t="shared" si="0"/>
        <v>81.384</v>
      </c>
      <c r="AM62" s="3803">
        <f>+AL62/$W$62*$Y$62</f>
        <v>81384</v>
      </c>
      <c r="AN62" s="3806">
        <f t="shared" si="0"/>
        <v>13208</v>
      </c>
      <c r="AO62" s="3803">
        <f>+AN62/$W$62*$Y$62</f>
        <v>13208</v>
      </c>
      <c r="AP62" s="3806">
        <f t="shared" si="0"/>
        <v>1827</v>
      </c>
      <c r="AQ62" s="3803">
        <f>+AP62/$W$62*$Y$62</f>
        <v>1827</v>
      </c>
      <c r="AR62" s="3806"/>
      <c r="AS62" s="3803"/>
      <c r="AT62" s="3806"/>
      <c r="AU62" s="3803"/>
      <c r="AV62" s="3806"/>
      <c r="AW62" s="3803"/>
      <c r="AX62" s="3806"/>
      <c r="AY62"/>
      <c r="AZ62" s="1475" t="s">
        <v>1492</v>
      </c>
      <c r="BA62" s="1476">
        <v>7500000</v>
      </c>
      <c r="BB62" s="1477">
        <v>7500000</v>
      </c>
      <c r="BC62" s="3964">
        <f>+BB62/BA62</f>
        <v>1</v>
      </c>
      <c r="BD62" s="1477" t="s">
        <v>38</v>
      </c>
      <c r="BE62" s="1477" t="s">
        <v>1493</v>
      </c>
      <c r="BF62" s="2801">
        <v>42508</v>
      </c>
      <c r="BG62" s="2800">
        <v>42508</v>
      </c>
      <c r="BH62" s="2801">
        <v>42597</v>
      </c>
      <c r="BI62" s="2800">
        <v>42597</v>
      </c>
      <c r="BJ62" t="s">
        <v>1441</v>
      </c>
      <c r="BK62" s="1478"/>
      <c r="BL62" s="1478"/>
      <c r="BM62" s="1478"/>
      <c r="BN62" s="1478"/>
      <c r="BO62" s="1478"/>
      <c r="BP62" s="1478"/>
      <c r="BQ62" s="1478"/>
      <c r="BR62" s="1478"/>
      <c r="BS62" s="1478"/>
      <c r="BT62" s="1478"/>
      <c r="BU62" s="1478"/>
      <c r="BV62" s="1478"/>
      <c r="BW62" s="1478"/>
      <c r="BX62" s="1478"/>
      <c r="BY62" s="1478"/>
      <c r="BZ62" s="1478"/>
      <c r="CA62" s="1478"/>
      <c r="CB62" s="1478"/>
      <c r="CC62" s="1478"/>
      <c r="CD62" s="1478"/>
      <c r="CE62" s="1478"/>
      <c r="CF62" s="1478"/>
      <c r="CG62" s="1478"/>
      <c r="CH62" s="1478"/>
      <c r="CI62" s="1478"/>
      <c r="CJ62" s="1478"/>
      <c r="CK62" s="1478"/>
      <c r="CL62" s="1478"/>
      <c r="CM62" s="1478"/>
      <c r="CN62" s="1478"/>
      <c r="CO62" s="1478"/>
      <c r="CP62" s="1478"/>
      <c r="CQ62" s="1478"/>
      <c r="CR62" s="1478"/>
      <c r="CS62" s="1478"/>
      <c r="CT62" s="1478"/>
      <c r="CU62" s="1478"/>
      <c r="CV62" s="1478"/>
      <c r="CW62" s="1478"/>
      <c r="CX62" s="1478"/>
      <c r="CY62" s="1478"/>
      <c r="CZ62" s="1478"/>
      <c r="DA62" s="1478"/>
      <c r="DB62" s="1478"/>
      <c r="DC62" s="1478"/>
      <c r="DD62" s="1478"/>
      <c r="DE62" s="1478"/>
      <c r="DF62" s="1478"/>
      <c r="DG62" s="1478"/>
      <c r="DH62" s="1478"/>
      <c r="DI62" s="1478"/>
      <c r="DJ62" s="1478"/>
      <c r="DK62" s="1478"/>
      <c r="DL62" s="1478"/>
      <c r="DM62" s="1478"/>
      <c r="DN62" s="1478"/>
      <c r="DO62" s="1478"/>
      <c r="DP62" s="1478"/>
      <c r="DQ62" s="1478"/>
      <c r="DR62" s="1478"/>
      <c r="DS62" s="1478"/>
      <c r="DT62" s="1478"/>
      <c r="DU62" s="1478"/>
      <c r="DV62" s="1478"/>
      <c r="DW62" s="1478"/>
      <c r="DX62" s="1478"/>
      <c r="DY62" s="1478"/>
      <c r="DZ62" s="1478"/>
      <c r="EA62" s="1478"/>
      <c r="EB62" s="1478"/>
      <c r="EC62" s="1478"/>
      <c r="ED62" s="1478"/>
      <c r="EE62" s="1478"/>
      <c r="EF62" s="1478"/>
      <c r="EG62" s="1478"/>
      <c r="EH62" s="1478"/>
      <c r="EI62" s="1478"/>
      <c r="EJ62" s="1478"/>
      <c r="EK62" s="1478"/>
      <c r="EL62" s="1478"/>
      <c r="EM62" s="1478"/>
      <c r="EN62" s="1478"/>
      <c r="EO62" s="1478"/>
      <c r="EP62" s="1478"/>
      <c r="EQ62" s="1478"/>
      <c r="ER62" s="1478"/>
      <c r="ES62" s="1478"/>
      <c r="ET62" s="1478"/>
      <c r="EU62" s="1478"/>
      <c r="EV62" s="1478"/>
      <c r="EW62" s="1478"/>
      <c r="EX62" s="1478"/>
      <c r="EY62" s="1478"/>
      <c r="EZ62" s="1478"/>
      <c r="FA62" s="1478"/>
      <c r="FB62" s="1478"/>
      <c r="FC62" s="1478"/>
      <c r="FD62" s="1478"/>
      <c r="FE62" s="1478"/>
      <c r="FF62" s="1478"/>
      <c r="FG62" s="1478"/>
      <c r="FH62" s="1478"/>
      <c r="FI62" s="1478"/>
      <c r="FJ62" s="1478"/>
      <c r="FK62" s="1478"/>
      <c r="FL62" s="1478"/>
      <c r="FM62" s="1478"/>
      <c r="FN62" s="1478"/>
      <c r="FO62" s="1478"/>
      <c r="FP62" s="1478"/>
      <c r="FQ62" s="1478"/>
      <c r="FR62" s="1478"/>
      <c r="FS62" s="1478"/>
      <c r="FT62" s="1478"/>
      <c r="FU62" s="1478"/>
      <c r="FV62" s="1478"/>
      <c r="FW62" s="1478"/>
      <c r="FX62" s="1478"/>
      <c r="FY62" s="1478"/>
      <c r="FZ62" s="1478"/>
      <c r="GA62" s="1478"/>
      <c r="GB62" s="1478"/>
      <c r="GC62" s="1478"/>
      <c r="GD62" s="1478"/>
      <c r="GE62" s="1478"/>
      <c r="GF62" s="1478"/>
      <c r="GG62" s="1478"/>
      <c r="GH62" s="1478"/>
      <c r="GI62" s="1478"/>
      <c r="GJ62" s="1478"/>
      <c r="GK62" s="1478"/>
      <c r="GL62" s="1478"/>
      <c r="GM62" s="1478"/>
      <c r="GN62" s="1478"/>
      <c r="GO62" s="1478"/>
      <c r="GP62" s="1478"/>
      <c r="GQ62" s="1478"/>
      <c r="GR62" s="1478"/>
      <c r="GS62" s="1478"/>
      <c r="GT62" s="1478"/>
      <c r="GU62" s="1478"/>
      <c r="GV62" s="1478"/>
      <c r="GW62" s="1478"/>
      <c r="GX62" s="1478"/>
      <c r="GY62" s="1478"/>
      <c r="GZ62" s="1478"/>
      <c r="HA62" s="1478"/>
      <c r="HB62" s="1478"/>
      <c r="HC62" s="1478"/>
      <c r="HD62" s="1478"/>
      <c r="HE62" s="1478"/>
      <c r="HF62" s="1478"/>
      <c r="HG62" s="1478"/>
      <c r="HH62" s="1478"/>
      <c r="HI62" s="1478"/>
      <c r="HJ62" s="1478"/>
      <c r="HK62" s="1478"/>
      <c r="HL62" s="1478"/>
      <c r="HM62" s="1478"/>
      <c r="HN62" s="1478"/>
      <c r="HO62" s="1478"/>
      <c r="HP62" s="1478"/>
      <c r="HQ62" s="1478"/>
      <c r="HR62" s="1478"/>
      <c r="HS62" s="1478"/>
      <c r="HT62" s="1478"/>
      <c r="HU62" s="1478"/>
      <c r="HV62" s="1478"/>
      <c r="HW62" s="1478"/>
      <c r="HX62" s="1478"/>
      <c r="HY62" s="1478"/>
      <c r="HZ62" s="1478"/>
      <c r="IA62" s="1478"/>
      <c r="IB62" s="1478"/>
      <c r="IC62" s="1478"/>
      <c r="ID62" s="1478"/>
      <c r="IE62" s="1478"/>
      <c r="IF62" s="1478"/>
      <c r="IG62" s="1478"/>
      <c r="IH62" s="1478"/>
      <c r="II62" s="1478"/>
      <c r="IJ62" s="1478"/>
      <c r="IK62" s="1478"/>
      <c r="IL62" s="1478"/>
      <c r="IM62" s="1478"/>
      <c r="IN62" s="1478"/>
      <c r="IO62" s="1478"/>
      <c r="IP62" s="1478"/>
      <c r="IQ62" s="1478"/>
      <c r="IR62" s="1478"/>
      <c r="IS62" s="1478"/>
      <c r="IT62" s="1478"/>
      <c r="IU62" s="1478"/>
      <c r="IV62" s="1478"/>
    </row>
    <row r="63" spans="1:62" s="1478" customFormat="1" ht="30.75" customHeight="1">
      <c r="A63" s="3872"/>
      <c r="B63" s="3873"/>
      <c r="C63" s="3874"/>
      <c r="D63" s="3878"/>
      <c r="E63" s="3879"/>
      <c r="F63" s="3880"/>
      <c r="G63" s="1480"/>
      <c r="H63" s="1481"/>
      <c r="I63" s="1482"/>
      <c r="J63"/>
      <c r="K63" s="3889"/>
      <c r="L63"/>
      <c r="M63"/>
      <c r="N63"/>
      <c r="O63"/>
      <c r="P63" s="3926"/>
      <c r="Q63" s="3889"/>
      <c r="R63"/>
      <c r="S63" s="3904"/>
      <c r="T63" s="3889"/>
      <c r="U63" s="1483" t="s">
        <v>1494</v>
      </c>
      <c r="V63" s="1474" t="s">
        <v>1495</v>
      </c>
      <c r="W63" s="3904"/>
      <c r="X63" s="3923"/>
      <c r="Y63" s="3923"/>
      <c r="Z63" s="3929"/>
      <c r="AA63"/>
      <c r="AB63" s="3807"/>
      <c r="AC63" s="3804"/>
      <c r="AD63" s="3807"/>
      <c r="AE63" s="3804"/>
      <c r="AF63" s="3807"/>
      <c r="AG63" s="3804"/>
      <c r="AH63" s="3807"/>
      <c r="AI63" s="3804"/>
      <c r="AJ63" s="3807"/>
      <c r="AK63" s="3804"/>
      <c r="AL63" s="3807"/>
      <c r="AM63" s="3804"/>
      <c r="AN63" s="3807"/>
      <c r="AO63" s="3804"/>
      <c r="AP63" s="3807"/>
      <c r="AQ63" s="3804"/>
      <c r="AR63" s="3807"/>
      <c r="AS63" s="3804"/>
      <c r="AT63" s="3807"/>
      <c r="AU63" s="3804"/>
      <c r="AV63" s="3807"/>
      <c r="AW63" s="3804"/>
      <c r="AX63" s="3807"/>
      <c r="AY63"/>
      <c r="AZ63" s="1484" t="s">
        <v>1492</v>
      </c>
      <c r="BA63" s="1485">
        <v>2500000</v>
      </c>
      <c r="BB63" s="1486">
        <v>2500000</v>
      </c>
      <c r="BC63" s="3965"/>
      <c r="BD63" s="1486" t="s">
        <v>38</v>
      </c>
      <c r="BE63" s="1486" t="s">
        <v>1493</v>
      </c>
      <c r="BF63" s="2802">
        <v>42508</v>
      </c>
      <c r="BG63" s="2803">
        <v>42508</v>
      </c>
      <c r="BH63" s="2802">
        <v>42597</v>
      </c>
      <c r="BI63" s="2803">
        <v>42538</v>
      </c>
      <c r="BJ63"/>
    </row>
    <row r="64" spans="1:62" s="1478" customFormat="1" ht="39.75" customHeight="1">
      <c r="A64" s="3872"/>
      <c r="B64" s="3873"/>
      <c r="C64" s="3874"/>
      <c r="D64" s="3878"/>
      <c r="E64" s="3879"/>
      <c r="F64" s="3880"/>
      <c r="G64" s="1480"/>
      <c r="H64" s="1481"/>
      <c r="I64" s="1482"/>
      <c r="J64"/>
      <c r="K64" s="3889"/>
      <c r="L64"/>
      <c r="M64"/>
      <c r="N64"/>
      <c r="O64"/>
      <c r="P64" s="3926"/>
      <c r="Q64" s="3889"/>
      <c r="R64"/>
      <c r="S64" s="3904"/>
      <c r="T64" s="3889"/>
      <c r="U64" s="1483" t="s">
        <v>1496</v>
      </c>
      <c r="V64" s="1474" t="s">
        <v>1497</v>
      </c>
      <c r="W64" s="3904"/>
      <c r="X64" s="3923"/>
      <c r="Y64" s="3923"/>
      <c r="Z64" s="3929"/>
      <c r="AA64"/>
      <c r="AB64" s="3807"/>
      <c r="AC64" s="3804"/>
      <c r="AD64" s="3807"/>
      <c r="AE64" s="3804"/>
      <c r="AF64" s="3807"/>
      <c r="AG64" s="3804"/>
      <c r="AH64" s="3807"/>
      <c r="AI64" s="3804"/>
      <c r="AJ64" s="3807"/>
      <c r="AK64" s="3804"/>
      <c r="AL64" s="3807"/>
      <c r="AM64" s="3804"/>
      <c r="AN64" s="3807"/>
      <c r="AO64" s="3804"/>
      <c r="AP64" s="3807"/>
      <c r="AQ64" s="3804"/>
      <c r="AR64" s="3807"/>
      <c r="AS64" s="3804"/>
      <c r="AT64" s="3807"/>
      <c r="AU64" s="3804"/>
      <c r="AV64" s="3807"/>
      <c r="AW64" s="3804"/>
      <c r="AX64" s="3807"/>
      <c r="AY64"/>
      <c r="AZ64" s="1484"/>
      <c r="BA64" s="1485">
        <v>10000000</v>
      </c>
      <c r="BB64" s="1486">
        <v>10000000</v>
      </c>
      <c r="BC64" s="3965"/>
      <c r="BD64" s="1486" t="s">
        <v>38</v>
      </c>
      <c r="BE64" s="1486" t="s">
        <v>1483</v>
      </c>
      <c r="BF64" s="2802">
        <v>42522</v>
      </c>
      <c r="BG64" s="2803">
        <v>42522</v>
      </c>
      <c r="BH64" s="2802">
        <v>42536</v>
      </c>
      <c r="BI64" s="2803">
        <v>42536</v>
      </c>
      <c r="BJ64"/>
    </row>
    <row r="65" spans="1:62" s="1478" customFormat="1" ht="45" customHeight="1">
      <c r="A65" s="3872"/>
      <c r="B65" s="3873"/>
      <c r="C65" s="3874"/>
      <c r="D65" s="3878"/>
      <c r="E65" s="3879"/>
      <c r="F65" s="3880"/>
      <c r="G65" s="1480"/>
      <c r="H65" s="1481"/>
      <c r="I65" s="1482"/>
      <c r="J65"/>
      <c r="K65" s="3889"/>
      <c r="L65"/>
      <c r="M65"/>
      <c r="N65"/>
      <c r="O65"/>
      <c r="P65" s="3926"/>
      <c r="Q65" s="3889"/>
      <c r="R65"/>
      <c r="S65" s="3904"/>
      <c r="T65" s="3889"/>
      <c r="U65" s="1487" t="s">
        <v>1498</v>
      </c>
      <c r="V65" s="1474" t="s">
        <v>1499</v>
      </c>
      <c r="W65" s="3904"/>
      <c r="X65" s="3923"/>
      <c r="Y65" s="3923"/>
      <c r="Z65" s="3929"/>
      <c r="AA65"/>
      <c r="AB65" s="3807"/>
      <c r="AC65" s="3804"/>
      <c r="AD65" s="3807"/>
      <c r="AE65" s="3804"/>
      <c r="AF65" s="3807"/>
      <c r="AG65" s="3804"/>
      <c r="AH65" s="3807"/>
      <c r="AI65" s="3804"/>
      <c r="AJ65" s="3807"/>
      <c r="AK65" s="3804"/>
      <c r="AL65" s="3807"/>
      <c r="AM65" s="3804"/>
      <c r="AN65" s="3807"/>
      <c r="AO65" s="3804"/>
      <c r="AP65" s="3807"/>
      <c r="AQ65" s="3804"/>
      <c r="AR65" s="3807"/>
      <c r="AS65" s="3804"/>
      <c r="AT65" s="3807"/>
      <c r="AU65" s="3804"/>
      <c r="AV65" s="3807"/>
      <c r="AW65" s="3804"/>
      <c r="AX65" s="3807"/>
      <c r="AY65"/>
      <c r="AZ65" s="1488"/>
      <c r="BA65" s="1489"/>
      <c r="BB65" s="1490"/>
      <c r="BC65" s="1490"/>
      <c r="BD65" s="1490"/>
      <c r="BE65" s="1490"/>
      <c r="BF65" s="2804"/>
      <c r="BG65" s="2805"/>
      <c r="BH65" s="2804"/>
      <c r="BI65" s="2805"/>
      <c r="BJ65"/>
    </row>
    <row r="66" spans="1:62" s="1478" customFormat="1" ht="48.75" customHeight="1">
      <c r="A66" s="3872"/>
      <c r="B66" s="3873"/>
      <c r="C66" s="3874"/>
      <c r="D66" s="3878"/>
      <c r="E66" s="3879"/>
      <c r="F66" s="3880"/>
      <c r="G66" s="1480"/>
      <c r="H66" s="1481"/>
      <c r="I66" s="1482"/>
      <c r="J66"/>
      <c r="K66" s="3889"/>
      <c r="L66"/>
      <c r="M66"/>
      <c r="N66"/>
      <c r="O66"/>
      <c r="P66" s="3926"/>
      <c r="Q66" s="3889"/>
      <c r="R66"/>
      <c r="S66" s="3904"/>
      <c r="T66" s="3889"/>
      <c r="U66" s="1483" t="s">
        <v>1500</v>
      </c>
      <c r="V66" s="1474" t="s">
        <v>1501</v>
      </c>
      <c r="W66" s="3904"/>
      <c r="X66" s="3923"/>
      <c r="Y66" s="3923"/>
      <c r="Z66" s="3929"/>
      <c r="AA66"/>
      <c r="AB66" s="3807"/>
      <c r="AC66" s="3804"/>
      <c r="AD66" s="3807"/>
      <c r="AE66" s="3804"/>
      <c r="AF66" s="3807"/>
      <c r="AG66" s="3804"/>
      <c r="AH66" s="3807"/>
      <c r="AI66" s="3804"/>
      <c r="AJ66" s="3807"/>
      <c r="AK66" s="3804"/>
      <c r="AL66" s="3807"/>
      <c r="AM66" s="3804"/>
      <c r="AN66" s="3807"/>
      <c r="AO66" s="3804"/>
      <c r="AP66" s="3807"/>
      <c r="AQ66" s="3804"/>
      <c r="AR66" s="3807"/>
      <c r="AS66" s="3804"/>
      <c r="AT66" s="3807"/>
      <c r="AU66" s="3804"/>
      <c r="AV66" s="3807"/>
      <c r="AW66" s="3804"/>
      <c r="AX66" s="3807"/>
      <c r="AY66"/>
      <c r="AZ66" s="1488"/>
      <c r="BA66" s="1489"/>
      <c r="BB66" s="1490"/>
      <c r="BC66" s="1490"/>
      <c r="BD66" s="1490"/>
      <c r="BE66" s="1490"/>
      <c r="BF66" s="2804"/>
      <c r="BG66" s="2805"/>
      <c r="BH66" s="2804"/>
      <c r="BI66" s="2805"/>
      <c r="BJ66"/>
    </row>
    <row r="67" spans="1:62" s="1478" customFormat="1" ht="60" customHeight="1">
      <c r="A67" s="3872"/>
      <c r="B67" s="3873"/>
      <c r="C67" s="3874"/>
      <c r="D67" s="3878"/>
      <c r="E67" s="3879"/>
      <c r="F67" s="3880"/>
      <c r="G67" s="1480"/>
      <c r="H67" s="1481"/>
      <c r="I67" s="1482"/>
      <c r="J67" s="3945"/>
      <c r="K67" s="3947"/>
      <c r="L67"/>
      <c r="M67" s="3945"/>
      <c r="N67"/>
      <c r="O67"/>
      <c r="P67" s="3927"/>
      <c r="Q67" s="3947"/>
      <c r="R67"/>
      <c r="S67" s="3971"/>
      <c r="T67" s="3947"/>
      <c r="U67" s="1483" t="s">
        <v>1502</v>
      </c>
      <c r="V67" s="1474" t="s">
        <v>1503</v>
      </c>
      <c r="W67" s="3971"/>
      <c r="X67" s="3924"/>
      <c r="Y67" s="3924"/>
      <c r="Z67" s="3930"/>
      <c r="AA67"/>
      <c r="AB67" s="3808"/>
      <c r="AC67" s="3805"/>
      <c r="AD67" s="3808"/>
      <c r="AE67" s="3805"/>
      <c r="AF67" s="3808"/>
      <c r="AG67" s="3805"/>
      <c r="AH67" s="3808"/>
      <c r="AI67" s="3805"/>
      <c r="AJ67" s="3808"/>
      <c r="AK67" s="3805"/>
      <c r="AL67" s="3808"/>
      <c r="AM67" s="3805"/>
      <c r="AN67" s="3808"/>
      <c r="AO67" s="3805"/>
      <c r="AP67" s="3808"/>
      <c r="AQ67" s="3805"/>
      <c r="AR67" s="3808"/>
      <c r="AS67" s="3805"/>
      <c r="AT67" s="3808"/>
      <c r="AU67" s="3805"/>
      <c r="AV67" s="3808"/>
      <c r="AW67" s="3805"/>
      <c r="AX67" s="3808"/>
      <c r="AY67"/>
      <c r="AZ67" s="1491"/>
      <c r="BA67" s="1492"/>
      <c r="BB67" s="1493"/>
      <c r="BC67" s="1493"/>
      <c r="BD67" s="1493"/>
      <c r="BE67" s="1493"/>
      <c r="BF67" s="2806"/>
      <c r="BG67" s="2807"/>
      <c r="BH67" s="2806"/>
      <c r="BI67" s="2807"/>
      <c r="BJ67"/>
    </row>
    <row r="68" spans="1:62" s="1478" customFormat="1" ht="75.75" customHeight="1">
      <c r="A68" s="3872"/>
      <c r="B68" s="3873"/>
      <c r="C68" s="3874"/>
      <c r="D68" s="3878"/>
      <c r="E68" s="3879"/>
      <c r="F68" s="3880"/>
      <c r="G68" s="1480"/>
      <c r="H68" s="1481"/>
      <c r="I68" s="1482"/>
      <c r="J68">
        <v>47</v>
      </c>
      <c r="K68" s="3888" t="s">
        <v>1485</v>
      </c>
      <c r="L68" t="s">
        <v>1486</v>
      </c>
      <c r="M68">
        <v>12</v>
      </c>
      <c r="N68">
        <v>12</v>
      </c>
      <c r="O68" t="s">
        <v>1504</v>
      </c>
      <c r="P68" s="3925">
        <v>55</v>
      </c>
      <c r="Q68" s="3888" t="s">
        <v>1505</v>
      </c>
      <c r="R68">
        <v>1</v>
      </c>
      <c r="S68" s="3903">
        <v>5000000</v>
      </c>
      <c r="T68" s="3888" t="s">
        <v>1506</v>
      </c>
      <c r="U68" s="1483" t="s">
        <v>1507</v>
      </c>
      <c r="V68" s="1474" t="s">
        <v>1508</v>
      </c>
      <c r="W68" s="3903">
        <v>5000000</v>
      </c>
      <c r="X68" s="3922">
        <v>2500000</v>
      </c>
      <c r="Y68" s="3922">
        <v>2500000</v>
      </c>
      <c r="Z68" s="3928">
        <v>20</v>
      </c>
      <c r="AA68" t="s">
        <v>232</v>
      </c>
      <c r="AB68" s="3806">
        <f aca="true" t="shared" si="1" ref="AB68:AP68">AB72</f>
        <v>64149</v>
      </c>
      <c r="AC68" s="3803">
        <f>+AB68/$W$68*$Y$68</f>
        <v>32074.5</v>
      </c>
      <c r="AD68" s="3806" t="str">
        <f t="shared" si="1"/>
        <v>72.224</v>
      </c>
      <c r="AE68" s="3803">
        <f>+AD68/$W$68*$Y$68</f>
        <v>36112</v>
      </c>
      <c r="AF68" s="3806" t="str">
        <f t="shared" si="1"/>
        <v>27.477</v>
      </c>
      <c r="AG68" s="3803">
        <f>+AF68/$W$68*$Y$68</f>
        <v>13738.5</v>
      </c>
      <c r="AH68" s="3806" t="str">
        <f t="shared" si="1"/>
        <v>86.843</v>
      </c>
      <c r="AI68" s="3803">
        <f>+AH68/$W$68*$Y$68</f>
        <v>43421.5</v>
      </c>
      <c r="AJ68" s="3806" t="str">
        <f t="shared" si="1"/>
        <v>236.429</v>
      </c>
      <c r="AK68" s="3803">
        <f>+AJ68/$W$68*$Y$68</f>
        <v>118214.5</v>
      </c>
      <c r="AL68" s="3806" t="str">
        <f t="shared" si="1"/>
        <v>81.384</v>
      </c>
      <c r="AM68" s="3803">
        <f>+AL68/$W$68*$Y$68</f>
        <v>40692</v>
      </c>
      <c r="AN68" s="3806">
        <f t="shared" si="1"/>
        <v>13208</v>
      </c>
      <c r="AO68" s="3803">
        <f>+AN68/$W$68*$Y$68</f>
        <v>6604</v>
      </c>
      <c r="AP68" s="3806">
        <f t="shared" si="1"/>
        <v>1827</v>
      </c>
      <c r="AQ68" s="3803">
        <f>+AP68/$W$68*$Y$68</f>
        <v>913.5</v>
      </c>
      <c r="AR68" s="3806"/>
      <c r="AS68" s="3803"/>
      <c r="AT68" s="3806"/>
      <c r="AU68" s="3803"/>
      <c r="AV68" s="3806"/>
      <c r="AW68" s="3803"/>
      <c r="AX68" s="3806"/>
      <c r="AY68" s="3803"/>
      <c r="AZ68" t="s">
        <v>1509</v>
      </c>
      <c r="BA68">
        <v>2500000</v>
      </c>
      <c r="BB68">
        <v>2500000</v>
      </c>
      <c r="BC68">
        <f>+BB68/BA68</f>
        <v>1</v>
      </c>
      <c r="BD68" t="s">
        <v>38</v>
      </c>
      <c r="BE68" t="s">
        <v>1493</v>
      </c>
      <c r="BF68">
        <v>42508</v>
      </c>
      <c r="BG68">
        <v>42508</v>
      </c>
      <c r="BH68">
        <v>42597</v>
      </c>
      <c r="BI68">
        <v>42538</v>
      </c>
      <c r="BJ68"/>
    </row>
    <row r="69" spans="1:174" s="1495" customFormat="1" ht="33.75" customHeight="1">
      <c r="A69" s="3872"/>
      <c r="B69" s="3873"/>
      <c r="C69" s="3874"/>
      <c r="D69" s="3878"/>
      <c r="E69" s="3879"/>
      <c r="F69" s="3880"/>
      <c r="G69" s="1480"/>
      <c r="H69" s="1481"/>
      <c r="I69" s="1482"/>
      <c r="J69"/>
      <c r="K69" s="3889"/>
      <c r="L69"/>
      <c r="M69"/>
      <c r="N69"/>
      <c r="O69"/>
      <c r="P69" s="3926"/>
      <c r="Q69" s="3889"/>
      <c r="R69"/>
      <c r="S69" s="3904"/>
      <c r="T69" s="3889"/>
      <c r="U69" s="1483" t="s">
        <v>1510</v>
      </c>
      <c r="V69" s="1474" t="s">
        <v>1511</v>
      </c>
      <c r="W69" s="3904"/>
      <c r="X69" s="3923"/>
      <c r="Y69" s="3923"/>
      <c r="Z69" s="3929"/>
      <c r="AA69"/>
      <c r="AB69" s="3807"/>
      <c r="AC69" s="3804"/>
      <c r="AD69" s="3807"/>
      <c r="AE69" s="3804"/>
      <c r="AF69" s="3807"/>
      <c r="AG69" s="3804"/>
      <c r="AH69" s="3807"/>
      <c r="AI69" s="3804"/>
      <c r="AJ69" s="3807"/>
      <c r="AK69" s="3804"/>
      <c r="AL69" s="3807"/>
      <c r="AM69" s="3804"/>
      <c r="AN69" s="3807"/>
      <c r="AO69" s="3804"/>
      <c r="AP69" s="3807"/>
      <c r="AQ69" s="3804"/>
      <c r="AR69" s="3807"/>
      <c r="AS69" s="3804"/>
      <c r="AT69" s="3807"/>
      <c r="AU69" s="3804"/>
      <c r="AV69" s="3807"/>
      <c r="AW69" s="3804"/>
      <c r="AX69" s="3807"/>
      <c r="AY69"/>
      <c r="AZ69"/>
      <c r="BA69"/>
      <c r="BB69"/>
      <c r="BC69"/>
      <c r="BD69"/>
      <c r="BE69"/>
      <c r="BF69"/>
      <c r="BG69"/>
      <c r="BH69"/>
      <c r="BI69"/>
      <c r="BJ69"/>
      <c r="BK69" s="1478"/>
      <c r="BL69" s="1478"/>
      <c r="BM69" s="1478"/>
      <c r="BN69" s="1478"/>
      <c r="BO69" s="1478"/>
      <c r="BP69" s="1478"/>
      <c r="BQ69" s="1478"/>
      <c r="BR69" s="1478"/>
      <c r="BS69" s="1478"/>
      <c r="BT69" s="1478"/>
      <c r="BU69" s="1478"/>
      <c r="BV69" s="1478"/>
      <c r="BW69" s="1478"/>
      <c r="BX69" s="1478"/>
      <c r="BY69" s="1478"/>
      <c r="BZ69" s="1478"/>
      <c r="CA69" s="1478"/>
      <c r="CB69" s="1478"/>
      <c r="CC69" s="1478"/>
      <c r="CD69" s="1478"/>
      <c r="CE69" s="1478"/>
      <c r="CF69" s="1478"/>
      <c r="CG69" s="1478"/>
      <c r="CH69" s="1478"/>
      <c r="CI69" s="1478"/>
      <c r="CJ69" s="1478"/>
      <c r="CK69" s="1478"/>
      <c r="CL69" s="1478"/>
      <c r="CM69" s="1478"/>
      <c r="CN69" s="1478"/>
      <c r="CO69" s="1478"/>
      <c r="CP69" s="1478"/>
      <c r="CQ69" s="1478"/>
      <c r="CR69" s="1478"/>
      <c r="CS69" s="1478"/>
      <c r="CT69" s="1478"/>
      <c r="CU69" s="1478"/>
      <c r="CV69" s="1478"/>
      <c r="CW69" s="1478"/>
      <c r="CX69" s="1478"/>
      <c r="CY69" s="1478"/>
      <c r="CZ69" s="1478"/>
      <c r="DA69" s="1478"/>
      <c r="DB69" s="1478"/>
      <c r="DC69" s="1478"/>
      <c r="DD69" s="1478"/>
      <c r="DE69" s="1478"/>
      <c r="DF69" s="1478"/>
      <c r="DG69" s="1478"/>
      <c r="DH69" s="1478"/>
      <c r="DI69" s="1478"/>
      <c r="DJ69" s="1478"/>
      <c r="DK69" s="1478"/>
      <c r="DL69" s="1478"/>
      <c r="DM69" s="1478"/>
      <c r="DN69" s="1478"/>
      <c r="DO69" s="1478"/>
      <c r="DP69" s="1478"/>
      <c r="DQ69" s="1478"/>
      <c r="DR69" s="1478"/>
      <c r="DS69" s="1478"/>
      <c r="DT69" s="1478"/>
      <c r="DU69" s="1478"/>
      <c r="DV69" s="1478"/>
      <c r="DW69" s="1478"/>
      <c r="DX69" s="1478"/>
      <c r="DY69" s="1478"/>
      <c r="DZ69" s="1478"/>
      <c r="EA69" s="1478"/>
      <c r="EB69" s="1478"/>
      <c r="EC69" s="1478"/>
      <c r="ED69" s="1478"/>
      <c r="EE69" s="1478"/>
      <c r="EF69" s="1478"/>
      <c r="EG69" s="1478"/>
      <c r="EH69" s="1478"/>
      <c r="EI69" s="1478"/>
      <c r="EJ69" s="1478"/>
      <c r="EK69" s="1478"/>
      <c r="EL69" s="1478"/>
      <c r="EM69" s="1478"/>
      <c r="EN69" s="1478"/>
      <c r="EO69" s="1478"/>
      <c r="EP69" s="1478"/>
      <c r="EQ69" s="1478"/>
      <c r="ER69" s="1478"/>
      <c r="ES69" s="1478"/>
      <c r="ET69" s="1478"/>
      <c r="EU69" s="1478"/>
      <c r="EV69" s="1478"/>
      <c r="EW69" s="1478"/>
      <c r="EX69" s="1478"/>
      <c r="EY69" s="1478"/>
      <c r="EZ69" s="1478"/>
      <c r="FA69" s="1478"/>
      <c r="FB69" s="1478"/>
      <c r="FC69" s="1478"/>
      <c r="FD69" s="1478"/>
      <c r="FE69" s="1478"/>
      <c r="FF69" s="1478"/>
      <c r="FG69" s="1478"/>
      <c r="FH69" s="1478"/>
      <c r="FI69" s="1478"/>
      <c r="FJ69" s="1478"/>
      <c r="FK69" s="1478"/>
      <c r="FL69" s="1478"/>
      <c r="FM69" s="1478"/>
      <c r="FN69" s="1478"/>
      <c r="FO69" s="1478"/>
      <c r="FP69" s="1478"/>
      <c r="FQ69" s="1478"/>
      <c r="FR69" s="1494"/>
    </row>
    <row r="70" spans="1:174" s="1495" customFormat="1" ht="37.5" customHeight="1">
      <c r="A70" s="3872"/>
      <c r="B70" s="3873"/>
      <c r="C70" s="3874"/>
      <c r="D70" s="3878"/>
      <c r="E70" s="3879"/>
      <c r="F70" s="3880"/>
      <c r="G70" s="1480"/>
      <c r="H70" s="1481"/>
      <c r="I70" s="1482"/>
      <c r="J70"/>
      <c r="K70" s="3889"/>
      <c r="L70"/>
      <c r="M70"/>
      <c r="N70"/>
      <c r="O70"/>
      <c r="P70" s="3926"/>
      <c r="Q70" s="3889"/>
      <c r="R70"/>
      <c r="S70" s="3904"/>
      <c r="T70" s="3889"/>
      <c r="U70" s="1483" t="s">
        <v>1512</v>
      </c>
      <c r="V70" s="1474" t="s">
        <v>1513</v>
      </c>
      <c r="W70" s="3904"/>
      <c r="X70" s="3923"/>
      <c r="Y70" s="3923"/>
      <c r="Z70" s="3929"/>
      <c r="AA70"/>
      <c r="AB70" s="3807"/>
      <c r="AC70" s="3804"/>
      <c r="AD70" s="3807"/>
      <c r="AE70" s="3804"/>
      <c r="AF70" s="3807"/>
      <c r="AG70" s="3804"/>
      <c r="AH70" s="3807"/>
      <c r="AI70" s="3804"/>
      <c r="AJ70" s="3807"/>
      <c r="AK70" s="3804"/>
      <c r="AL70" s="3807"/>
      <c r="AM70" s="3804"/>
      <c r="AN70" s="3807"/>
      <c r="AO70" s="3804"/>
      <c r="AP70" s="3807"/>
      <c r="AQ70" s="3804"/>
      <c r="AR70" s="3807"/>
      <c r="AS70" s="3804"/>
      <c r="AT70" s="3807"/>
      <c r="AU70" s="3804"/>
      <c r="AV70" s="3807"/>
      <c r="AW70" s="3804"/>
      <c r="AX70" s="3807"/>
      <c r="AY70"/>
      <c r="AZ70"/>
      <c r="BA70"/>
      <c r="BB70"/>
      <c r="BC70"/>
      <c r="BD70"/>
      <c r="BE70"/>
      <c r="BF70"/>
      <c r="BG70"/>
      <c r="BH70"/>
      <c r="BI70"/>
      <c r="BJ70"/>
      <c r="BK70" s="1478"/>
      <c r="BL70" s="1478"/>
      <c r="BM70" s="1478"/>
      <c r="BN70" s="1478"/>
      <c r="BO70" s="1478"/>
      <c r="BP70" s="1478"/>
      <c r="BQ70" s="1478"/>
      <c r="BR70" s="1478"/>
      <c r="BS70" s="1478"/>
      <c r="BT70" s="1478"/>
      <c r="BU70" s="1478"/>
      <c r="BV70" s="1478"/>
      <c r="BW70" s="1478"/>
      <c r="BX70" s="1478"/>
      <c r="BY70" s="1478"/>
      <c r="BZ70" s="1478"/>
      <c r="CA70" s="1478"/>
      <c r="CB70" s="1478"/>
      <c r="CC70" s="1478"/>
      <c r="CD70" s="1478"/>
      <c r="CE70" s="1478"/>
      <c r="CF70" s="1478"/>
      <c r="CG70" s="1478"/>
      <c r="CH70" s="1478"/>
      <c r="CI70" s="1478"/>
      <c r="CJ70" s="1478"/>
      <c r="CK70" s="1478"/>
      <c r="CL70" s="1478"/>
      <c r="CM70" s="1478"/>
      <c r="CN70" s="1478"/>
      <c r="CO70" s="1478"/>
      <c r="CP70" s="1478"/>
      <c r="CQ70" s="1478"/>
      <c r="CR70" s="1478"/>
      <c r="CS70" s="1478"/>
      <c r="CT70" s="1478"/>
      <c r="CU70" s="1478"/>
      <c r="CV70" s="1478"/>
      <c r="CW70" s="1478"/>
      <c r="CX70" s="1478"/>
      <c r="CY70" s="1478"/>
      <c r="CZ70" s="1478"/>
      <c r="DA70" s="1478"/>
      <c r="DB70" s="1478"/>
      <c r="DC70" s="1478"/>
      <c r="DD70" s="1478"/>
      <c r="DE70" s="1478"/>
      <c r="DF70" s="1478"/>
      <c r="DG70" s="1478"/>
      <c r="DH70" s="1478"/>
      <c r="DI70" s="1478"/>
      <c r="DJ70" s="1478"/>
      <c r="DK70" s="1478"/>
      <c r="DL70" s="1478"/>
      <c r="DM70" s="1478"/>
      <c r="DN70" s="1478"/>
      <c r="DO70" s="1478"/>
      <c r="DP70" s="1478"/>
      <c r="DQ70" s="1478"/>
      <c r="DR70" s="1478"/>
      <c r="DS70" s="1478"/>
      <c r="DT70" s="1478"/>
      <c r="DU70" s="1478"/>
      <c r="DV70" s="1478"/>
      <c r="DW70" s="1478"/>
      <c r="DX70" s="1478"/>
      <c r="DY70" s="1478"/>
      <c r="DZ70" s="1478"/>
      <c r="EA70" s="1478"/>
      <c r="EB70" s="1478"/>
      <c r="EC70" s="1478"/>
      <c r="ED70" s="1478"/>
      <c r="EE70" s="1478"/>
      <c r="EF70" s="1478"/>
      <c r="EG70" s="1478"/>
      <c r="EH70" s="1478"/>
      <c r="EI70" s="1478"/>
      <c r="EJ70" s="1478"/>
      <c r="EK70" s="1478"/>
      <c r="EL70" s="1478"/>
      <c r="EM70" s="1478"/>
      <c r="EN70" s="1478"/>
      <c r="EO70" s="1478"/>
      <c r="EP70" s="1478"/>
      <c r="EQ70" s="1478"/>
      <c r="ER70" s="1478"/>
      <c r="ES70" s="1478"/>
      <c r="ET70" s="1478"/>
      <c r="EU70" s="1478"/>
      <c r="EV70" s="1478"/>
      <c r="EW70" s="1478"/>
      <c r="EX70" s="1478"/>
      <c r="EY70" s="1478"/>
      <c r="EZ70" s="1478"/>
      <c r="FA70" s="1478"/>
      <c r="FB70" s="1478"/>
      <c r="FC70" s="1478"/>
      <c r="FD70" s="1478"/>
      <c r="FE70" s="1478"/>
      <c r="FF70" s="1478"/>
      <c r="FG70" s="1478"/>
      <c r="FH70" s="1478"/>
      <c r="FI70" s="1478"/>
      <c r="FJ70" s="1478"/>
      <c r="FK70" s="1478"/>
      <c r="FL70" s="1478"/>
      <c r="FM70" s="1478"/>
      <c r="FN70" s="1478"/>
      <c r="FO70" s="1478"/>
      <c r="FP70" s="1478"/>
      <c r="FQ70" s="1478"/>
      <c r="FR70" s="1494"/>
    </row>
    <row r="71" spans="1:174" s="1479" customFormat="1" ht="47.25" customHeight="1">
      <c r="A71" s="3872"/>
      <c r="B71" s="3873"/>
      <c r="C71" s="3874"/>
      <c r="D71" s="3878"/>
      <c r="E71" s="3879"/>
      <c r="F71" s="3880"/>
      <c r="G71" s="1480"/>
      <c r="H71" s="1481"/>
      <c r="I71" s="1482"/>
      <c r="J71" s="3945"/>
      <c r="K71" s="3947"/>
      <c r="L71"/>
      <c r="M71" s="3945"/>
      <c r="N71"/>
      <c r="O71"/>
      <c r="P71" s="3927"/>
      <c r="Q71" s="3947"/>
      <c r="R71"/>
      <c r="S71" s="3971"/>
      <c r="T71" s="3947"/>
      <c r="U71" s="1473" t="s">
        <v>1514</v>
      </c>
      <c r="V71" s="1474" t="s">
        <v>1515</v>
      </c>
      <c r="W71" s="3971"/>
      <c r="X71" s="3924"/>
      <c r="Y71" s="3924"/>
      <c r="Z71" s="3930"/>
      <c r="AA71"/>
      <c r="AB71" s="3808"/>
      <c r="AC71" s="3805"/>
      <c r="AD71" s="3808"/>
      <c r="AE71" s="3805"/>
      <c r="AF71" s="3808"/>
      <c r="AG71" s="3805"/>
      <c r="AH71" s="3808"/>
      <c r="AI71" s="3805"/>
      <c r="AJ71" s="3808"/>
      <c r="AK71" s="3805"/>
      <c r="AL71" s="3808"/>
      <c r="AM71" s="3805"/>
      <c r="AN71" s="3808"/>
      <c r="AO71" s="3805"/>
      <c r="AP71" s="3808"/>
      <c r="AQ71" s="3805"/>
      <c r="AR71" s="3808"/>
      <c r="AS71" s="3805"/>
      <c r="AT71" s="3808"/>
      <c r="AU71" s="3805"/>
      <c r="AV71" s="3808"/>
      <c r="AW71" s="3805"/>
      <c r="AX71" s="3808"/>
      <c r="AY71"/>
      <c r="AZ71"/>
      <c r="BA71"/>
      <c r="BB71"/>
      <c r="BC71"/>
      <c r="BD71"/>
      <c r="BE71"/>
      <c r="BF71"/>
      <c r="BG71"/>
      <c r="BH71"/>
      <c r="BI71"/>
      <c r="BJ71"/>
      <c r="BK71" s="1478"/>
      <c r="BL71" s="1478"/>
      <c r="BM71" s="1478"/>
      <c r="BN71" s="1478"/>
      <c r="BO71" s="1478"/>
      <c r="BP71" s="1478"/>
      <c r="BQ71" s="1478"/>
      <c r="BR71" s="1478"/>
      <c r="BS71" s="1478"/>
      <c r="BT71" s="1478"/>
      <c r="BU71" s="1478"/>
      <c r="BV71" s="1478"/>
      <c r="BW71" s="1478"/>
      <c r="BX71" s="1478"/>
      <c r="BY71" s="1478"/>
      <c r="BZ71" s="1478"/>
      <c r="CA71" s="1478"/>
      <c r="CB71" s="1478"/>
      <c r="CC71" s="1478"/>
      <c r="CD71" s="1478"/>
      <c r="CE71" s="1478"/>
      <c r="CF71" s="1478"/>
      <c r="CG71" s="1478"/>
      <c r="CH71" s="1478"/>
      <c r="CI71" s="1478"/>
      <c r="CJ71" s="1478"/>
      <c r="CK71" s="1478"/>
      <c r="CL71" s="1478"/>
      <c r="CM71" s="1478"/>
      <c r="CN71" s="1478"/>
      <c r="CO71" s="1478"/>
      <c r="CP71" s="1478"/>
      <c r="CQ71" s="1478"/>
      <c r="CR71" s="1478"/>
      <c r="CS71" s="1478"/>
      <c r="CT71" s="1478"/>
      <c r="CU71" s="1478"/>
      <c r="CV71" s="1478"/>
      <c r="CW71" s="1478"/>
      <c r="CX71" s="1478"/>
      <c r="CY71" s="1478"/>
      <c r="CZ71" s="1478"/>
      <c r="DA71" s="1478"/>
      <c r="DB71" s="1478"/>
      <c r="DC71" s="1478"/>
      <c r="DD71" s="1478"/>
      <c r="DE71" s="1478"/>
      <c r="DF71" s="1478"/>
      <c r="DG71" s="1478"/>
      <c r="DH71" s="1478"/>
      <c r="DI71" s="1478"/>
      <c r="DJ71" s="1478"/>
      <c r="DK71" s="1478"/>
      <c r="DL71" s="1478"/>
      <c r="DM71" s="1478"/>
      <c r="DN71" s="1478"/>
      <c r="DO71" s="1478"/>
      <c r="DP71" s="1478"/>
      <c r="DQ71" s="1478"/>
      <c r="DR71" s="1478"/>
      <c r="DS71" s="1478"/>
      <c r="DT71" s="1478"/>
      <c r="DU71" s="1478"/>
      <c r="DV71" s="1478"/>
      <c r="DW71" s="1478"/>
      <c r="DX71" s="1478"/>
      <c r="DY71" s="1478"/>
      <c r="DZ71" s="1478"/>
      <c r="EA71" s="1478"/>
      <c r="EB71" s="1478"/>
      <c r="EC71" s="1478"/>
      <c r="ED71" s="1478"/>
      <c r="EE71" s="1478"/>
      <c r="EF71" s="1478"/>
      <c r="EG71" s="1478"/>
      <c r="EH71" s="1478"/>
      <c r="EI71" s="1478"/>
      <c r="EJ71" s="1478"/>
      <c r="EK71" s="1478"/>
      <c r="EL71" s="1478"/>
      <c r="EM71" s="1478"/>
      <c r="EN71" s="1478"/>
      <c r="EO71" s="1478"/>
      <c r="EP71" s="1478"/>
      <c r="EQ71" s="1478"/>
      <c r="ER71" s="1478"/>
      <c r="ES71" s="1478"/>
      <c r="ET71" s="1478"/>
      <c r="EU71" s="1478"/>
      <c r="EV71" s="1478"/>
      <c r="EW71" s="1478"/>
      <c r="EX71" s="1478"/>
      <c r="EY71" s="1478"/>
      <c r="EZ71" s="1478"/>
      <c r="FA71" s="1478"/>
      <c r="FB71" s="1478"/>
      <c r="FC71" s="1478"/>
      <c r="FD71" s="1478"/>
      <c r="FE71" s="1478"/>
      <c r="FF71" s="1478"/>
      <c r="FG71" s="1478"/>
      <c r="FH71" s="1478"/>
      <c r="FI71" s="1478"/>
      <c r="FJ71" s="1478"/>
      <c r="FK71" s="1478"/>
      <c r="FL71" s="1478"/>
      <c r="FM71" s="1478"/>
      <c r="FN71" s="1478"/>
      <c r="FO71" s="1478"/>
      <c r="FP71" s="1478"/>
      <c r="FQ71" s="1478"/>
      <c r="FR71" s="1496"/>
    </row>
    <row r="72" spans="1:62" ht="75.75" customHeight="1">
      <c r="A72" s="3872"/>
      <c r="B72" s="3873"/>
      <c r="C72" s="3874"/>
      <c r="D72" s="3878"/>
      <c r="E72" s="3879"/>
      <c r="F72" s="3880"/>
      <c r="G72"/>
      <c r="H72"/>
      <c r="I72"/>
      <c r="J72">
        <v>47</v>
      </c>
      <c r="K72" s="3959" t="s">
        <v>1485</v>
      </c>
      <c r="L72" t="s">
        <v>37</v>
      </c>
      <c r="M72" s="3961">
        <v>12</v>
      </c>
      <c r="N72">
        <v>12</v>
      </c>
      <c r="O72" s="3881" t="s">
        <v>1516</v>
      </c>
      <c r="P72">
        <v>56</v>
      </c>
      <c r="Q72" t="s">
        <v>1517</v>
      </c>
      <c r="R72">
        <f>W72/S72</f>
        <v>0.6363636363636364</v>
      </c>
      <c r="S72" s="3903">
        <v>165000000</v>
      </c>
      <c r="T72" s="3959" t="s">
        <v>1518</v>
      </c>
      <c r="U72" s="3959" t="s">
        <v>1519</v>
      </c>
      <c r="V72" s="3968" t="s">
        <v>1520</v>
      </c>
      <c r="W72" s="3909">
        <v>105000000</v>
      </c>
      <c r="X72" s="3917">
        <f>102670000+9890000-5000000-4950000</f>
        <v>102610000</v>
      </c>
      <c r="Y72" s="3917">
        <v>102610000</v>
      </c>
      <c r="Z72">
        <v>20</v>
      </c>
      <c r="AA72" s="3955" t="s">
        <v>232</v>
      </c>
      <c r="AB72">
        <v>64149</v>
      </c>
      <c r="AC72" s="1498"/>
      <c r="AD72" t="s">
        <v>1431</v>
      </c>
      <c r="AE72" s="1498"/>
      <c r="AF72" t="s">
        <v>1432</v>
      </c>
      <c r="AG72" s="1498"/>
      <c r="AH72" t="s">
        <v>1433</v>
      </c>
      <c r="AI72" s="1498"/>
      <c r="AJ72" t="s">
        <v>1434</v>
      </c>
      <c r="AK72" s="1498"/>
      <c r="AL72" t="s">
        <v>1435</v>
      </c>
      <c r="AM72" s="1498"/>
      <c r="AN72">
        <v>13208</v>
      </c>
      <c r="AO72" s="1498"/>
      <c r="AP72">
        <v>1827</v>
      </c>
      <c r="AQ72" s="1503"/>
      <c r="AR72" s="1497"/>
      <c r="AS72"/>
      <c r="AT72"/>
      <c r="AU72"/>
      <c r="AV72"/>
      <c r="AW72"/>
      <c r="AX72"/>
      <c r="AY72"/>
      <c r="AZ72" s="1499" t="s">
        <v>1521</v>
      </c>
      <c r="BA72" s="1500">
        <v>5000000</v>
      </c>
      <c r="BB72" s="1500">
        <v>5000000</v>
      </c>
      <c r="BC72" s="1500">
        <v>100</v>
      </c>
      <c r="BD72" s="1500" t="s">
        <v>38</v>
      </c>
      <c r="BE72" s="1501" t="s">
        <v>1468</v>
      </c>
      <c r="BF72" s="1500" t="s">
        <v>1522</v>
      </c>
      <c r="BG72" s="1502" t="s">
        <v>1523</v>
      </c>
      <c r="BH72" s="1500" t="s">
        <v>1524</v>
      </c>
      <c r="BI72" s="1502" t="s">
        <v>1525</v>
      </c>
      <c r="BJ72"/>
    </row>
    <row r="73" spans="1:62" ht="66" customHeight="1">
      <c r="A73" s="3872"/>
      <c r="B73" s="3873"/>
      <c r="C73" s="3874"/>
      <c r="D73" s="3878"/>
      <c r="E73" s="3879"/>
      <c r="F73" s="3880"/>
      <c r="G73"/>
      <c r="H73"/>
      <c r="I73"/>
      <c r="J73"/>
      <c r="K73"/>
      <c r="L73" s="3949"/>
      <c r="M73"/>
      <c r="N73"/>
      <c r="O73" s="3955"/>
      <c r="P73" s="3957"/>
      <c r="Q73"/>
      <c r="R73"/>
      <c r="S73" s="3904"/>
      <c r="T73"/>
      <c r="U73"/>
      <c r="V73" s="3968"/>
      <c r="W73" s="3910"/>
      <c r="X73" s="3918"/>
      <c r="Y73" s="3918"/>
      <c r="Z73"/>
      <c r="AA73" s="3955"/>
      <c r="AB73"/>
      <c r="AC73" s="1503"/>
      <c r="AD73"/>
      <c r="AE73" s="1503"/>
      <c r="AF73"/>
      <c r="AG73" s="1503"/>
      <c r="AH73"/>
      <c r="AI73" s="1503"/>
      <c r="AJ73"/>
      <c r="AK73" s="1503"/>
      <c r="AL73"/>
      <c r="AM73" s="1503"/>
      <c r="AN73"/>
      <c r="AO73" s="1503"/>
      <c r="AP73"/>
      <c r="AQ73" s="1503"/>
      <c r="AR73" s="1497"/>
      <c r="AS73"/>
      <c r="AT73"/>
      <c r="AU73"/>
      <c r="AV73"/>
      <c r="AW73"/>
      <c r="AX73"/>
      <c r="AY73"/>
      <c r="AZ73" s="1501" t="s">
        <v>1526</v>
      </c>
      <c r="BA73" s="1504">
        <v>32000000</v>
      </c>
      <c r="BB73" s="1504">
        <v>32000000</v>
      </c>
      <c r="BC73" s="1504">
        <v>100</v>
      </c>
      <c r="BD73" s="1500" t="s">
        <v>38</v>
      </c>
      <c r="BE73" s="1501" t="s">
        <v>1468</v>
      </c>
      <c r="BF73" s="1500" t="s">
        <v>1527</v>
      </c>
      <c r="BG73" s="1505">
        <v>42962</v>
      </c>
      <c r="BH73" s="1505">
        <v>42720</v>
      </c>
      <c r="BI73" s="1505">
        <v>42720</v>
      </c>
      <c r="BJ73"/>
    </row>
    <row r="74" spans="1:62" ht="54" customHeight="1">
      <c r="A74" s="3872"/>
      <c r="B74" s="3873"/>
      <c r="C74" s="3874"/>
      <c r="D74" s="3878"/>
      <c r="E74" s="3879"/>
      <c r="F74" s="3880"/>
      <c r="G74"/>
      <c r="H74"/>
      <c r="I74"/>
      <c r="J74"/>
      <c r="K74"/>
      <c r="L74" s="3949"/>
      <c r="M74"/>
      <c r="N74"/>
      <c r="O74" s="3955"/>
      <c r="P74" s="3957"/>
      <c r="Q74"/>
      <c r="R74"/>
      <c r="S74" s="3904"/>
      <c r="T74"/>
      <c r="U74"/>
      <c r="V74" s="3968"/>
      <c r="W74" s="3910"/>
      <c r="X74" s="3918"/>
      <c r="Y74" s="3918"/>
      <c r="Z74"/>
      <c r="AA74" s="3955"/>
      <c r="AB74"/>
      <c r="AC74" s="1503"/>
      <c r="AD74"/>
      <c r="AE74" s="1503"/>
      <c r="AF74"/>
      <c r="AG74" s="1503"/>
      <c r="AH74"/>
      <c r="AI74" s="1503"/>
      <c r="AJ74"/>
      <c r="AK74" s="1503"/>
      <c r="AL74"/>
      <c r="AM74" s="1503"/>
      <c r="AN74"/>
      <c r="AO74" s="1503"/>
      <c r="AP74"/>
      <c r="AQ74" s="1503"/>
      <c r="AR74" s="1497"/>
      <c r="AS74"/>
      <c r="AT74"/>
      <c r="AU74"/>
      <c r="AV74"/>
      <c r="AW74"/>
      <c r="AX74"/>
      <c r="AY74"/>
      <c r="AZ74" s="1499" t="s">
        <v>1528</v>
      </c>
      <c r="BA74" s="1500">
        <v>60000000</v>
      </c>
      <c r="BB74" s="1500">
        <v>60000000</v>
      </c>
      <c r="BC74" s="1500">
        <v>100</v>
      </c>
      <c r="BD74" s="1500" t="s">
        <v>38</v>
      </c>
      <c r="BE74" s="1501" t="s">
        <v>1468</v>
      </c>
      <c r="BF74" s="1506">
        <v>42684</v>
      </c>
      <c r="BG74" s="1505">
        <v>42684</v>
      </c>
      <c r="BH74" s="1506">
        <v>42734</v>
      </c>
      <c r="BI74" s="1505">
        <v>42734</v>
      </c>
      <c r="BJ74"/>
    </row>
    <row r="75" spans="1:62" ht="48" customHeight="1">
      <c r="A75" s="3872"/>
      <c r="B75" s="3873"/>
      <c r="C75" s="3874"/>
      <c r="D75" s="3878"/>
      <c r="E75" s="3879"/>
      <c r="F75" s="3880"/>
      <c r="G75"/>
      <c r="H75"/>
      <c r="I75"/>
      <c r="J75"/>
      <c r="K75"/>
      <c r="L75" s="3949"/>
      <c r="M75"/>
      <c r="N75"/>
      <c r="O75" s="3955"/>
      <c r="P75" s="3957"/>
      <c r="Q75"/>
      <c r="R75"/>
      <c r="S75" s="3904"/>
      <c r="T75"/>
      <c r="U75"/>
      <c r="V75" s="3968"/>
      <c r="W75" s="3910"/>
      <c r="X75" s="3918"/>
      <c r="Y75" s="3918"/>
      <c r="Z75"/>
      <c r="AA75" s="3955"/>
      <c r="AB75"/>
      <c r="AC75" s="1503"/>
      <c r="AD75"/>
      <c r="AE75" s="1503"/>
      <c r="AF75"/>
      <c r="AG75" s="1503"/>
      <c r="AH75"/>
      <c r="AI75" s="1503"/>
      <c r="AJ75"/>
      <c r="AK75" s="1503"/>
      <c r="AL75"/>
      <c r="AM75" s="1503"/>
      <c r="AN75"/>
      <c r="AO75" s="1503"/>
      <c r="AP75"/>
      <c r="AQ75" s="1503"/>
      <c r="AR75" s="1497"/>
      <c r="AS75"/>
      <c r="AT75"/>
      <c r="AU75"/>
      <c r="AV75"/>
      <c r="AW75"/>
      <c r="AX75"/>
      <c r="AY75"/>
      <c r="AZ75" s="1499" t="s">
        <v>1529</v>
      </c>
      <c r="BA75" s="1500">
        <v>4170000</v>
      </c>
      <c r="BB75" s="1500">
        <v>4170000</v>
      </c>
      <c r="BC75" s="1500">
        <v>100</v>
      </c>
      <c r="BD75" s="1500" t="s">
        <v>38</v>
      </c>
      <c r="BE75" s="1501" t="s">
        <v>1468</v>
      </c>
      <c r="BF75" s="1506">
        <v>42691</v>
      </c>
      <c r="BG75" s="1505">
        <v>42691</v>
      </c>
      <c r="BH75" s="1506">
        <v>42734</v>
      </c>
      <c r="BI75" s="1505">
        <v>42734</v>
      </c>
      <c r="BJ75"/>
    </row>
    <row r="76" spans="1:62" ht="13.5" customHeight="1">
      <c r="A76" s="3872"/>
      <c r="B76" s="3873"/>
      <c r="C76" s="3874"/>
      <c r="D76" s="3878"/>
      <c r="E76" s="3879"/>
      <c r="F76" s="3880"/>
      <c r="G76"/>
      <c r="H76"/>
      <c r="I76"/>
      <c r="J76"/>
      <c r="K76"/>
      <c r="L76" s="3949"/>
      <c r="M76"/>
      <c r="N76"/>
      <c r="O76" s="3955"/>
      <c r="P76" s="3957"/>
      <c r="Q76"/>
      <c r="R76"/>
      <c r="S76" s="3904"/>
      <c r="T76"/>
      <c r="U76"/>
      <c r="V76" s="3968"/>
      <c r="W76" s="3910"/>
      <c r="X76" s="3918"/>
      <c r="Y76" s="3918"/>
      <c r="Z76"/>
      <c r="AA76" s="3955"/>
      <c r="AB76"/>
      <c r="AC76" s="1503"/>
      <c r="AD76"/>
      <c r="AE76" s="1503"/>
      <c r="AF76"/>
      <c r="AG76" s="1503"/>
      <c r="AH76"/>
      <c r="AI76" s="1503"/>
      <c r="AJ76"/>
      <c r="AK76" s="1503"/>
      <c r="AL76"/>
      <c r="AM76" s="1503"/>
      <c r="AN76"/>
      <c r="AO76" s="1503"/>
      <c r="AP76"/>
      <c r="AQ76" s="1503"/>
      <c r="AR76" s="1497"/>
      <c r="AS76"/>
      <c r="AT76"/>
      <c r="AU76"/>
      <c r="AV76"/>
      <c r="AW76"/>
      <c r="AX76"/>
      <c r="AY76"/>
      <c r="AZ76" s="3961" t="s">
        <v>1530</v>
      </c>
      <c r="BA76" s="3961">
        <v>1440000</v>
      </c>
      <c r="BB76" s="3961">
        <v>1440000</v>
      </c>
      <c r="BC76" s="3961">
        <v>100</v>
      </c>
      <c r="BD76" s="3961" t="s">
        <v>38</v>
      </c>
      <c r="BE76" t="s">
        <v>1468</v>
      </c>
      <c r="BF76">
        <v>42710</v>
      </c>
      <c r="BG76">
        <v>42710</v>
      </c>
      <c r="BH76">
        <v>42734</v>
      </c>
      <c r="BI76">
        <v>42734</v>
      </c>
      <c r="BJ76"/>
    </row>
    <row r="77" spans="1:62" ht="28.5" customHeight="1">
      <c r="A77" s="3872"/>
      <c r="B77" s="3873"/>
      <c r="C77" s="3874"/>
      <c r="D77" s="3878"/>
      <c r="E77" s="3879"/>
      <c r="F77" s="3880"/>
      <c r="G77"/>
      <c r="H77"/>
      <c r="I77"/>
      <c r="J77"/>
      <c r="K77" s="3958"/>
      <c r="L77" s="3949"/>
      <c r="M77"/>
      <c r="N77"/>
      <c r="O77" s="3955"/>
      <c r="P77" s="3957"/>
      <c r="Q77"/>
      <c r="R77"/>
      <c r="S77" s="3904"/>
      <c r="T77"/>
      <c r="U77" s="3958"/>
      <c r="V77" s="3970"/>
      <c r="W77" s="3911"/>
      <c r="X77" s="3919"/>
      <c r="Y77" s="3919"/>
      <c r="Z77"/>
      <c r="AA77" s="3955"/>
      <c r="AB77"/>
      <c r="AC77" s="1503"/>
      <c r="AD77"/>
      <c r="AE77" s="1503"/>
      <c r="AF77"/>
      <c r="AG77" s="1503"/>
      <c r="AH77"/>
      <c r="AI77" s="1503"/>
      <c r="AJ77"/>
      <c r="AK77" s="1503"/>
      <c r="AL77"/>
      <c r="AM77" s="1503"/>
      <c r="AN77"/>
      <c r="AO77" s="1503"/>
      <c r="AP77"/>
      <c r="AQ77" s="1503"/>
      <c r="AR77" s="1497"/>
      <c r="AS77"/>
      <c r="AT77"/>
      <c r="AU77"/>
      <c r="AV77"/>
      <c r="AW77"/>
      <c r="AX77"/>
      <c r="AY77"/>
      <c r="AZ77"/>
      <c r="BA77"/>
      <c r="BB77"/>
      <c r="BC77"/>
      <c r="BD77"/>
      <c r="BE77"/>
      <c r="BF77"/>
      <c r="BG77"/>
      <c r="BH77"/>
      <c r="BI77"/>
      <c r="BJ77"/>
    </row>
    <row r="78" spans="1:62" ht="13.5" customHeight="1">
      <c r="A78" s="3872"/>
      <c r="B78" s="3873"/>
      <c r="C78" s="3874"/>
      <c r="D78" s="3878"/>
      <c r="E78" s="3879"/>
      <c r="F78" s="3880"/>
      <c r="G78"/>
      <c r="H78"/>
      <c r="I78"/>
      <c r="J78">
        <v>48</v>
      </c>
      <c r="K78" s="3884" t="s">
        <v>1531</v>
      </c>
      <c r="L78" s="3949"/>
      <c r="M78" s="3960">
        <v>1</v>
      </c>
      <c r="N78">
        <v>0.5</v>
      </c>
      <c r="O78" s="3955"/>
      <c r="P78" s="3957"/>
      <c r="Q78"/>
      <c r="R78">
        <f>W78/S72</f>
        <v>0.3333333333333333</v>
      </c>
      <c r="S78" s="3904"/>
      <c r="T78"/>
      <c r="U78" s="3884" t="s">
        <v>1532</v>
      </c>
      <c r="V78" t="s">
        <v>1533</v>
      </c>
      <c r="W78">
        <v>55000000</v>
      </c>
      <c r="X78" s="3823">
        <v>5000000</v>
      </c>
      <c r="Y78" s="3823">
        <v>5000000</v>
      </c>
      <c r="Z78"/>
      <c r="AA78" s="3955"/>
      <c r="AB78"/>
      <c r="AC78" s="1503"/>
      <c r="AD78"/>
      <c r="AE78" s="1503"/>
      <c r="AF78"/>
      <c r="AG78" s="1503"/>
      <c r="AH78"/>
      <c r="AI78" s="1503"/>
      <c r="AJ78"/>
      <c r="AK78" s="1503"/>
      <c r="AL78"/>
      <c r="AM78" s="1503"/>
      <c r="AN78"/>
      <c r="AO78" s="1503"/>
      <c r="AP78"/>
      <c r="AQ78" s="1503"/>
      <c r="AR78" s="1497"/>
      <c r="AS78"/>
      <c r="AT78"/>
      <c r="AU78"/>
      <c r="AV78"/>
      <c r="AW78"/>
      <c r="AX78"/>
      <c r="AY78"/>
      <c r="AZ78" s="3960" t="s">
        <v>1534</v>
      </c>
      <c r="BA78" s="3960">
        <v>5000000</v>
      </c>
      <c r="BB78" s="3960">
        <v>5000000</v>
      </c>
      <c r="BC78" s="3960">
        <v>100</v>
      </c>
      <c r="BD78" s="3960" t="s">
        <v>38</v>
      </c>
      <c r="BE78" s="3883" t="s">
        <v>1535</v>
      </c>
      <c r="BF78" s="3961" t="s">
        <v>1522</v>
      </c>
      <c r="BG78" s="3972" t="s">
        <v>1536</v>
      </c>
      <c r="BH78" s="3960" t="s">
        <v>1524</v>
      </c>
      <c r="BI78" s="3972" t="s">
        <v>1537</v>
      </c>
      <c r="BJ78"/>
    </row>
    <row r="79" spans="1:62" ht="24" customHeight="1">
      <c r="A79" s="3872"/>
      <c r="B79" s="3873"/>
      <c r="C79" s="3874"/>
      <c r="D79" s="3878"/>
      <c r="E79" s="3879"/>
      <c r="F79" s="3880"/>
      <c r="G79"/>
      <c r="H79"/>
      <c r="I79"/>
      <c r="J79"/>
      <c r="K79" s="3884"/>
      <c r="L79" s="3949"/>
      <c r="M79" s="3960"/>
      <c r="N79"/>
      <c r="O79" s="3955"/>
      <c r="P79" s="3957"/>
      <c r="Q79"/>
      <c r="R79"/>
      <c r="S79" s="3904"/>
      <c r="T79"/>
      <c r="U79" s="3884"/>
      <c r="V79"/>
      <c r="W79"/>
      <c r="X79" s="3823"/>
      <c r="Y79" s="3823"/>
      <c r="Z79"/>
      <c r="AA79" s="3955"/>
      <c r="AB79"/>
      <c r="AC79" s="1503"/>
      <c r="AD79"/>
      <c r="AE79" s="1503"/>
      <c r="AF79"/>
      <c r="AG79" s="1503"/>
      <c r="AH79"/>
      <c r="AI79" s="1503"/>
      <c r="AJ79"/>
      <c r="AK79" s="1503"/>
      <c r="AL79"/>
      <c r="AM79" s="1503"/>
      <c r="AN79"/>
      <c r="AO79" s="1503"/>
      <c r="AP79"/>
      <c r="AQ79" s="1503"/>
      <c r="AR79" s="1497"/>
      <c r="AS79"/>
      <c r="AT79"/>
      <c r="AU79"/>
      <c r="AV79"/>
      <c r="AW79"/>
      <c r="AX79"/>
      <c r="AY79"/>
      <c r="AZ79" s="3960"/>
      <c r="BA79" s="3960"/>
      <c r="BB79" s="3960"/>
      <c r="BC79" s="3960"/>
      <c r="BD79" s="3960"/>
      <c r="BE79" s="3883"/>
      <c r="BF79"/>
      <c r="BG79" s="3972"/>
      <c r="BH79" s="3960"/>
      <c r="BI79" s="3972"/>
      <c r="BJ79"/>
    </row>
    <row r="80" spans="1:62" ht="13.5" customHeight="1">
      <c r="A80" s="3872"/>
      <c r="B80" s="3873"/>
      <c r="C80" s="3874"/>
      <c r="D80" s="3878"/>
      <c r="E80" s="3879"/>
      <c r="F80" s="3880"/>
      <c r="G80"/>
      <c r="H80"/>
      <c r="I80"/>
      <c r="J80"/>
      <c r="K80" s="3884"/>
      <c r="L80" s="3949"/>
      <c r="M80" s="3960"/>
      <c r="N80"/>
      <c r="O80" s="3955"/>
      <c r="P80" s="3957"/>
      <c r="Q80"/>
      <c r="R80"/>
      <c r="S80" s="3904"/>
      <c r="T80"/>
      <c r="U80" s="3884"/>
      <c r="V80"/>
      <c r="W80"/>
      <c r="X80" s="3823"/>
      <c r="Y80" s="3823"/>
      <c r="Z80"/>
      <c r="AA80" s="3955"/>
      <c r="AB80"/>
      <c r="AC80" s="1503"/>
      <c r="AD80"/>
      <c r="AE80" s="1503"/>
      <c r="AF80"/>
      <c r="AG80" s="1503"/>
      <c r="AH80"/>
      <c r="AI80" s="1503"/>
      <c r="AJ80"/>
      <c r="AK80" s="1503"/>
      <c r="AL80"/>
      <c r="AM80" s="1503"/>
      <c r="AN80"/>
      <c r="AO80" s="1503"/>
      <c r="AP80"/>
      <c r="AQ80" s="1503"/>
      <c r="AR80" s="1497"/>
      <c r="AS80"/>
      <c r="AT80"/>
      <c r="AU80"/>
      <c r="AV80"/>
      <c r="AW80"/>
      <c r="AX80"/>
      <c r="AY80"/>
      <c r="AZ80" s="3960"/>
      <c r="BA80" s="3960"/>
      <c r="BB80" s="3960"/>
      <c r="BC80" s="3960"/>
      <c r="BD80" s="3960"/>
      <c r="BE80" s="3883"/>
      <c r="BF80"/>
      <c r="BG80" s="3972"/>
      <c r="BH80" s="3960"/>
      <c r="BI80" s="3972"/>
      <c r="BJ80"/>
    </row>
    <row r="81" spans="1:62" ht="13.5" customHeight="1">
      <c r="A81" s="3872"/>
      <c r="B81" s="3873"/>
      <c r="C81" s="3874"/>
      <c r="D81" s="3878"/>
      <c r="E81" s="3879"/>
      <c r="F81" s="3880"/>
      <c r="G81"/>
      <c r="H81"/>
      <c r="I81"/>
      <c r="J81"/>
      <c r="K81" s="3884"/>
      <c r="L81" s="3949"/>
      <c r="M81" s="3960"/>
      <c r="N81"/>
      <c r="O81" s="3955"/>
      <c r="P81" s="3957"/>
      <c r="Q81"/>
      <c r="R81"/>
      <c r="S81" s="3904"/>
      <c r="T81"/>
      <c r="U81" s="3884"/>
      <c r="V81"/>
      <c r="W81"/>
      <c r="X81" s="3823"/>
      <c r="Y81" s="3823"/>
      <c r="Z81"/>
      <c r="AA81" s="3955"/>
      <c r="AB81"/>
      <c r="AC81" s="1503"/>
      <c r="AD81"/>
      <c r="AE81" s="1503"/>
      <c r="AF81"/>
      <c r="AG81" s="1503"/>
      <c r="AH81"/>
      <c r="AI81" s="1503"/>
      <c r="AJ81"/>
      <c r="AK81" s="1503"/>
      <c r="AL81"/>
      <c r="AM81" s="1503"/>
      <c r="AN81"/>
      <c r="AO81" s="1503"/>
      <c r="AP81"/>
      <c r="AQ81" s="1503"/>
      <c r="AR81" s="1497"/>
      <c r="AS81"/>
      <c r="AT81"/>
      <c r="AU81"/>
      <c r="AV81"/>
      <c r="AW81"/>
      <c r="AX81"/>
      <c r="AY81"/>
      <c r="AZ81" s="3960"/>
      <c r="BA81" s="3960"/>
      <c r="BB81" s="3960"/>
      <c r="BC81" s="3960"/>
      <c r="BD81" s="3960"/>
      <c r="BE81" s="3883"/>
      <c r="BF81"/>
      <c r="BG81" s="3972"/>
      <c r="BH81" s="3960"/>
      <c r="BI81" s="3972"/>
      <c r="BJ81"/>
    </row>
    <row r="82" spans="1:62" ht="21.75" customHeight="1">
      <c r="A82" s="3872"/>
      <c r="B82" s="3873"/>
      <c r="C82" s="3874"/>
      <c r="D82" s="3878"/>
      <c r="E82" s="3879"/>
      <c r="F82" s="3880"/>
      <c r="G82"/>
      <c r="H82"/>
      <c r="I82"/>
      <c r="J82">
        <v>49</v>
      </c>
      <c r="K82" s="3884" t="s">
        <v>1538</v>
      </c>
      <c r="L82" s="3949"/>
      <c r="M82" s="3960">
        <v>1</v>
      </c>
      <c r="N82">
        <v>0.5</v>
      </c>
      <c r="O82" s="3955"/>
      <c r="P82" s="3957"/>
      <c r="Q82"/>
      <c r="R82" s="3965">
        <f>W82/S72</f>
        <v>0.030303030303030304</v>
      </c>
      <c r="S82" s="3904"/>
      <c r="T82"/>
      <c r="U82" s="3884"/>
      <c r="V82" s="3967" t="s">
        <v>1539</v>
      </c>
      <c r="W82">
        <v>5000000</v>
      </c>
      <c r="X82" s="3823">
        <v>4950000</v>
      </c>
      <c r="Y82" s="3823">
        <v>4950000</v>
      </c>
      <c r="Z82"/>
      <c r="AA82" s="3955"/>
      <c r="AB82"/>
      <c r="AC82" s="1503"/>
      <c r="AD82"/>
      <c r="AE82" s="1503"/>
      <c r="AF82"/>
      <c r="AG82" s="1503"/>
      <c r="AH82"/>
      <c r="AI82" s="1503"/>
      <c r="AJ82"/>
      <c r="AK82" s="1503"/>
      <c r="AL82"/>
      <c r="AM82" s="1503"/>
      <c r="AN82"/>
      <c r="AO82" s="1503"/>
      <c r="AP82"/>
      <c r="AQ82" s="1503"/>
      <c r="AR82" s="1497"/>
      <c r="AS82"/>
      <c r="AT82"/>
      <c r="AU82"/>
      <c r="AV82"/>
      <c r="AW82"/>
      <c r="AX82"/>
      <c r="AY82"/>
      <c r="AZ82" s="3960" t="s">
        <v>1540</v>
      </c>
      <c r="BA82" s="3960">
        <v>4950000</v>
      </c>
      <c r="BB82" s="3960">
        <v>4950000</v>
      </c>
      <c r="BC82" s="3960">
        <v>100</v>
      </c>
      <c r="BD82" s="3960" t="s">
        <v>38</v>
      </c>
      <c r="BE82" s="3883" t="s">
        <v>1468</v>
      </c>
      <c r="BF82" s="3961" t="s">
        <v>1522</v>
      </c>
      <c r="BG82" s="3972" t="s">
        <v>1446</v>
      </c>
      <c r="BH82" s="3960" t="s">
        <v>1524</v>
      </c>
      <c r="BI82" s="3972" t="s">
        <v>1541</v>
      </c>
      <c r="BJ82"/>
    </row>
    <row r="83" spans="1:62" ht="28.5" customHeight="1">
      <c r="A83" s="3872"/>
      <c r="B83" s="3873"/>
      <c r="C83" s="3874"/>
      <c r="D83" s="3878"/>
      <c r="E83" s="3879"/>
      <c r="F83" s="3880"/>
      <c r="G83"/>
      <c r="H83"/>
      <c r="I83"/>
      <c r="J83"/>
      <c r="K83" s="3884"/>
      <c r="L83" s="3949"/>
      <c r="M83" s="3960"/>
      <c r="N83"/>
      <c r="O83" s="3955"/>
      <c r="P83" s="3957"/>
      <c r="Q83"/>
      <c r="R83" s="3965"/>
      <c r="S83" s="3904"/>
      <c r="T83"/>
      <c r="U83" s="3884"/>
      <c r="V83" s="3968"/>
      <c r="W83"/>
      <c r="X83" s="3823"/>
      <c r="Y83" s="3823"/>
      <c r="Z83"/>
      <c r="AA83" s="3955"/>
      <c r="AB83"/>
      <c r="AC83" s="1503"/>
      <c r="AD83"/>
      <c r="AE83" s="1503"/>
      <c r="AF83"/>
      <c r="AG83" s="1503"/>
      <c r="AH83"/>
      <c r="AI83" s="1503"/>
      <c r="AJ83"/>
      <c r="AK83" s="1503"/>
      <c r="AL83"/>
      <c r="AM83" s="1503"/>
      <c r="AN83"/>
      <c r="AO83" s="1503"/>
      <c r="AP83"/>
      <c r="AQ83" s="1503"/>
      <c r="AR83" s="1497"/>
      <c r="AS83"/>
      <c r="AT83"/>
      <c r="AU83"/>
      <c r="AV83"/>
      <c r="AW83"/>
      <c r="AX83"/>
      <c r="AY83"/>
      <c r="AZ83" s="3960"/>
      <c r="BA83" s="3960"/>
      <c r="BB83" s="3960"/>
      <c r="BC83" s="3960"/>
      <c r="BD83" s="3960"/>
      <c r="BE83" s="3883"/>
      <c r="BF83"/>
      <c r="BG83" s="3972"/>
      <c r="BH83" s="3960"/>
      <c r="BI83" s="3972"/>
      <c r="BJ83"/>
    </row>
    <row r="84" spans="1:62" ht="18" customHeight="1">
      <c r="A84" s="3872"/>
      <c r="B84" s="3873"/>
      <c r="C84" s="3874"/>
      <c r="D84" s="3878"/>
      <c r="E84" s="3879"/>
      <c r="F84" s="3880"/>
      <c r="G84"/>
      <c r="H84"/>
      <c r="I84"/>
      <c r="J84"/>
      <c r="K84" s="3884"/>
      <c r="L84" s="3949"/>
      <c r="M84" s="3960"/>
      <c r="N84"/>
      <c r="O84" s="3955"/>
      <c r="P84" s="3957"/>
      <c r="Q84"/>
      <c r="R84" s="3965"/>
      <c r="S84" s="3904"/>
      <c r="T84"/>
      <c r="U84" s="3884"/>
      <c r="V84" s="3968"/>
      <c r="W84"/>
      <c r="X84" s="3823"/>
      <c r="Y84" s="3823"/>
      <c r="Z84"/>
      <c r="AA84" s="3955"/>
      <c r="AB84"/>
      <c r="AC84" s="1503"/>
      <c r="AD84"/>
      <c r="AE84" s="1503"/>
      <c r="AF84"/>
      <c r="AG84" s="1503"/>
      <c r="AH84"/>
      <c r="AI84" s="1503"/>
      <c r="AJ84"/>
      <c r="AK84" s="1503"/>
      <c r="AL84"/>
      <c r="AM84" s="1503"/>
      <c r="AN84"/>
      <c r="AO84" s="1503"/>
      <c r="AP84"/>
      <c r="AQ84" s="1503"/>
      <c r="AR84" s="1497"/>
      <c r="AS84"/>
      <c r="AT84"/>
      <c r="AU84"/>
      <c r="AV84"/>
      <c r="AW84"/>
      <c r="AX84"/>
      <c r="AY84"/>
      <c r="AZ84" s="3960"/>
      <c r="BA84" s="3960"/>
      <c r="BB84" s="3960"/>
      <c r="BC84" s="3960"/>
      <c r="BD84" s="3960"/>
      <c r="BE84" s="3883"/>
      <c r="BF84"/>
      <c r="BG84" s="3972"/>
      <c r="BH84" s="3960"/>
      <c r="BI84" s="3972"/>
      <c r="BJ84"/>
    </row>
    <row r="85" spans="1:62" ht="13.5" customHeight="1">
      <c r="A85" s="3872"/>
      <c r="B85" s="3873"/>
      <c r="C85" s="3874"/>
      <c r="D85" s="3878"/>
      <c r="E85" s="3879"/>
      <c r="F85" s="3880"/>
      <c r="G85"/>
      <c r="H85"/>
      <c r="I85"/>
      <c r="J85"/>
      <c r="K85" s="3884"/>
      <c r="L85" s="3949"/>
      <c r="M85" s="3960"/>
      <c r="N85"/>
      <c r="O85" s="3955"/>
      <c r="P85" s="3957"/>
      <c r="Q85"/>
      <c r="R85" s="3965"/>
      <c r="S85" s="3904"/>
      <c r="T85"/>
      <c r="U85" s="3884"/>
      <c r="V85" s="3968"/>
      <c r="W85"/>
      <c r="X85" s="3823"/>
      <c r="Y85" s="3823"/>
      <c r="Z85"/>
      <c r="AA85" s="3955"/>
      <c r="AB85"/>
      <c r="AC85" s="1503"/>
      <c r="AD85"/>
      <c r="AE85" s="1503"/>
      <c r="AF85"/>
      <c r="AG85" s="1503"/>
      <c r="AH85"/>
      <c r="AI85" s="1503"/>
      <c r="AJ85"/>
      <c r="AK85" s="1503"/>
      <c r="AL85"/>
      <c r="AM85" s="1503"/>
      <c r="AN85"/>
      <c r="AO85" s="1503"/>
      <c r="AP85"/>
      <c r="AQ85" s="1503"/>
      <c r="AR85" s="1497"/>
      <c r="AS85"/>
      <c r="AT85"/>
      <c r="AU85"/>
      <c r="AV85"/>
      <c r="AW85"/>
      <c r="AX85"/>
      <c r="AY85"/>
      <c r="AZ85" s="3960"/>
      <c r="BA85" s="3960"/>
      <c r="BB85" s="3960"/>
      <c r="BC85" s="3960"/>
      <c r="BD85" s="3960"/>
      <c r="BE85" s="3883"/>
      <c r="BF85"/>
      <c r="BG85" s="3972"/>
      <c r="BH85" s="3960"/>
      <c r="BI85" s="3972"/>
      <c r="BJ85"/>
    </row>
    <row r="86" spans="1:62" ht="28.5" customHeight="1">
      <c r="A86" s="3872"/>
      <c r="B86" s="3873"/>
      <c r="C86" s="3874"/>
      <c r="D86" s="3878"/>
      <c r="E86" s="3881"/>
      <c r="F86" s="3882"/>
      <c r="G86"/>
      <c r="H86"/>
      <c r="I86"/>
      <c r="J86"/>
      <c r="K86" s="3959"/>
      <c r="L86"/>
      <c r="M86" s="3961"/>
      <c r="N86"/>
      <c r="O86" s="3956"/>
      <c r="P86"/>
      <c r="Q86" s="3958"/>
      <c r="R86" s="3966"/>
      <c r="S86" s="3971"/>
      <c r="T86" s="3958"/>
      <c r="U86" s="3884"/>
      <c r="V86" s="3968"/>
      <c r="W86"/>
      <c r="X86" s="3823"/>
      <c r="Y86" s="3823"/>
      <c r="Z86"/>
      <c r="AA86" s="3956"/>
      <c r="AB86"/>
      <c r="AC86" s="1508"/>
      <c r="AD86"/>
      <c r="AE86" s="1508"/>
      <c r="AF86"/>
      <c r="AG86" s="1508"/>
      <c r="AH86"/>
      <c r="AI86" s="1508"/>
      <c r="AJ86"/>
      <c r="AK86" s="1508"/>
      <c r="AL86"/>
      <c r="AM86" s="1508"/>
      <c r="AN86"/>
      <c r="AO86" s="1508"/>
      <c r="AP86"/>
      <c r="AQ86" s="1508"/>
      <c r="AR86" s="1507"/>
      <c r="AS86"/>
      <c r="AT86"/>
      <c r="AU86"/>
      <c r="AV86"/>
      <c r="AW86"/>
      <c r="AX86"/>
      <c r="AY86"/>
      <c r="AZ86" s="3960"/>
      <c r="BA86" s="3960"/>
      <c r="BB86" s="3960"/>
      <c r="BC86" s="3960"/>
      <c r="BD86" s="3960"/>
      <c r="BE86" s="3883"/>
      <c r="BF86"/>
      <c r="BG86" s="3972"/>
      <c r="BH86" s="3960"/>
      <c r="BI86" s="3972"/>
      <c r="BJ86"/>
    </row>
    <row r="87" spans="1:62" ht="13.5" customHeight="1">
      <c r="A87" s="3872"/>
      <c r="B87" s="3873"/>
      <c r="C87" s="3874"/>
      <c r="D87">
        <v>3</v>
      </c>
      <c r="E87" s="1509" t="s">
        <v>1542</v>
      </c>
      <c r="F87" s="1510"/>
      <c r="G87" s="1510"/>
      <c r="H87" s="1510"/>
      <c r="I87" s="1510"/>
      <c r="J87" s="1510"/>
      <c r="K87" s="1510"/>
      <c r="L87" s="1510"/>
      <c r="M87" s="1510"/>
      <c r="N87" s="1511"/>
      <c r="O87" s="1510"/>
      <c r="P87" s="1510"/>
      <c r="Q87" s="1510"/>
      <c r="R87" s="1510"/>
      <c r="S87" s="1510"/>
      <c r="T87" s="1510"/>
      <c r="U87" s="1510"/>
      <c r="V87" s="1510"/>
      <c r="W87" s="1510"/>
      <c r="X87" s="1511"/>
      <c r="Y87" s="1511"/>
      <c r="Z87" s="1510"/>
      <c r="AA87" s="1510"/>
      <c r="AB87" s="1510"/>
      <c r="AC87" s="1511"/>
      <c r="AD87" s="1510"/>
      <c r="AE87" s="1511"/>
      <c r="AF87" s="1510"/>
      <c r="AG87" s="1511"/>
      <c r="AH87" s="1510"/>
      <c r="AI87" s="1511"/>
      <c r="AJ87" s="1510"/>
      <c r="AK87" s="1511"/>
      <c r="AL87" s="1510"/>
      <c r="AM87" s="1511"/>
      <c r="AN87" s="1510"/>
      <c r="AO87" s="1511"/>
      <c r="AP87" s="1510"/>
      <c r="AQ87" s="1511"/>
      <c r="AR87" s="1510"/>
      <c r="AS87" s="1511"/>
      <c r="AT87" s="1510"/>
      <c r="AU87" s="1511"/>
      <c r="AV87" s="1510"/>
      <c r="AW87" s="1511"/>
      <c r="AX87" s="1510"/>
      <c r="AY87" s="1511"/>
      <c r="AZ87" s="1512"/>
      <c r="BA87" s="1411"/>
      <c r="BB87" s="1512"/>
      <c r="BC87" s="1512"/>
      <c r="BD87" s="1412"/>
      <c r="BE87" s="1412"/>
      <c r="BF87" s="1412"/>
      <c r="BG87" s="1513"/>
      <c r="BH87" s="1512"/>
      <c r="BI87" s="1513"/>
      <c r="BJ87"/>
    </row>
    <row r="88" spans="1:62" ht="13.5" customHeight="1">
      <c r="A88" s="3872"/>
      <c r="B88" s="3873"/>
      <c r="C88" s="3874"/>
      <c r="D88"/>
      <c r="E88" s="1514"/>
      <c r="F88" s="1512"/>
      <c r="G88" s="1512"/>
      <c r="H88" s="1512"/>
      <c r="I88" s="1512"/>
      <c r="J88" s="1515"/>
      <c r="K88" s="1515"/>
      <c r="L88" s="1515"/>
      <c r="M88" s="1515"/>
      <c r="N88" s="1516"/>
      <c r="O88" s="1515"/>
      <c r="P88" s="1515"/>
      <c r="Q88" s="1515"/>
      <c r="R88" s="1515"/>
      <c r="S88" s="1515"/>
      <c r="T88" s="1515"/>
      <c r="U88" s="1515"/>
      <c r="V88" s="1515"/>
      <c r="W88" s="1515"/>
      <c r="X88" s="1516"/>
      <c r="Y88" s="1516"/>
      <c r="Z88" s="1515"/>
      <c r="AA88" s="1515"/>
      <c r="AB88" s="1515"/>
      <c r="AC88" s="1516"/>
      <c r="AD88" s="1515"/>
      <c r="AE88" s="1516"/>
      <c r="AF88" s="1515"/>
      <c r="AG88" s="1516"/>
      <c r="AH88" s="1515"/>
      <c r="AI88" s="1516"/>
      <c r="AJ88" s="1515"/>
      <c r="AK88" s="1516"/>
      <c r="AL88" s="1515"/>
      <c r="AM88" s="1516"/>
      <c r="AN88" s="1515"/>
      <c r="AO88" s="1516"/>
      <c r="AP88" s="1515"/>
      <c r="AQ88" s="1516"/>
      <c r="AR88" s="1515"/>
      <c r="AS88" s="1516"/>
      <c r="AT88" s="1515"/>
      <c r="AU88" s="1516"/>
      <c r="AV88" s="1515"/>
      <c r="AW88" s="1516"/>
      <c r="AX88" s="1515"/>
      <c r="AY88" s="1516"/>
      <c r="AZ88" s="1515"/>
      <c r="BA88" s="1517"/>
      <c r="BB88" s="1515"/>
      <c r="BC88" s="1515"/>
      <c r="BD88" s="1518"/>
      <c r="BE88" s="1518"/>
      <c r="BF88" s="1518"/>
      <c r="BG88" s="1516"/>
      <c r="BH88" s="1515"/>
      <c r="BI88" s="1516"/>
      <c r="BJ88"/>
    </row>
    <row r="89" spans="1:256" s="1479" customFormat="1" ht="33" customHeight="1">
      <c r="A89" s="3872"/>
      <c r="B89" s="3873"/>
      <c r="C89" s="3874"/>
      <c r="D89"/>
      <c r="E89"/>
      <c r="F89"/>
      <c r="G89" s="1519">
        <v>11</v>
      </c>
      <c r="H89" s="1520" t="s">
        <v>1543</v>
      </c>
      <c r="I89" s="1520"/>
      <c r="J89" s="1520"/>
      <c r="K89" s="1520"/>
      <c r="L89" s="1521"/>
      <c r="M89" s="1521"/>
      <c r="N89" s="1522"/>
      <c r="O89" s="1521"/>
      <c r="P89" s="1521"/>
      <c r="Q89" s="1521"/>
      <c r="R89" s="1521"/>
      <c r="S89" s="1521"/>
      <c r="T89" s="1521"/>
      <c r="U89" s="1521"/>
      <c r="V89" s="1521"/>
      <c r="W89" s="1521"/>
      <c r="X89" s="1522"/>
      <c r="Y89" s="1522"/>
      <c r="Z89" s="1521"/>
      <c r="AA89" s="1521"/>
      <c r="AB89" s="1521"/>
      <c r="AC89" s="1522"/>
      <c r="AD89" s="1521"/>
      <c r="AE89" s="1522"/>
      <c r="AF89" s="1521"/>
      <c r="AG89" s="1522"/>
      <c r="AH89" s="1521"/>
      <c r="AI89" s="1522"/>
      <c r="AJ89" s="1521"/>
      <c r="AK89" s="1522"/>
      <c r="AL89" s="1521"/>
      <c r="AM89" s="1522"/>
      <c r="AN89" s="1521"/>
      <c r="AO89" s="1522"/>
      <c r="AP89" s="1521"/>
      <c r="AQ89" s="1522"/>
      <c r="AR89" s="1521"/>
      <c r="AS89" s="1522"/>
      <c r="AT89" s="1521"/>
      <c r="AU89" s="1522"/>
      <c r="AV89" s="1521"/>
      <c r="AW89" s="1522"/>
      <c r="AX89" s="1521"/>
      <c r="AY89" s="1522"/>
      <c r="AZ89" s="1521"/>
      <c r="BA89" s="1523"/>
      <c r="BB89" s="1521"/>
      <c r="BC89" s="1521"/>
      <c r="BD89" s="1524"/>
      <c r="BE89" s="1524"/>
      <c r="BF89" s="1524"/>
      <c r="BG89" s="1522"/>
      <c r="BH89" s="1521"/>
      <c r="BI89" s="1522"/>
      <c r="BJ89" s="1525"/>
      <c r="BK89" s="1478"/>
      <c r="BL89" s="1478"/>
      <c r="BM89" s="1478"/>
      <c r="BN89" s="1478"/>
      <c r="BO89" s="1478"/>
      <c r="BP89" s="1478"/>
      <c r="BQ89" s="1478"/>
      <c r="BR89" s="1478"/>
      <c r="BS89" s="1478"/>
      <c r="BT89" s="1478"/>
      <c r="BU89" s="1478"/>
      <c r="BV89" s="1478"/>
      <c r="BW89" s="1478"/>
      <c r="BX89" s="1478"/>
      <c r="BY89" s="1478"/>
      <c r="BZ89" s="1478"/>
      <c r="CA89" s="1478"/>
      <c r="CB89" s="1478"/>
      <c r="CC89" s="1478"/>
      <c r="CD89" s="1478"/>
      <c r="CE89" s="1478"/>
      <c r="CF89" s="1478"/>
      <c r="CG89" s="1478"/>
      <c r="CH89" s="1478"/>
      <c r="CI89" s="1478"/>
      <c r="CJ89" s="1478"/>
      <c r="CK89" s="1478"/>
      <c r="CL89" s="1478"/>
      <c r="CM89" s="1478"/>
      <c r="CN89" s="1478"/>
      <c r="CO89" s="1478"/>
      <c r="CP89" s="1478"/>
      <c r="CQ89" s="1478"/>
      <c r="CR89" s="1478"/>
      <c r="CS89" s="1478"/>
      <c r="CT89" s="1478"/>
      <c r="CU89" s="1478"/>
      <c r="CV89" s="1478"/>
      <c r="CW89" s="1478"/>
      <c r="CX89" s="1478"/>
      <c r="CY89" s="1478"/>
      <c r="CZ89" s="1478"/>
      <c r="DA89" s="1478"/>
      <c r="DB89" s="1478"/>
      <c r="DC89" s="1478"/>
      <c r="DD89" s="1478"/>
      <c r="DE89" s="1478"/>
      <c r="DF89" s="1478"/>
      <c r="DG89" s="1478"/>
      <c r="DH89" s="1478"/>
      <c r="DI89" s="1478"/>
      <c r="DJ89" s="1478"/>
      <c r="DK89" s="1478"/>
      <c r="DL89" s="1478"/>
      <c r="DM89" s="1478"/>
      <c r="DN89" s="1478"/>
      <c r="DO89" s="1478"/>
      <c r="DP89" s="1478"/>
      <c r="DQ89" s="1478"/>
      <c r="DR89" s="1478"/>
      <c r="DS89" s="1478"/>
      <c r="DT89" s="1478"/>
      <c r="DU89" s="1478"/>
      <c r="DV89" s="1478"/>
      <c r="DW89" s="1478"/>
      <c r="DX89" s="1478"/>
      <c r="DY89" s="1478"/>
      <c r="DZ89" s="1478"/>
      <c r="EA89" s="1478"/>
      <c r="EB89" s="1478"/>
      <c r="EC89" s="1478"/>
      <c r="ED89" s="1478"/>
      <c r="EE89" s="1478"/>
      <c r="EF89" s="1478"/>
      <c r="EG89" s="1478"/>
      <c r="EH89" s="1478"/>
      <c r="EI89" s="1478"/>
      <c r="EJ89" s="1478"/>
      <c r="EK89" s="1478"/>
      <c r="EL89" s="1478"/>
      <c r="EM89" s="1478"/>
      <c r="EN89" s="1478"/>
      <c r="EO89" s="1478"/>
      <c r="EP89" s="1478"/>
      <c r="EQ89" s="1478"/>
      <c r="ER89" s="1478"/>
      <c r="ES89" s="1478"/>
      <c r="ET89" s="1478"/>
      <c r="EU89" s="1478"/>
      <c r="EV89" s="1478"/>
      <c r="EW89" s="1478"/>
      <c r="EX89" s="1478"/>
      <c r="EY89" s="1478"/>
      <c r="EZ89" s="1478"/>
      <c r="FA89" s="1478"/>
      <c r="FB89" s="1478"/>
      <c r="FC89" s="1478"/>
      <c r="FD89" s="1478"/>
      <c r="FE89" s="1478"/>
      <c r="FF89" s="1478"/>
      <c r="FG89" s="1478"/>
      <c r="FH89" s="1478"/>
      <c r="FI89" s="1478"/>
      <c r="FJ89" s="1478"/>
      <c r="FK89" s="1478"/>
      <c r="FL89" s="1478"/>
      <c r="FM89" s="1478"/>
      <c r="FN89" s="1478"/>
      <c r="FO89" s="1478"/>
      <c r="FP89" s="1478"/>
      <c r="FQ89" s="1478"/>
      <c r="FR89" s="1478"/>
      <c r="FS89" s="1478"/>
      <c r="FT89" s="1478"/>
      <c r="FU89" s="1478"/>
      <c r="FV89" s="1478"/>
      <c r="FW89" s="1478"/>
      <c r="FX89" s="1478"/>
      <c r="FY89" s="1478"/>
      <c r="FZ89" s="1478"/>
      <c r="GA89" s="1478"/>
      <c r="GB89" s="1478"/>
      <c r="GC89" s="1478"/>
      <c r="GD89" s="1478"/>
      <c r="GE89" s="1478"/>
      <c r="GF89" s="1478"/>
      <c r="GG89" s="1478"/>
      <c r="GH89" s="1478"/>
      <c r="GI89" s="1478"/>
      <c r="GJ89" s="1478"/>
      <c r="GK89" s="1478"/>
      <c r="GL89" s="1478"/>
      <c r="GM89" s="1478"/>
      <c r="GN89" s="1478"/>
      <c r="GO89" s="1478"/>
      <c r="GP89" s="1478"/>
      <c r="GQ89" s="1478"/>
      <c r="GR89" s="1478"/>
      <c r="GS89" s="1478"/>
      <c r="GT89" s="1478"/>
      <c r="GU89" s="1478"/>
      <c r="GV89" s="1478"/>
      <c r="GW89" s="1478"/>
      <c r="GX89" s="1478"/>
      <c r="GY89" s="1478"/>
      <c r="GZ89" s="1478"/>
      <c r="HA89" s="1478"/>
      <c r="HB89" s="1478"/>
      <c r="HC89" s="1478"/>
      <c r="HD89" s="1478"/>
      <c r="HE89" s="1478"/>
      <c r="HF89" s="1478"/>
      <c r="HG89" s="1478"/>
      <c r="HH89" s="1478"/>
      <c r="HI89" s="1478"/>
      <c r="HJ89" s="1478"/>
      <c r="HK89" s="1478"/>
      <c r="HL89" s="1478"/>
      <c r="HM89" s="1478"/>
      <c r="HN89" s="1478"/>
      <c r="HO89" s="1478"/>
      <c r="HP89" s="1478"/>
      <c r="HQ89" s="1478"/>
      <c r="HR89" s="1478"/>
      <c r="HS89" s="1478"/>
      <c r="HT89" s="1478"/>
      <c r="HU89" s="1478"/>
      <c r="HV89" s="1478"/>
      <c r="HW89" s="1478"/>
      <c r="HX89" s="1478"/>
      <c r="HY89" s="1478"/>
      <c r="HZ89" s="1478"/>
      <c r="IA89" s="1478"/>
      <c r="IB89" s="1478"/>
      <c r="IC89" s="1478"/>
      <c r="ID89" s="1478"/>
      <c r="IE89" s="1478"/>
      <c r="IF89" s="1478"/>
      <c r="IG89" s="1478"/>
      <c r="IH89" s="1478"/>
      <c r="II89" s="1478"/>
      <c r="IJ89" s="1478"/>
      <c r="IK89" s="1478"/>
      <c r="IL89" s="1478"/>
      <c r="IM89" s="1478"/>
      <c r="IN89" s="1478"/>
      <c r="IO89" s="1478"/>
      <c r="IP89" s="1478"/>
      <c r="IQ89" s="1478"/>
      <c r="IR89" s="1478"/>
      <c r="IS89" s="1478"/>
      <c r="IT89" s="1478"/>
      <c r="IU89" s="1478"/>
      <c r="IV89" s="1478"/>
    </row>
    <row r="90" spans="1:256" s="1544" customFormat="1" ht="93.75" customHeight="1">
      <c r="A90" s="3872"/>
      <c r="B90" s="3873"/>
      <c r="C90" s="3874"/>
      <c r="D90"/>
      <c r="E90"/>
      <c r="F90"/>
      <c r="G90" s="1526"/>
      <c r="H90" s="1526"/>
      <c r="I90" s="1526"/>
      <c r="J90" s="1527">
        <v>50</v>
      </c>
      <c r="K90" s="1528" t="s">
        <v>1544</v>
      </c>
      <c r="L90" s="1529" t="s">
        <v>37</v>
      </c>
      <c r="M90" s="1527">
        <v>2</v>
      </c>
      <c r="N90" s="1530">
        <v>2</v>
      </c>
      <c r="O90" s="1531" t="s">
        <v>1545</v>
      </c>
      <c r="P90" s="1532">
        <v>57</v>
      </c>
      <c r="Q90" s="1528" t="s">
        <v>1546</v>
      </c>
      <c r="R90" s="1533">
        <v>1</v>
      </c>
      <c r="S90" s="1534">
        <v>5000000</v>
      </c>
      <c r="T90" s="1528" t="s">
        <v>1547</v>
      </c>
      <c r="U90" s="1528" t="s">
        <v>1548</v>
      </c>
      <c r="V90" s="1529" t="s">
        <v>1549</v>
      </c>
      <c r="W90" s="1534">
        <v>5000000</v>
      </c>
      <c r="X90" s="1535">
        <v>5000000</v>
      </c>
      <c r="Y90" s="1535">
        <v>5000000</v>
      </c>
      <c r="Z90" s="1532">
        <v>20</v>
      </c>
      <c r="AA90" s="1529" t="s">
        <v>232</v>
      </c>
      <c r="AB90" s="1536">
        <v>37199</v>
      </c>
      <c r="AC90" s="1537">
        <f>+AB90/$W$90*$Y$90</f>
        <v>37199</v>
      </c>
      <c r="AD90" s="1536">
        <v>98821</v>
      </c>
      <c r="AE90" s="1537">
        <f>+AD90/$W$90*$Y$90</f>
        <v>98821</v>
      </c>
      <c r="AF90" s="1536">
        <v>50922</v>
      </c>
      <c r="AG90" s="1537">
        <f>+AF90/$W$90*$Y$90</f>
        <v>50922</v>
      </c>
      <c r="AH90" s="1536">
        <v>151591</v>
      </c>
      <c r="AI90" s="1537">
        <f>+AH90/$W$90*$Y$90</f>
        <v>151591</v>
      </c>
      <c r="AJ90" s="1536">
        <v>151591</v>
      </c>
      <c r="AK90" s="1537">
        <f>+AJ90/$W$90*$Y$90</f>
        <v>151591</v>
      </c>
      <c r="AL90" s="1536">
        <v>71991</v>
      </c>
      <c r="AM90" s="1537">
        <f>+AL90/$W$90*$Y$90</f>
        <v>71991</v>
      </c>
      <c r="AN90" s="1536">
        <v>12718</v>
      </c>
      <c r="AO90" s="1537">
        <f>+AN90/$W$90*$Y$90</f>
        <v>12718</v>
      </c>
      <c r="AP90" s="1536">
        <v>2145</v>
      </c>
      <c r="AQ90" s="1537">
        <f>+AP90/$W$90*$Y$90</f>
        <v>2145</v>
      </c>
      <c r="AR90" s="1538"/>
      <c r="AS90" s="1539"/>
      <c r="AT90" s="1538"/>
      <c r="AU90" s="1539"/>
      <c r="AV90" s="1536">
        <v>41543</v>
      </c>
      <c r="AW90" s="1537">
        <f>+AV90/$W$90*$Y$90</f>
        <v>41543</v>
      </c>
      <c r="AX90" s="1538"/>
      <c r="AY90" s="1539"/>
      <c r="AZ90" s="1538" t="s">
        <v>1550</v>
      </c>
      <c r="BA90" s="1540">
        <v>5000000</v>
      </c>
      <c r="BB90" s="1540">
        <v>5000000</v>
      </c>
      <c r="BC90" s="1527">
        <v>100</v>
      </c>
      <c r="BD90" s="1527" t="s">
        <v>38</v>
      </c>
      <c r="BE90" s="1527" t="s">
        <v>1551</v>
      </c>
      <c r="BF90" s="1541">
        <v>42447</v>
      </c>
      <c r="BG90" s="1542">
        <v>42447</v>
      </c>
      <c r="BH90" s="1541">
        <v>42476</v>
      </c>
      <c r="BI90" s="1543">
        <v>42476</v>
      </c>
      <c r="BJ90" t="s">
        <v>1441</v>
      </c>
      <c r="BK90" s="1478"/>
      <c r="BL90" s="1478"/>
      <c r="BM90" s="1478"/>
      <c r="BN90" s="1478"/>
      <c r="BO90" s="1478"/>
      <c r="BP90" s="1478"/>
      <c r="BQ90" s="1478"/>
      <c r="BR90" s="1478"/>
      <c r="BS90" s="1478"/>
      <c r="BT90" s="1478"/>
      <c r="BU90" s="1478"/>
      <c r="BV90" s="1478"/>
      <c r="BW90" s="1478"/>
      <c r="BX90" s="1478"/>
      <c r="BY90" s="1478"/>
      <c r="BZ90" s="1478"/>
      <c r="CA90" s="1478"/>
      <c r="CB90" s="1478"/>
      <c r="CC90" s="1478"/>
      <c r="CD90" s="1478"/>
      <c r="CE90" s="1478"/>
      <c r="CF90" s="1478"/>
      <c r="CG90" s="1478"/>
      <c r="CH90" s="1478"/>
      <c r="CI90" s="1478"/>
      <c r="CJ90" s="1478"/>
      <c r="CK90" s="1478"/>
      <c r="CL90" s="1478"/>
      <c r="CM90" s="1478"/>
      <c r="CN90" s="1478"/>
      <c r="CO90" s="1478"/>
      <c r="CP90" s="1478"/>
      <c r="CQ90" s="1478"/>
      <c r="CR90" s="1478"/>
      <c r="CS90" s="1478"/>
      <c r="CT90" s="1478"/>
      <c r="CU90" s="1478"/>
      <c r="CV90" s="1478"/>
      <c r="CW90" s="1478"/>
      <c r="CX90" s="1478"/>
      <c r="CY90" s="1478"/>
      <c r="CZ90" s="1478"/>
      <c r="DA90" s="1478"/>
      <c r="DB90" s="1478"/>
      <c r="DC90" s="1478"/>
      <c r="DD90" s="1478"/>
      <c r="DE90" s="1478"/>
      <c r="DF90" s="1478"/>
      <c r="DG90" s="1478"/>
      <c r="DH90" s="1478"/>
      <c r="DI90" s="1478"/>
      <c r="DJ90" s="1478"/>
      <c r="DK90" s="1478"/>
      <c r="DL90" s="1478"/>
      <c r="DM90" s="1478"/>
      <c r="DN90" s="1478"/>
      <c r="DO90" s="1478"/>
      <c r="DP90" s="1478"/>
      <c r="DQ90" s="1478"/>
      <c r="DR90" s="1478"/>
      <c r="DS90" s="1478"/>
      <c r="DT90" s="1478"/>
      <c r="DU90" s="1478"/>
      <c r="DV90" s="1478"/>
      <c r="DW90" s="1478"/>
      <c r="DX90" s="1478"/>
      <c r="DY90" s="1478"/>
      <c r="DZ90" s="1478"/>
      <c r="EA90" s="1478"/>
      <c r="EB90" s="1478"/>
      <c r="EC90" s="1478"/>
      <c r="ED90" s="1478"/>
      <c r="EE90" s="1478"/>
      <c r="EF90" s="1478"/>
      <c r="EG90" s="1478"/>
      <c r="EH90" s="1478"/>
      <c r="EI90" s="1478"/>
      <c r="EJ90" s="1478"/>
      <c r="EK90" s="1478"/>
      <c r="EL90" s="1478"/>
      <c r="EM90" s="1478"/>
      <c r="EN90" s="1478"/>
      <c r="EO90" s="1478"/>
      <c r="EP90" s="1478"/>
      <c r="EQ90" s="1478"/>
      <c r="ER90" s="1478"/>
      <c r="ES90" s="1478"/>
      <c r="ET90" s="1478"/>
      <c r="EU90" s="1478"/>
      <c r="EV90" s="1478"/>
      <c r="EW90" s="1478"/>
      <c r="EX90" s="1478"/>
      <c r="EY90" s="1478"/>
      <c r="EZ90" s="1478"/>
      <c r="FA90" s="1478"/>
      <c r="FB90" s="1478"/>
      <c r="FC90" s="1478"/>
      <c r="FD90" s="1478"/>
      <c r="FE90" s="1478"/>
      <c r="FF90" s="1478"/>
      <c r="FG90" s="1478"/>
      <c r="FH90" s="1478"/>
      <c r="FI90" s="1478"/>
      <c r="FJ90" s="1478"/>
      <c r="FK90" s="1478"/>
      <c r="FL90" s="1478"/>
      <c r="FM90" s="1478"/>
      <c r="FN90" s="1478"/>
      <c r="FO90" s="1478"/>
      <c r="FP90" s="1478"/>
      <c r="FQ90" s="1478"/>
      <c r="FR90" s="1478"/>
      <c r="FS90" s="1478"/>
      <c r="FT90" s="1478"/>
      <c r="FU90" s="1478"/>
      <c r="FV90" s="1478"/>
      <c r="FW90" s="1478"/>
      <c r="FX90" s="1478"/>
      <c r="FY90" s="1478"/>
      <c r="FZ90" s="1478"/>
      <c r="GA90" s="1478"/>
      <c r="GB90" s="1478"/>
      <c r="GC90" s="1478"/>
      <c r="GD90" s="1478"/>
      <c r="GE90" s="1478"/>
      <c r="GF90" s="1478"/>
      <c r="GG90" s="1478"/>
      <c r="GH90" s="1478"/>
      <c r="GI90" s="1478"/>
      <c r="GJ90" s="1478"/>
      <c r="GK90" s="1478"/>
      <c r="GL90" s="1478"/>
      <c r="GM90" s="1478"/>
      <c r="GN90" s="1478"/>
      <c r="GO90" s="1478"/>
      <c r="GP90" s="1478"/>
      <c r="GQ90" s="1478"/>
      <c r="GR90" s="1478"/>
      <c r="GS90" s="1478"/>
      <c r="GT90" s="1478"/>
      <c r="GU90" s="1478"/>
      <c r="GV90" s="1478"/>
      <c r="GW90" s="1478"/>
      <c r="GX90" s="1478"/>
      <c r="GY90" s="1478"/>
      <c r="GZ90" s="1478"/>
      <c r="HA90" s="1478"/>
      <c r="HB90" s="1478"/>
      <c r="HC90" s="1478"/>
      <c r="HD90" s="1478"/>
      <c r="HE90" s="1478"/>
      <c r="HF90" s="1478"/>
      <c r="HG90" s="1478"/>
      <c r="HH90" s="1478"/>
      <c r="HI90" s="1478"/>
      <c r="HJ90" s="1478"/>
      <c r="HK90" s="1478"/>
      <c r="HL90" s="1478"/>
      <c r="HM90" s="1478"/>
      <c r="HN90" s="1478"/>
      <c r="HO90" s="1478"/>
      <c r="HP90" s="1478"/>
      <c r="HQ90" s="1478"/>
      <c r="HR90" s="1478"/>
      <c r="HS90" s="1478"/>
      <c r="HT90" s="1478"/>
      <c r="HU90" s="1478"/>
      <c r="HV90" s="1478"/>
      <c r="HW90" s="1478"/>
      <c r="HX90" s="1478"/>
      <c r="HY90" s="1478"/>
      <c r="HZ90" s="1478"/>
      <c r="IA90" s="1478"/>
      <c r="IB90" s="1478"/>
      <c r="IC90" s="1478"/>
      <c r="ID90" s="1478"/>
      <c r="IE90" s="1478"/>
      <c r="IF90" s="1478"/>
      <c r="IG90" s="1478"/>
      <c r="IH90" s="1478"/>
      <c r="II90" s="1478"/>
      <c r="IJ90" s="1478"/>
      <c r="IK90" s="1478"/>
      <c r="IL90" s="1478"/>
      <c r="IM90" s="1478"/>
      <c r="IN90" s="1478"/>
      <c r="IO90" s="1478"/>
      <c r="IP90" s="1478"/>
      <c r="IQ90" s="1478"/>
      <c r="IR90" s="1478"/>
      <c r="IS90" s="1478"/>
      <c r="IT90" s="1478"/>
      <c r="IU90" s="1478"/>
      <c r="IV90" s="1478"/>
    </row>
    <row r="91" spans="1:256" s="1479" customFormat="1" ht="66.75" customHeight="1">
      <c r="A91" s="3872"/>
      <c r="B91" s="3873"/>
      <c r="C91" s="3874"/>
      <c r="D91"/>
      <c r="E91"/>
      <c r="F91"/>
      <c r="G91" s="1526"/>
      <c r="H91" s="1526"/>
      <c r="I91" s="1526"/>
      <c r="J91" s="3885">
        <v>50</v>
      </c>
      <c r="K91" t="s">
        <v>1544</v>
      </c>
      <c r="L91" t="s">
        <v>37</v>
      </c>
      <c r="M91" s="3885">
        <v>2</v>
      </c>
      <c r="N91">
        <v>2</v>
      </c>
      <c r="O91" t="s">
        <v>1552</v>
      </c>
      <c r="P91" s="3925">
        <v>58</v>
      </c>
      <c r="Q91" s="3948" t="s">
        <v>1553</v>
      </c>
      <c r="R91" s="1545">
        <f>W91/S91</f>
        <v>0.6666666666666666</v>
      </c>
      <c r="S91">
        <v>3000000</v>
      </c>
      <c r="T91" s="3948" t="s">
        <v>1554</v>
      </c>
      <c r="U91" s="1473" t="s">
        <v>1555</v>
      </c>
      <c r="V91" s="1546" t="s">
        <v>1556</v>
      </c>
      <c r="W91" s="1547">
        <v>2000000</v>
      </c>
      <c r="X91" s="1548">
        <v>2000000</v>
      </c>
      <c r="Y91" s="1548">
        <v>2000000</v>
      </c>
      <c r="Z91" s="3925">
        <v>20</v>
      </c>
      <c r="AA91" t="s">
        <v>232</v>
      </c>
      <c r="AB91" s="3808">
        <v>4424</v>
      </c>
      <c r="AC91" s="3803">
        <f>+AB91/($W$91+$W$92)*($Y$91+$Y$92)</f>
        <v>4424</v>
      </c>
      <c r="AD91" s="3808">
        <v>11752</v>
      </c>
      <c r="AE91" s="3803">
        <f>+AD91/($W$91+$W$92)*($Y$91+$Y$92)</f>
        <v>11752</v>
      </c>
      <c r="AF91" s="3808">
        <v>5066</v>
      </c>
      <c r="AG91" s="3803">
        <f>+AF91/($W$91+$W$92)*($Y$91+$Y$92)</f>
        <v>5066</v>
      </c>
      <c r="AH91" s="3808">
        <v>18027</v>
      </c>
      <c r="AI91" s="3803">
        <f>+AH91/($W$91+$W$92)*($Y$91+$Y$92)</f>
        <v>18027</v>
      </c>
      <c r="AJ91" s="3808">
        <v>18027</v>
      </c>
      <c r="AK91" s="3803">
        <f>+AJ91/($W$91+$W$92)*($Y$91+$Y$92)</f>
        <v>18027</v>
      </c>
      <c r="AL91" s="3808">
        <v>8561</v>
      </c>
      <c r="AM91" s="3803">
        <f>+AL91/($W$91+$W$92)*($Y$91+$Y$92)</f>
        <v>8561</v>
      </c>
      <c r="AN91" s="3808"/>
      <c r="AO91" s="3803"/>
      <c r="AP91" s="3808">
        <v>2145</v>
      </c>
      <c r="AQ91" s="3803">
        <f>+AP91/($W$91+$W$92)*($Y$91+$Y$92)</f>
        <v>2145</v>
      </c>
      <c r="AR91" s="3885"/>
      <c r="AS91"/>
      <c r="AT91" s="3885"/>
      <c r="AU91"/>
      <c r="AV91" s="3806">
        <v>41543</v>
      </c>
      <c r="AW91" s="3803">
        <f>+AV91/($W$91+$W$92)*($Y$91+$Y$92)</f>
        <v>41543</v>
      </c>
      <c r="AX91"/>
      <c r="AY91"/>
      <c r="AZ91" s="3885" t="s">
        <v>1550</v>
      </c>
      <c r="BA91">
        <v>3000000</v>
      </c>
      <c r="BB91">
        <v>3000000</v>
      </c>
      <c r="BC91">
        <f>+BB91/BA91</f>
        <v>1</v>
      </c>
      <c r="BD91" s="3885" t="s">
        <v>38</v>
      </c>
      <c r="BE91" s="3885" t="s">
        <v>1551</v>
      </c>
      <c r="BF91">
        <v>42447</v>
      </c>
      <c r="BG91">
        <v>42447</v>
      </c>
      <c r="BH91">
        <v>42476</v>
      </c>
      <c r="BI91">
        <v>42476</v>
      </c>
      <c r="BJ91"/>
      <c r="BK91" s="1478"/>
      <c r="BL91" s="1478"/>
      <c r="BM91" s="1478"/>
      <c r="BN91" s="1478"/>
      <c r="BO91" s="1478"/>
      <c r="BP91" s="1478"/>
      <c r="BQ91" s="1478"/>
      <c r="BR91" s="1478"/>
      <c r="BS91" s="1478"/>
      <c r="BT91" s="1478"/>
      <c r="BU91" s="1478"/>
      <c r="BV91" s="1478"/>
      <c r="BW91" s="1478"/>
      <c r="BX91" s="1478"/>
      <c r="BY91" s="1478"/>
      <c r="BZ91" s="1478"/>
      <c r="CA91" s="1478"/>
      <c r="CB91" s="1478"/>
      <c r="CC91" s="1478"/>
      <c r="CD91" s="1478"/>
      <c r="CE91" s="1478"/>
      <c r="CF91" s="1478"/>
      <c r="CG91" s="1478"/>
      <c r="CH91" s="1478"/>
      <c r="CI91" s="1478"/>
      <c r="CJ91" s="1478"/>
      <c r="CK91" s="1478"/>
      <c r="CL91" s="1478"/>
      <c r="CM91" s="1478"/>
      <c r="CN91" s="1478"/>
      <c r="CO91" s="1478"/>
      <c r="CP91" s="1478"/>
      <c r="CQ91" s="1478"/>
      <c r="CR91" s="1478"/>
      <c r="CS91" s="1478"/>
      <c r="CT91" s="1478"/>
      <c r="CU91" s="1478"/>
      <c r="CV91" s="1478"/>
      <c r="CW91" s="1478"/>
      <c r="CX91" s="1478"/>
      <c r="CY91" s="1478"/>
      <c r="CZ91" s="1478"/>
      <c r="DA91" s="1478"/>
      <c r="DB91" s="1478"/>
      <c r="DC91" s="1478"/>
      <c r="DD91" s="1478"/>
      <c r="DE91" s="1478"/>
      <c r="DF91" s="1478"/>
      <c r="DG91" s="1478"/>
      <c r="DH91" s="1478"/>
      <c r="DI91" s="1478"/>
      <c r="DJ91" s="1478"/>
      <c r="DK91" s="1478"/>
      <c r="DL91" s="1478"/>
      <c r="DM91" s="1478"/>
      <c r="DN91" s="1478"/>
      <c r="DO91" s="1478"/>
      <c r="DP91" s="1478"/>
      <c r="DQ91" s="1478"/>
      <c r="DR91" s="1478"/>
      <c r="DS91" s="1478"/>
      <c r="DT91" s="1478"/>
      <c r="DU91" s="1478"/>
      <c r="DV91" s="1478"/>
      <c r="DW91" s="1478"/>
      <c r="DX91" s="1478"/>
      <c r="DY91" s="1478"/>
      <c r="DZ91" s="1478"/>
      <c r="EA91" s="1478"/>
      <c r="EB91" s="1478"/>
      <c r="EC91" s="1478"/>
      <c r="ED91" s="1478"/>
      <c r="EE91" s="1478"/>
      <c r="EF91" s="1478"/>
      <c r="EG91" s="1478"/>
      <c r="EH91" s="1478"/>
      <c r="EI91" s="1478"/>
      <c r="EJ91" s="1478"/>
      <c r="EK91" s="1478"/>
      <c r="EL91" s="1478"/>
      <c r="EM91" s="1478"/>
      <c r="EN91" s="1478"/>
      <c r="EO91" s="1478"/>
      <c r="EP91" s="1478"/>
      <c r="EQ91" s="1478"/>
      <c r="ER91" s="1478"/>
      <c r="ES91" s="1478"/>
      <c r="ET91" s="1478"/>
      <c r="EU91" s="1478"/>
      <c r="EV91" s="1478"/>
      <c r="EW91" s="1478"/>
      <c r="EX91" s="1478"/>
      <c r="EY91" s="1478"/>
      <c r="EZ91" s="1478"/>
      <c r="FA91" s="1478"/>
      <c r="FB91" s="1478"/>
      <c r="FC91" s="1478"/>
      <c r="FD91" s="1478"/>
      <c r="FE91" s="1478"/>
      <c r="FF91" s="1478"/>
      <c r="FG91" s="1478"/>
      <c r="FH91" s="1478"/>
      <c r="FI91" s="1478"/>
      <c r="FJ91" s="1478"/>
      <c r="FK91" s="1478"/>
      <c r="FL91" s="1478"/>
      <c r="FM91" s="1478"/>
      <c r="FN91" s="1478"/>
      <c r="FO91" s="1478"/>
      <c r="FP91" s="1478"/>
      <c r="FQ91" s="1478"/>
      <c r="FR91" s="1478"/>
      <c r="FS91" s="1478"/>
      <c r="FT91" s="1478"/>
      <c r="FU91" s="1478"/>
      <c r="FV91" s="1478"/>
      <c r="FW91" s="1478"/>
      <c r="FX91" s="1478"/>
      <c r="FY91" s="1478"/>
      <c r="FZ91" s="1478"/>
      <c r="GA91" s="1478"/>
      <c r="GB91" s="1478"/>
      <c r="GC91" s="1478"/>
      <c r="GD91" s="1478"/>
      <c r="GE91" s="1478"/>
      <c r="GF91" s="1478"/>
      <c r="GG91" s="1478"/>
      <c r="GH91" s="1478"/>
      <c r="GI91" s="1478"/>
      <c r="GJ91" s="1478"/>
      <c r="GK91" s="1478"/>
      <c r="GL91" s="1478"/>
      <c r="GM91" s="1478"/>
      <c r="GN91" s="1478"/>
      <c r="GO91" s="1478"/>
      <c r="GP91" s="1478"/>
      <c r="GQ91" s="1478"/>
      <c r="GR91" s="1478"/>
      <c r="GS91" s="1478"/>
      <c r="GT91" s="1478"/>
      <c r="GU91" s="1478"/>
      <c r="GV91" s="1478"/>
      <c r="GW91" s="1478"/>
      <c r="GX91" s="1478"/>
      <c r="GY91" s="1478"/>
      <c r="GZ91" s="1478"/>
      <c r="HA91" s="1478"/>
      <c r="HB91" s="1478"/>
      <c r="HC91" s="1478"/>
      <c r="HD91" s="1478"/>
      <c r="HE91" s="1478"/>
      <c r="HF91" s="1478"/>
      <c r="HG91" s="1478"/>
      <c r="HH91" s="1478"/>
      <c r="HI91" s="1478"/>
      <c r="HJ91" s="1478"/>
      <c r="HK91" s="1478"/>
      <c r="HL91" s="1478"/>
      <c r="HM91" s="1478"/>
      <c r="HN91" s="1478"/>
      <c r="HO91" s="1478"/>
      <c r="HP91" s="1478"/>
      <c r="HQ91" s="1478"/>
      <c r="HR91" s="1478"/>
      <c r="HS91" s="1478"/>
      <c r="HT91" s="1478"/>
      <c r="HU91" s="1478"/>
      <c r="HV91" s="1478"/>
      <c r="HW91" s="1478"/>
      <c r="HX91" s="1478"/>
      <c r="HY91" s="1478"/>
      <c r="HZ91" s="1478"/>
      <c r="IA91" s="1478"/>
      <c r="IB91" s="1478"/>
      <c r="IC91" s="1478"/>
      <c r="ID91" s="1478"/>
      <c r="IE91" s="1478"/>
      <c r="IF91" s="1478"/>
      <c r="IG91" s="1478"/>
      <c r="IH91" s="1478"/>
      <c r="II91" s="1478"/>
      <c r="IJ91" s="1478"/>
      <c r="IK91" s="1478"/>
      <c r="IL91" s="1478"/>
      <c r="IM91" s="1478"/>
      <c r="IN91" s="1478"/>
      <c r="IO91" s="1478"/>
      <c r="IP91" s="1478"/>
      <c r="IQ91" s="1478"/>
      <c r="IR91" s="1478"/>
      <c r="IS91" s="1478"/>
      <c r="IT91" s="1478"/>
      <c r="IU91" s="1478"/>
      <c r="IV91" s="1478"/>
    </row>
    <row r="92" spans="1:62" s="1478" customFormat="1" ht="59.25" customHeight="1">
      <c r="A92" s="3872"/>
      <c r="B92" s="3873"/>
      <c r="C92" s="3874"/>
      <c r="D92"/>
      <c r="E92"/>
      <c r="F92"/>
      <c r="G92" s="1549"/>
      <c r="H92" s="1549"/>
      <c r="I92" s="1549"/>
      <c r="J92"/>
      <c r="K92"/>
      <c r="L92"/>
      <c r="M92"/>
      <c r="N92"/>
      <c r="O92"/>
      <c r="P92" s="3927"/>
      <c r="Q92" s="3948"/>
      <c r="R92" s="1533">
        <f>W92/S91</f>
        <v>0.3333333333333333</v>
      </c>
      <c r="S92"/>
      <c r="T92" s="3948"/>
      <c r="U92" s="1528" t="s">
        <v>1557</v>
      </c>
      <c r="V92" s="1546" t="s">
        <v>1558</v>
      </c>
      <c r="W92" s="1534">
        <v>1000000</v>
      </c>
      <c r="X92" s="1548">
        <v>1000000</v>
      </c>
      <c r="Y92" s="1548">
        <v>1000000</v>
      </c>
      <c r="Z92" s="3927"/>
      <c r="AA92"/>
      <c r="AB92"/>
      <c r="AC92" s="3805"/>
      <c r="AD92"/>
      <c r="AE92" s="3805"/>
      <c r="AF92"/>
      <c r="AG92" s="3805"/>
      <c r="AH92"/>
      <c r="AI92" s="3805"/>
      <c r="AJ92"/>
      <c r="AK92" s="3805"/>
      <c r="AL92"/>
      <c r="AM92" s="3805"/>
      <c r="AN92"/>
      <c r="AO92" s="3805"/>
      <c r="AP92"/>
      <c r="AQ92" s="3805"/>
      <c r="AR92"/>
      <c r="AS92"/>
      <c r="AT92"/>
      <c r="AU92"/>
      <c r="AV92" s="3808"/>
      <c r="AW92" s="3805"/>
      <c r="AX92"/>
      <c r="AY92"/>
      <c r="AZ92"/>
      <c r="BA92"/>
      <c r="BB92"/>
      <c r="BC92"/>
      <c r="BD92"/>
      <c r="BE92"/>
      <c r="BF92"/>
      <c r="BG92"/>
      <c r="BH92"/>
      <c r="BI92"/>
      <c r="BJ92"/>
    </row>
    <row r="93" spans="1:62" ht="41.25" customHeight="1">
      <c r="A93" s="3872"/>
      <c r="B93" s="3873"/>
      <c r="C93" s="3874"/>
      <c r="D93"/>
      <c r="E93"/>
      <c r="F93"/>
      <c r="G93" s="1550"/>
      <c r="H93" s="1550"/>
      <c r="I93" s="1551"/>
      <c r="J93">
        <v>50</v>
      </c>
      <c r="K93" t="s">
        <v>1544</v>
      </c>
      <c r="L93" t="s">
        <v>37</v>
      </c>
      <c r="M93">
        <v>2</v>
      </c>
      <c r="N93" s="3952">
        <v>2</v>
      </c>
      <c r="O93" s="3881" t="s">
        <v>1559</v>
      </c>
      <c r="P93">
        <v>59</v>
      </c>
      <c r="Q93" s="3958" t="s">
        <v>1560</v>
      </c>
      <c r="R93" s="3966">
        <v>1</v>
      </c>
      <c r="S93" s="3971">
        <v>52000000</v>
      </c>
      <c r="T93" s="3958" t="s">
        <v>1561</v>
      </c>
      <c r="U93" s="3958" t="s">
        <v>1562</v>
      </c>
      <c r="V93" t="s">
        <v>1563</v>
      </c>
      <c r="W93" s="3903">
        <v>32000000</v>
      </c>
      <c r="X93" s="3922">
        <v>30916000</v>
      </c>
      <c r="Y93" s="3922">
        <v>30916000</v>
      </c>
      <c r="Z93">
        <v>20</v>
      </c>
      <c r="AA93" s="3881" t="s">
        <v>91</v>
      </c>
      <c r="AB93">
        <v>64149</v>
      </c>
      <c r="AC93">
        <f>+AB93/($W$93+$W$95)*$Y$93</f>
        <v>38139.04776923077</v>
      </c>
      <c r="AD93" t="s">
        <v>1431</v>
      </c>
      <c r="AE93">
        <f>+AD93/($W$93+$W$95)*$Y$93</f>
        <v>42939.945846153845</v>
      </c>
      <c r="AF93" t="s">
        <v>1432</v>
      </c>
      <c r="AG93">
        <f>+AF93/($W$93+$W$95)*$Y$93</f>
        <v>16336.13330769231</v>
      </c>
      <c r="AH93" t="s">
        <v>1433</v>
      </c>
      <c r="AI93">
        <f>+AH93/($W$93+$W$95)*$Y$93</f>
        <v>51631.503615384616</v>
      </c>
      <c r="AJ93" t="s">
        <v>1434</v>
      </c>
      <c r="AK93">
        <f>+AJ93/($W$93+$W$95)*$Y$93</f>
        <v>140566.13392307694</v>
      </c>
      <c r="AL93" t="s">
        <v>1435</v>
      </c>
      <c r="AM93">
        <f>+AL93/($W$93+$W$95)*$Y$93</f>
        <v>48385.918153846156</v>
      </c>
      <c r="AN93">
        <v>13208</v>
      </c>
      <c r="AO93">
        <f>+AN93/($W$93+$W$95)*$Y$93</f>
        <v>7852.664</v>
      </c>
      <c r="AP93">
        <v>1827</v>
      </c>
      <c r="AQ93">
        <f>+AP93/($W$93+$W$95)*$Y$93</f>
        <v>1086.2217692307693</v>
      </c>
      <c r="AR93"/>
      <c r="AS93"/>
      <c r="AT93"/>
      <c r="AU93"/>
      <c r="AV93">
        <v>16897</v>
      </c>
      <c r="AW93">
        <f>+AV93/($W$93+$W$95)*$Y$93</f>
        <v>10045.916384615386</v>
      </c>
      <c r="AX93">
        <v>81384</v>
      </c>
      <c r="AY93">
        <f>+AX93/($W$93+$W$95)*$Y$93</f>
        <v>48385.918153846156</v>
      </c>
      <c r="AZ93" s="3960" t="s">
        <v>1564</v>
      </c>
      <c r="BA93">
        <v>6399000</v>
      </c>
      <c r="BB93" s="3960">
        <v>6399000</v>
      </c>
      <c r="BC93">
        <f>+BB93/BA93</f>
        <v>1</v>
      </c>
      <c r="BD93" s="3883" t="s">
        <v>1565</v>
      </c>
      <c r="BE93" t="s">
        <v>1535</v>
      </c>
      <c r="BF93">
        <v>42597</v>
      </c>
      <c r="BG93">
        <v>42621</v>
      </c>
      <c r="BH93">
        <v>42735</v>
      </c>
      <c r="BI93">
        <v>42727</v>
      </c>
      <c r="BJ93"/>
    </row>
    <row r="94" spans="1:62" ht="41.25" customHeight="1">
      <c r="A94" s="3872"/>
      <c r="B94" s="3873"/>
      <c r="C94" s="3874"/>
      <c r="D94"/>
      <c r="E94"/>
      <c r="F94"/>
      <c r="G94" s="1550"/>
      <c r="H94" s="1550"/>
      <c r="I94" s="1551"/>
      <c r="J94" s="3960"/>
      <c r="K94"/>
      <c r="L94"/>
      <c r="M94" s="3960"/>
      <c r="N94" s="3953"/>
      <c r="O94" s="3955"/>
      <c r="P94" s="3957"/>
      <c r="Q94" s="3884"/>
      <c r="R94"/>
      <c r="S94"/>
      <c r="T94" s="3884"/>
      <c r="U94" s="3884"/>
      <c r="V94"/>
      <c r="W94" s="3971"/>
      <c r="X94" s="3924"/>
      <c r="Y94" s="3924"/>
      <c r="Z94" s="3957"/>
      <c r="AA94" s="3955"/>
      <c r="AB94"/>
      <c r="AC94"/>
      <c r="AD94"/>
      <c r="AE94"/>
      <c r="AF94"/>
      <c r="AG94"/>
      <c r="AH94"/>
      <c r="AI94"/>
      <c r="AJ94"/>
      <c r="AK94"/>
      <c r="AL94"/>
      <c r="AM94"/>
      <c r="AN94"/>
      <c r="AO94"/>
      <c r="AP94"/>
      <c r="AQ94"/>
      <c r="AR94"/>
      <c r="AS94"/>
      <c r="AT94"/>
      <c r="AU94"/>
      <c r="AV94"/>
      <c r="AW94"/>
      <c r="AX94"/>
      <c r="AY94"/>
      <c r="AZ94" s="3960"/>
      <c r="BA94"/>
      <c r="BB94" s="3960"/>
      <c r="BC94"/>
      <c r="BD94" s="3960"/>
      <c r="BE94"/>
      <c r="BF94"/>
      <c r="BG94"/>
      <c r="BH94"/>
      <c r="BI94"/>
      <c r="BJ94"/>
    </row>
    <row r="95" spans="1:62" ht="30.75" customHeight="1">
      <c r="A95" s="3872"/>
      <c r="B95" s="3873"/>
      <c r="C95" s="3874"/>
      <c r="D95"/>
      <c r="E95"/>
      <c r="F95"/>
      <c r="G95" s="1550"/>
      <c r="H95" s="1550"/>
      <c r="I95" s="1551"/>
      <c r="J95" s="3960"/>
      <c r="K95"/>
      <c r="L95"/>
      <c r="M95" s="3960"/>
      <c r="N95" s="3953"/>
      <c r="O95" s="3955"/>
      <c r="P95" s="3957"/>
      <c r="Q95" s="3884"/>
      <c r="R95"/>
      <c r="S95"/>
      <c r="T95" s="3884"/>
      <c r="U95" s="3884"/>
      <c r="V95"/>
      <c r="W95" s="3904">
        <v>20000000</v>
      </c>
      <c r="X95" s="3923">
        <v>13410000</v>
      </c>
      <c r="Y95" s="3923">
        <v>13410000</v>
      </c>
      <c r="Z95" s="3957">
        <v>52</v>
      </c>
      <c r="AA95" s="3955"/>
      <c r="AB95"/>
      <c r="AC95"/>
      <c r="AD95"/>
      <c r="AE95"/>
      <c r="AF95"/>
      <c r="AG95"/>
      <c r="AH95"/>
      <c r="AI95"/>
      <c r="AJ95"/>
      <c r="AK95"/>
      <c r="AL95"/>
      <c r="AM95"/>
      <c r="AN95"/>
      <c r="AO95"/>
      <c r="AP95"/>
      <c r="AQ95"/>
      <c r="AR95"/>
      <c r="AS95"/>
      <c r="AT95"/>
      <c r="AU95"/>
      <c r="AV95"/>
      <c r="AW95"/>
      <c r="AX95"/>
      <c r="AY95"/>
      <c r="AZ95" t="s">
        <v>1566</v>
      </c>
      <c r="BA95">
        <v>7200000</v>
      </c>
      <c r="BB95" s="3960">
        <v>7200000</v>
      </c>
      <c r="BC95">
        <f>+BB95/BA95</f>
        <v>1</v>
      </c>
      <c r="BD95" s="3883" t="s">
        <v>1567</v>
      </c>
      <c r="BE95"/>
      <c r="BF95">
        <v>42597</v>
      </c>
      <c r="BG95">
        <v>42612</v>
      </c>
      <c r="BH95">
        <v>42735</v>
      </c>
      <c r="BI95">
        <v>42733</v>
      </c>
      <c r="BJ95"/>
    </row>
    <row r="96" spans="1:62" ht="38.25" customHeight="1">
      <c r="A96" s="3872"/>
      <c r="B96" s="3873"/>
      <c r="C96" s="3874"/>
      <c r="D96"/>
      <c r="E96"/>
      <c r="F96"/>
      <c r="G96" s="1550"/>
      <c r="H96" s="1550"/>
      <c r="I96" s="1551"/>
      <c r="J96" s="3960"/>
      <c r="K96"/>
      <c r="L96"/>
      <c r="M96" s="3960"/>
      <c r="N96" s="3953"/>
      <c r="O96" s="1552"/>
      <c r="P96" s="3957"/>
      <c r="Q96" s="3884"/>
      <c r="R96"/>
      <c r="S96"/>
      <c r="T96" s="3884"/>
      <c r="U96" s="3884"/>
      <c r="V96"/>
      <c r="W96" s="3904"/>
      <c r="X96" s="3923"/>
      <c r="Y96" s="3923"/>
      <c r="Z96" s="3957"/>
      <c r="AA96" s="3955"/>
      <c r="AB96"/>
      <c r="AC96"/>
      <c r="AD96"/>
      <c r="AE96"/>
      <c r="AF96"/>
      <c r="AG96"/>
      <c r="AH96"/>
      <c r="AI96"/>
      <c r="AJ96"/>
      <c r="AK96"/>
      <c r="AL96"/>
      <c r="AM96"/>
      <c r="AN96"/>
      <c r="AO96"/>
      <c r="AP96"/>
      <c r="AQ96"/>
      <c r="AR96"/>
      <c r="AS96"/>
      <c r="AT96"/>
      <c r="AU96"/>
      <c r="AV96"/>
      <c r="AW96"/>
      <c r="AX96"/>
      <c r="AY96"/>
      <c r="AZ96"/>
      <c r="BA96"/>
      <c r="BB96" s="3960"/>
      <c r="BC96"/>
      <c r="BD96" s="3960"/>
      <c r="BE96"/>
      <c r="BF96"/>
      <c r="BG96"/>
      <c r="BH96"/>
      <c r="BI96"/>
      <c r="BJ96"/>
    </row>
    <row r="97" spans="1:62" ht="36" customHeight="1">
      <c r="A97" s="3872"/>
      <c r="B97" s="3873"/>
      <c r="C97" s="3874"/>
      <c r="D97"/>
      <c r="E97"/>
      <c r="F97"/>
      <c r="G97" s="1550"/>
      <c r="H97" s="1550"/>
      <c r="I97" s="1551"/>
      <c r="J97" s="3960"/>
      <c r="K97"/>
      <c r="L97"/>
      <c r="M97" s="3960"/>
      <c r="N97" s="3953"/>
      <c r="O97" s="1553"/>
      <c r="P97" s="3957"/>
      <c r="Q97" s="3884"/>
      <c r="R97"/>
      <c r="S97"/>
      <c r="T97" s="3884"/>
      <c r="U97" s="3884"/>
      <c r="V97"/>
      <c r="W97" s="3904"/>
      <c r="X97" s="3923"/>
      <c r="Y97" s="3923"/>
      <c r="Z97" s="3957"/>
      <c r="AA97" s="3955"/>
      <c r="AB97"/>
      <c r="AC97"/>
      <c r="AD97"/>
      <c r="AE97"/>
      <c r="AF97"/>
      <c r="AG97"/>
      <c r="AH97"/>
      <c r="AI97"/>
      <c r="AJ97"/>
      <c r="AK97"/>
      <c r="AL97"/>
      <c r="AM97"/>
      <c r="AN97"/>
      <c r="AO97"/>
      <c r="AP97"/>
      <c r="AQ97"/>
      <c r="AR97"/>
      <c r="AS97"/>
      <c r="AT97"/>
      <c r="AU97"/>
      <c r="AV97"/>
      <c r="AW97"/>
      <c r="AX97"/>
      <c r="AY97"/>
      <c r="AZ97" s="1477" t="s">
        <v>1568</v>
      </c>
      <c r="BA97" s="1476">
        <v>11317000</v>
      </c>
      <c r="BB97" s="1554">
        <v>11317000</v>
      </c>
      <c r="BC97" s="1477">
        <v>100</v>
      </c>
      <c r="BD97" s="1555" t="s">
        <v>1569</v>
      </c>
      <c r="BE97"/>
      <c r="BF97" s="1556">
        <v>42597</v>
      </c>
      <c r="BG97" s="1557">
        <v>75499</v>
      </c>
      <c r="BH97" s="1556">
        <v>42735</v>
      </c>
      <c r="BI97" s="1557">
        <v>42725</v>
      </c>
      <c r="BJ97"/>
    </row>
    <row r="98" spans="1:62" ht="34.5" customHeight="1">
      <c r="A98" s="3872"/>
      <c r="B98" s="3873"/>
      <c r="C98" s="3874"/>
      <c r="D98"/>
      <c r="E98"/>
      <c r="F98"/>
      <c r="G98" s="1550"/>
      <c r="H98" s="1550"/>
      <c r="I98" s="1551"/>
      <c r="J98" s="3960"/>
      <c r="K98"/>
      <c r="L98"/>
      <c r="M98" s="3960"/>
      <c r="N98" s="3953"/>
      <c r="O98" s="1553"/>
      <c r="P98" s="3957"/>
      <c r="Q98" s="3884"/>
      <c r="R98"/>
      <c r="S98"/>
      <c r="T98" s="3884"/>
      <c r="U98" s="3884"/>
      <c r="V98"/>
      <c r="W98" s="3904"/>
      <c r="X98" s="3923"/>
      <c r="Y98" s="3923"/>
      <c r="Z98" s="3957"/>
      <c r="AA98" s="3955"/>
      <c r="AB98"/>
      <c r="AC98"/>
      <c r="AD98"/>
      <c r="AE98"/>
      <c r="AF98"/>
      <c r="AG98"/>
      <c r="AH98"/>
      <c r="AI98"/>
      <c r="AJ98"/>
      <c r="AK98"/>
      <c r="AL98"/>
      <c r="AM98"/>
      <c r="AN98"/>
      <c r="AO98"/>
      <c r="AP98"/>
      <c r="AQ98"/>
      <c r="AR98"/>
      <c r="AS98"/>
      <c r="AT98"/>
      <c r="AU98"/>
      <c r="AV98"/>
      <c r="AW98"/>
      <c r="AX98"/>
      <c r="AY98"/>
      <c r="AZ98" s="1499" t="s">
        <v>1570</v>
      </c>
      <c r="BA98" s="1558">
        <v>6000000</v>
      </c>
      <c r="BB98" s="1500">
        <v>6000000</v>
      </c>
      <c r="BC98" s="1499">
        <v>100</v>
      </c>
      <c r="BD98" s="1500" t="s">
        <v>38</v>
      </c>
      <c r="BE98"/>
      <c r="BF98" s="1506">
        <v>42597</v>
      </c>
      <c r="BG98" s="1505">
        <v>42639</v>
      </c>
      <c r="BH98" s="1506">
        <v>42735</v>
      </c>
      <c r="BI98" s="1505">
        <v>42735</v>
      </c>
      <c r="BJ98"/>
    </row>
    <row r="99" spans="1:62" ht="46.5" customHeight="1">
      <c r="A99" s="3872"/>
      <c r="B99" s="3873"/>
      <c r="C99" s="3874"/>
      <c r="D99"/>
      <c r="E99"/>
      <c r="F99"/>
      <c r="G99" s="1550"/>
      <c r="H99" s="1550"/>
      <c r="I99" s="1551"/>
      <c r="J99" s="3960"/>
      <c r="K99"/>
      <c r="L99"/>
      <c r="M99" s="3960"/>
      <c r="N99" s="3953"/>
      <c r="O99" s="1553" t="s">
        <v>1571</v>
      </c>
      <c r="P99" s="3957"/>
      <c r="Q99" s="3884"/>
      <c r="R99"/>
      <c r="S99"/>
      <c r="T99" s="3884"/>
      <c r="U99" s="3884"/>
      <c r="V99"/>
      <c r="W99" s="3971"/>
      <c r="X99" s="3924"/>
      <c r="Y99" s="3924"/>
      <c r="Z99"/>
      <c r="AA99" s="3956"/>
      <c r="AB99"/>
      <c r="AC99"/>
      <c r="AD99"/>
      <c r="AE99"/>
      <c r="AF99"/>
      <c r="AG99"/>
      <c r="AH99"/>
      <c r="AI99"/>
      <c r="AJ99"/>
      <c r="AK99"/>
      <c r="AL99"/>
      <c r="AM99"/>
      <c r="AN99"/>
      <c r="AO99"/>
      <c r="AP99"/>
      <c r="AQ99"/>
      <c r="AR99"/>
      <c r="AS99"/>
      <c r="AT99"/>
      <c r="AU99"/>
      <c r="AV99"/>
      <c r="AW99"/>
      <c r="AX99"/>
      <c r="AY99"/>
      <c r="AZ99" s="1559" t="s">
        <v>1572</v>
      </c>
      <c r="BA99" s="1560">
        <v>13410000</v>
      </c>
      <c r="BB99" s="1560">
        <v>13410000</v>
      </c>
      <c r="BC99" s="1560">
        <v>100</v>
      </c>
      <c r="BD99" s="1561" t="s">
        <v>1573</v>
      </c>
      <c r="BE99"/>
      <c r="BF99" s="1562">
        <v>42703</v>
      </c>
      <c r="BG99" s="1505">
        <v>42703</v>
      </c>
      <c r="BH99" s="1563">
        <v>42734</v>
      </c>
      <c r="BI99" s="1505">
        <v>42734</v>
      </c>
      <c r="BJ99"/>
    </row>
    <row r="100" spans="1:62" ht="13.5" customHeight="1">
      <c r="A100" s="3872"/>
      <c r="B100" s="3873"/>
      <c r="C100" s="3874"/>
      <c r="D100"/>
      <c r="E100"/>
      <c r="F100"/>
      <c r="G100">
        <v>12</v>
      </c>
      <c r="H100" s="1415" t="s">
        <v>1574</v>
      </c>
      <c r="I100" s="1416"/>
      <c r="J100" s="1416"/>
      <c r="K100" s="1416"/>
      <c r="L100" s="1416"/>
      <c r="M100" s="1416"/>
      <c r="N100" s="1417"/>
      <c r="O100" s="1416"/>
      <c r="P100" s="1416"/>
      <c r="Q100" s="1416"/>
      <c r="R100" s="1416"/>
      <c r="S100" s="1416"/>
      <c r="T100" s="1416"/>
      <c r="U100" s="1416"/>
      <c r="V100" s="1416"/>
      <c r="W100" s="1416"/>
      <c r="X100" s="1417"/>
      <c r="Y100" s="1417"/>
      <c r="Z100" s="1416"/>
      <c r="AA100" s="1416"/>
      <c r="AB100" s="1416"/>
      <c r="AC100" s="1417"/>
      <c r="AD100" s="1416"/>
      <c r="AE100" s="1417"/>
      <c r="AF100" s="1416"/>
      <c r="AG100" s="1417"/>
      <c r="AH100" s="1416"/>
      <c r="AI100" s="1417"/>
      <c r="AJ100" s="1416"/>
      <c r="AK100" s="1417"/>
      <c r="AL100" s="1416"/>
      <c r="AM100" s="1417"/>
      <c r="AN100" s="1416"/>
      <c r="AO100" s="1417"/>
      <c r="AP100" s="1416"/>
      <c r="AQ100" s="1417"/>
      <c r="AR100" s="1416"/>
      <c r="AS100" s="1417"/>
      <c r="AT100" s="1416"/>
      <c r="AU100" s="1417"/>
      <c r="AV100" s="1416"/>
      <c r="AW100" s="1417"/>
      <c r="AX100" s="1416"/>
      <c r="AY100" s="1417"/>
      <c r="AZ100" s="1416"/>
      <c r="BA100" s="1418"/>
      <c r="BB100" s="1416"/>
      <c r="BC100" s="1416"/>
      <c r="BD100" s="1419"/>
      <c r="BE100" s="1419"/>
      <c r="BF100" s="1419"/>
      <c r="BG100" s="1417"/>
      <c r="BH100" s="1416"/>
      <c r="BI100" s="1417"/>
      <c r="BJ100" s="1564"/>
    </row>
    <row r="101" spans="1:62" ht="13.5" customHeight="1">
      <c r="A101" s="3872"/>
      <c r="B101" s="3873"/>
      <c r="C101" s="3874"/>
      <c r="D101"/>
      <c r="E101"/>
      <c r="F101"/>
      <c r="G101"/>
      <c r="H101" s="1565"/>
      <c r="I101" s="1566"/>
      <c r="J101" s="1566"/>
      <c r="K101" s="1566"/>
      <c r="L101" s="1566"/>
      <c r="M101" s="1566"/>
      <c r="N101" s="1567"/>
      <c r="O101" s="1566"/>
      <c r="P101" s="1566"/>
      <c r="Q101" s="1566"/>
      <c r="R101" s="1566"/>
      <c r="S101" s="1566"/>
      <c r="T101" s="1566"/>
      <c r="U101" s="1566"/>
      <c r="V101" s="1566"/>
      <c r="W101" s="1566"/>
      <c r="X101" s="1567"/>
      <c r="Y101" s="1567"/>
      <c r="Z101" s="1566"/>
      <c r="AA101" s="1566"/>
      <c r="AB101" s="1566"/>
      <c r="AC101" s="1567"/>
      <c r="AD101" s="1566"/>
      <c r="AE101" s="1567"/>
      <c r="AF101" s="1566"/>
      <c r="AG101" s="1567"/>
      <c r="AH101" s="1566"/>
      <c r="AI101" s="1567"/>
      <c r="AJ101" s="1566"/>
      <c r="AK101" s="1567"/>
      <c r="AL101" s="1566"/>
      <c r="AM101" s="1567"/>
      <c r="AN101" s="1566"/>
      <c r="AO101" s="1567"/>
      <c r="AP101" s="1566"/>
      <c r="AQ101" s="1567"/>
      <c r="AR101" s="1566"/>
      <c r="AS101" s="1567"/>
      <c r="AT101" s="1566"/>
      <c r="AU101" s="1567"/>
      <c r="AV101" s="1566"/>
      <c r="AW101" s="1567"/>
      <c r="AX101" s="1566"/>
      <c r="AY101" s="1567"/>
      <c r="AZ101" s="1566"/>
      <c r="BA101" s="1568"/>
      <c r="BB101" s="1566"/>
      <c r="BC101" s="1566"/>
      <c r="BD101" s="1569"/>
      <c r="BE101" s="1569"/>
      <c r="BF101" s="1569"/>
      <c r="BG101" s="1567"/>
      <c r="BH101" s="1566"/>
      <c r="BI101" s="1567"/>
      <c r="BJ101" s="1570"/>
    </row>
    <row r="102" spans="1:62" ht="13.5" customHeight="1">
      <c r="A102" s="3872"/>
      <c r="B102" s="3873"/>
      <c r="C102" s="3874"/>
      <c r="D102"/>
      <c r="E102"/>
      <c r="F102"/>
      <c r="G102" s="1550"/>
      <c r="H102" s="1550"/>
      <c r="I102" s="1551"/>
      <c r="J102" s="3961">
        <v>52</v>
      </c>
      <c r="K102" s="3959" t="s">
        <v>1575</v>
      </c>
      <c r="L102" t="s">
        <v>37</v>
      </c>
      <c r="M102" s="3961">
        <v>3</v>
      </c>
      <c r="N102" s="3952">
        <v>3</v>
      </c>
      <c r="O102" s="3881" t="s">
        <v>1576</v>
      </c>
      <c r="P102">
        <v>60</v>
      </c>
      <c r="Q102" s="3959" t="s">
        <v>1577</v>
      </c>
      <c r="R102" s="3964">
        <v>1</v>
      </c>
      <c r="S102">
        <v>75800000</v>
      </c>
      <c r="T102" s="3959" t="s">
        <v>1578</v>
      </c>
      <c r="U102" s="3959" t="s">
        <v>1579</v>
      </c>
      <c r="V102" s="3959" t="s">
        <v>1580</v>
      </c>
      <c r="W102">
        <v>20000000</v>
      </c>
      <c r="X102">
        <f>7590000+7500000+3890000</f>
        <v>18980000</v>
      </c>
      <c r="Y102">
        <f>7590000+7500000+3890000</f>
        <v>18980000</v>
      </c>
      <c r="Z102">
        <v>20</v>
      </c>
      <c r="AA102" s="3879" t="s">
        <v>232</v>
      </c>
      <c r="AB102">
        <v>64149</v>
      </c>
      <c r="AC102"/>
      <c r="AD102" t="s">
        <v>1431</v>
      </c>
      <c r="AE102"/>
      <c r="AF102" t="s">
        <v>1432</v>
      </c>
      <c r="AG102"/>
      <c r="AH102" t="s">
        <v>1433</v>
      </c>
      <c r="AI102"/>
      <c r="AJ102" t="s">
        <v>1434</v>
      </c>
      <c r="AK102"/>
      <c r="AL102" t="s">
        <v>1435</v>
      </c>
      <c r="AM102"/>
      <c r="AN102">
        <v>13208</v>
      </c>
      <c r="AO102"/>
      <c r="AP102">
        <v>1827</v>
      </c>
      <c r="AQ102"/>
      <c r="AR102"/>
      <c r="AS102"/>
      <c r="AT102"/>
      <c r="AU102"/>
      <c r="AV102">
        <v>16897</v>
      </c>
      <c r="AW102"/>
      <c r="AX102" s="3799">
        <v>81384</v>
      </c>
      <c r="AY102" s="3796"/>
      <c r="AZ102" t="s">
        <v>1581</v>
      </c>
      <c r="BA102">
        <v>7500000</v>
      </c>
      <c r="BB102" s="3792">
        <v>7500000</v>
      </c>
      <c r="BC102" s="3792">
        <v>100</v>
      </c>
      <c r="BD102" s="3792" t="s">
        <v>38</v>
      </c>
      <c r="BE102" t="s">
        <v>1535</v>
      </c>
      <c r="BF102" t="s">
        <v>1522</v>
      </c>
      <c r="BG102" t="s">
        <v>1582</v>
      </c>
      <c r="BH102" t="s">
        <v>1583</v>
      </c>
      <c r="BI102" t="s">
        <v>1584</v>
      </c>
      <c r="BJ102" t="s">
        <v>1441</v>
      </c>
    </row>
    <row r="103" spans="1:62" ht="15.75" customHeight="1">
      <c r="A103" s="3872"/>
      <c r="B103" s="3873"/>
      <c r="C103" s="3874"/>
      <c r="D103"/>
      <c r="E103"/>
      <c r="F103"/>
      <c r="G103" s="1550"/>
      <c r="H103" s="1550"/>
      <c r="I103" s="1551"/>
      <c r="J103"/>
      <c r="K103"/>
      <c r="L103" s="3949"/>
      <c r="M103"/>
      <c r="N103" s="3953"/>
      <c r="O103" s="3955"/>
      <c r="P103" s="3957"/>
      <c r="Q103"/>
      <c r="R103" s="3965"/>
      <c r="S103" s="3969"/>
      <c r="T103"/>
      <c r="U103"/>
      <c r="V103"/>
      <c r="W103" s="3969"/>
      <c r="X103"/>
      <c r="Y103"/>
      <c r="Z103" s="3957"/>
      <c r="AA103" s="3879"/>
      <c r="AB103"/>
      <c r="AC103"/>
      <c r="AD103"/>
      <c r="AE103"/>
      <c r="AF103"/>
      <c r="AG103"/>
      <c r="AH103"/>
      <c r="AI103"/>
      <c r="AJ103"/>
      <c r="AK103"/>
      <c r="AL103"/>
      <c r="AM103"/>
      <c r="AN103"/>
      <c r="AO103"/>
      <c r="AP103"/>
      <c r="AQ103"/>
      <c r="AR103"/>
      <c r="AS103"/>
      <c r="AT103"/>
      <c r="AU103"/>
      <c r="AV103"/>
      <c r="AW103"/>
      <c r="AX103" s="3800"/>
      <c r="AY103" s="3797"/>
      <c r="AZ103"/>
      <c r="BA103"/>
      <c r="BB103"/>
      <c r="BC103"/>
      <c r="BD103"/>
      <c r="BE103"/>
      <c r="BF103"/>
      <c r="BG103"/>
      <c r="BH103"/>
      <c r="BI103"/>
      <c r="BJ103"/>
    </row>
    <row r="104" spans="1:62" ht="33.75" customHeight="1">
      <c r="A104" s="3872"/>
      <c r="B104" s="3873"/>
      <c r="C104" s="3874"/>
      <c r="D104"/>
      <c r="E104"/>
      <c r="F104"/>
      <c r="G104" s="1550"/>
      <c r="H104" s="1550"/>
      <c r="I104" s="1551"/>
      <c r="J104"/>
      <c r="K104"/>
      <c r="L104" s="3949"/>
      <c r="M104"/>
      <c r="N104" s="3953"/>
      <c r="O104" s="3955"/>
      <c r="P104" s="3957"/>
      <c r="Q104"/>
      <c r="R104" s="3965"/>
      <c r="S104" s="3969"/>
      <c r="T104"/>
      <c r="U104"/>
      <c r="V104" s="3958"/>
      <c r="W104"/>
      <c r="X104"/>
      <c r="Y104"/>
      <c r="Z104" s="3957"/>
      <c r="AA104" s="3879"/>
      <c r="AB104"/>
      <c r="AC104"/>
      <c r="AD104"/>
      <c r="AE104"/>
      <c r="AF104"/>
      <c r="AG104"/>
      <c r="AH104"/>
      <c r="AI104"/>
      <c r="AJ104"/>
      <c r="AK104"/>
      <c r="AL104"/>
      <c r="AM104"/>
      <c r="AN104"/>
      <c r="AO104"/>
      <c r="AP104"/>
      <c r="AQ104"/>
      <c r="AR104"/>
      <c r="AS104"/>
      <c r="AT104"/>
      <c r="AU104"/>
      <c r="AV104"/>
      <c r="AW104"/>
      <c r="AX104" s="3800"/>
      <c r="AY104" s="3797"/>
      <c r="AZ104" t="s">
        <v>1585</v>
      </c>
      <c r="BA104">
        <v>5500000</v>
      </c>
      <c r="BB104">
        <v>5500000</v>
      </c>
      <c r="BC104" s="3792">
        <v>100</v>
      </c>
      <c r="BD104" t="s">
        <v>1573</v>
      </c>
      <c r="BE104"/>
      <c r="BF104" t="s">
        <v>1522</v>
      </c>
      <c r="BG104" t="s">
        <v>1586</v>
      </c>
      <c r="BH104" t="s">
        <v>1583</v>
      </c>
      <c r="BI104" t="s">
        <v>1587</v>
      </c>
      <c r="BJ104"/>
    </row>
    <row r="105" spans="1:62" ht="13.5" customHeight="1">
      <c r="A105" s="3872"/>
      <c r="B105" s="3873"/>
      <c r="C105" s="3874"/>
      <c r="D105"/>
      <c r="E105"/>
      <c r="F105"/>
      <c r="G105" s="1550"/>
      <c r="H105" s="1550"/>
      <c r="I105" s="1551"/>
      <c r="J105"/>
      <c r="K105"/>
      <c r="L105" s="3949"/>
      <c r="M105"/>
      <c r="N105" s="3953"/>
      <c r="O105" s="3955"/>
      <c r="P105" s="3957"/>
      <c r="Q105"/>
      <c r="R105" s="3965"/>
      <c r="S105" s="3969"/>
      <c r="T105"/>
      <c r="U105"/>
      <c r="V105" s="3959" t="s">
        <v>1588</v>
      </c>
      <c r="W105">
        <v>24000000</v>
      </c>
      <c r="X105">
        <f>23440000+170000</f>
        <v>23610000</v>
      </c>
      <c r="Y105">
        <f>23440000+170000</f>
        <v>23610000</v>
      </c>
      <c r="Z105" s="3957"/>
      <c r="AA105" s="3879"/>
      <c r="AB105"/>
      <c r="AC105"/>
      <c r="AD105"/>
      <c r="AE105"/>
      <c r="AF105"/>
      <c r="AG105"/>
      <c r="AH105"/>
      <c r="AI105"/>
      <c r="AJ105"/>
      <c r="AK105"/>
      <c r="AL105"/>
      <c r="AM105"/>
      <c r="AN105"/>
      <c r="AO105"/>
      <c r="AP105"/>
      <c r="AQ105"/>
      <c r="AR105"/>
      <c r="AS105"/>
      <c r="AT105"/>
      <c r="AU105"/>
      <c r="AV105"/>
      <c r="AW105"/>
      <c r="AX105" s="3800"/>
      <c r="AY105" s="3797"/>
      <c r="AZ105"/>
      <c r="BA105"/>
      <c r="BB105"/>
      <c r="BC105"/>
      <c r="BD105"/>
      <c r="BE105"/>
      <c r="BF105"/>
      <c r="BG105"/>
      <c r="BH105"/>
      <c r="BI105"/>
      <c r="BJ105"/>
    </row>
    <row r="106" spans="1:62" ht="14.25" customHeight="1">
      <c r="A106" s="3872"/>
      <c r="B106" s="3873"/>
      <c r="C106" s="3874"/>
      <c r="D106"/>
      <c r="E106"/>
      <c r="F106"/>
      <c r="G106" s="1550"/>
      <c r="H106" s="1550"/>
      <c r="I106" s="1551"/>
      <c r="J106"/>
      <c r="K106"/>
      <c r="L106" s="3949"/>
      <c r="M106"/>
      <c r="N106" s="3953"/>
      <c r="O106" s="3955"/>
      <c r="P106" s="3957"/>
      <c r="Q106"/>
      <c r="R106" s="3965"/>
      <c r="S106" s="3969"/>
      <c r="T106"/>
      <c r="U106"/>
      <c r="V106" s="3958"/>
      <c r="W106"/>
      <c r="X106"/>
      <c r="Y106"/>
      <c r="Z106" s="3957"/>
      <c r="AA106" s="3879"/>
      <c r="AB106"/>
      <c r="AC106"/>
      <c r="AD106"/>
      <c r="AE106"/>
      <c r="AF106"/>
      <c r="AG106"/>
      <c r="AH106"/>
      <c r="AI106"/>
      <c r="AJ106"/>
      <c r="AK106"/>
      <c r="AL106"/>
      <c r="AM106"/>
      <c r="AN106"/>
      <c r="AO106"/>
      <c r="AP106"/>
      <c r="AQ106"/>
      <c r="AR106"/>
      <c r="AS106"/>
      <c r="AT106"/>
      <c r="AU106"/>
      <c r="AV106"/>
      <c r="AW106"/>
      <c r="AX106" s="3800"/>
      <c r="AY106" s="3797"/>
      <c r="AZ106" t="s">
        <v>1589</v>
      </c>
      <c r="BA106">
        <v>10540000</v>
      </c>
      <c r="BB106">
        <v>10540000</v>
      </c>
      <c r="BC106" s="3792">
        <v>100</v>
      </c>
      <c r="BD106" t="s">
        <v>1573</v>
      </c>
      <c r="BE106"/>
      <c r="BF106" t="s">
        <v>1522</v>
      </c>
      <c r="BG106" t="s">
        <v>1590</v>
      </c>
      <c r="BH106" t="s">
        <v>1583</v>
      </c>
      <c r="BI106" t="s">
        <v>1591</v>
      </c>
      <c r="BJ106"/>
    </row>
    <row r="107" spans="1:62" ht="34.5" customHeight="1">
      <c r="A107" s="3872"/>
      <c r="B107" s="3873"/>
      <c r="C107" s="3874"/>
      <c r="D107"/>
      <c r="E107"/>
      <c r="F107"/>
      <c r="G107" s="1550"/>
      <c r="H107" s="1550"/>
      <c r="I107" s="1551"/>
      <c r="J107"/>
      <c r="K107"/>
      <c r="L107" s="3949"/>
      <c r="M107"/>
      <c r="N107" s="3953"/>
      <c r="O107" s="3955"/>
      <c r="P107" s="3957"/>
      <c r="Q107"/>
      <c r="R107" s="3965"/>
      <c r="S107" s="3969"/>
      <c r="T107"/>
      <c r="U107"/>
      <c r="V107" s="3884" t="s">
        <v>1592</v>
      </c>
      <c r="W107">
        <v>12000000</v>
      </c>
      <c r="X107" s="3824">
        <v>12000000</v>
      </c>
      <c r="Y107" s="3824">
        <v>12000000</v>
      </c>
      <c r="Z107" s="3957"/>
      <c r="AA107" s="3879"/>
      <c r="AB107"/>
      <c r="AC107"/>
      <c r="AD107"/>
      <c r="AE107"/>
      <c r="AF107"/>
      <c r="AG107"/>
      <c r="AH107"/>
      <c r="AI107"/>
      <c r="AJ107"/>
      <c r="AK107"/>
      <c r="AL107"/>
      <c r="AM107"/>
      <c r="AN107"/>
      <c r="AO107"/>
      <c r="AP107"/>
      <c r="AQ107"/>
      <c r="AR107"/>
      <c r="AS107"/>
      <c r="AT107"/>
      <c r="AU107"/>
      <c r="AV107"/>
      <c r="AW107"/>
      <c r="AX107" s="3800"/>
      <c r="AY107" s="3797"/>
      <c r="AZ107"/>
      <c r="BA107"/>
      <c r="BB107"/>
      <c r="BC107"/>
      <c r="BD107"/>
      <c r="BE107"/>
      <c r="BF107"/>
      <c r="BG107"/>
      <c r="BH107"/>
      <c r="BI107"/>
      <c r="BJ107"/>
    </row>
    <row r="108" spans="1:62" ht="15.75" customHeight="1">
      <c r="A108" s="3872"/>
      <c r="B108" s="3873"/>
      <c r="C108" s="3874"/>
      <c r="D108"/>
      <c r="E108"/>
      <c r="F108"/>
      <c r="G108" s="1550"/>
      <c r="H108" s="1550"/>
      <c r="I108" s="1551"/>
      <c r="J108"/>
      <c r="K108"/>
      <c r="L108" s="3949"/>
      <c r="M108"/>
      <c r="N108" s="3953"/>
      <c r="O108" s="1571"/>
      <c r="P108" s="3957"/>
      <c r="Q108"/>
      <c r="R108" s="3965"/>
      <c r="S108" s="3969"/>
      <c r="T108"/>
      <c r="U108"/>
      <c r="V108" s="3884"/>
      <c r="W108"/>
      <c r="X108" s="3824"/>
      <c r="Y108" s="3824"/>
      <c r="Z108" s="3957"/>
      <c r="AA108" s="3881" t="s">
        <v>1593</v>
      </c>
      <c r="AB108"/>
      <c r="AC108"/>
      <c r="AD108"/>
      <c r="AE108"/>
      <c r="AF108"/>
      <c r="AG108"/>
      <c r="AH108"/>
      <c r="AI108"/>
      <c r="AJ108"/>
      <c r="AK108"/>
      <c r="AL108"/>
      <c r="AM108"/>
      <c r="AN108"/>
      <c r="AO108"/>
      <c r="AP108"/>
      <c r="AQ108"/>
      <c r="AR108"/>
      <c r="AS108"/>
      <c r="AT108"/>
      <c r="AU108"/>
      <c r="AV108"/>
      <c r="AW108"/>
      <c r="AX108" s="3800"/>
      <c r="AY108" s="3797"/>
      <c r="AZ108" t="s">
        <v>1594</v>
      </c>
      <c r="BA108">
        <v>11900000</v>
      </c>
      <c r="BB108">
        <v>11900000</v>
      </c>
      <c r="BC108" s="3792">
        <v>100</v>
      </c>
      <c r="BD108" t="s">
        <v>1573</v>
      </c>
      <c r="BE108"/>
      <c r="BF108" t="s">
        <v>1522</v>
      </c>
      <c r="BG108" t="s">
        <v>1590</v>
      </c>
      <c r="BH108" t="s">
        <v>1583</v>
      </c>
      <c r="BI108" t="s">
        <v>1591</v>
      </c>
      <c r="BJ108"/>
    </row>
    <row r="109" spans="1:62" ht="28.5" customHeight="1">
      <c r="A109" s="3872"/>
      <c r="B109" s="3873"/>
      <c r="C109" s="3874"/>
      <c r="D109"/>
      <c r="E109"/>
      <c r="F109"/>
      <c r="G109" s="1550"/>
      <c r="H109" s="1550"/>
      <c r="I109" s="1551"/>
      <c r="J109"/>
      <c r="K109"/>
      <c r="L109" s="3949"/>
      <c r="M109"/>
      <c r="N109" s="3953"/>
      <c r="O109" s="3955" t="s">
        <v>1595</v>
      </c>
      <c r="P109" s="3957"/>
      <c r="Q109"/>
      <c r="R109" s="3965"/>
      <c r="S109" s="3969"/>
      <c r="T109"/>
      <c r="U109"/>
      <c r="V109" s="3881" t="s">
        <v>1596</v>
      </c>
      <c r="W109">
        <v>13000000</v>
      </c>
      <c r="X109">
        <v>13000000</v>
      </c>
      <c r="Y109">
        <v>13000000</v>
      </c>
      <c r="Z109" s="3957"/>
      <c r="AA109" s="3955"/>
      <c r="AB109"/>
      <c r="AC109"/>
      <c r="AD109"/>
      <c r="AE109"/>
      <c r="AF109"/>
      <c r="AG109"/>
      <c r="AH109"/>
      <c r="AI109"/>
      <c r="AJ109"/>
      <c r="AK109"/>
      <c r="AL109"/>
      <c r="AM109"/>
      <c r="AN109"/>
      <c r="AO109"/>
      <c r="AP109"/>
      <c r="AQ109"/>
      <c r="AR109"/>
      <c r="AS109"/>
      <c r="AT109"/>
      <c r="AU109"/>
      <c r="AV109"/>
      <c r="AW109"/>
      <c r="AX109" s="3800"/>
      <c r="AY109" s="3797"/>
      <c r="AZ109"/>
      <c r="BA109"/>
      <c r="BB109"/>
      <c r="BC109"/>
      <c r="BD109"/>
      <c r="BE109"/>
      <c r="BF109"/>
      <c r="BG109"/>
      <c r="BH109"/>
      <c r="BI109"/>
      <c r="BJ109"/>
    </row>
    <row r="110" spans="1:62" ht="66.75" customHeight="1">
      <c r="A110" s="3872"/>
      <c r="B110" s="3873"/>
      <c r="C110" s="3874"/>
      <c r="D110"/>
      <c r="E110"/>
      <c r="F110"/>
      <c r="G110" s="1550"/>
      <c r="H110" s="1550"/>
      <c r="I110" s="1551"/>
      <c r="J110"/>
      <c r="K110"/>
      <c r="L110" s="3949"/>
      <c r="M110"/>
      <c r="N110" s="3953"/>
      <c r="O110" s="3955"/>
      <c r="P110" s="3957"/>
      <c r="Q110"/>
      <c r="R110" s="3965"/>
      <c r="S110" s="3969"/>
      <c r="T110"/>
      <c r="U110"/>
      <c r="V110" s="3955"/>
      <c r="W110" s="3969"/>
      <c r="X110"/>
      <c r="Y110"/>
      <c r="Z110" s="3957"/>
      <c r="AA110" s="3955"/>
      <c r="AB110"/>
      <c r="AC110"/>
      <c r="AD110"/>
      <c r="AE110"/>
      <c r="AF110"/>
      <c r="AG110"/>
      <c r="AH110"/>
      <c r="AI110"/>
      <c r="AJ110"/>
      <c r="AK110"/>
      <c r="AL110"/>
      <c r="AM110"/>
      <c r="AN110"/>
      <c r="AO110"/>
      <c r="AP110"/>
      <c r="AQ110"/>
      <c r="AR110"/>
      <c r="AS110"/>
      <c r="AT110"/>
      <c r="AU110"/>
      <c r="AV110"/>
      <c r="AW110"/>
      <c r="AX110" s="3800"/>
      <c r="AY110" s="3797"/>
      <c r="AZ110" s="1572" t="s">
        <v>1597</v>
      </c>
      <c r="BA110" s="1439">
        <v>7590000</v>
      </c>
      <c r="BB110" s="1439">
        <v>7590000</v>
      </c>
      <c r="BC110" s="1441">
        <v>100</v>
      </c>
      <c r="BD110" s="1442" t="s">
        <v>1573</v>
      </c>
      <c r="BE110"/>
      <c r="BF110" s="1572" t="s">
        <v>1522</v>
      </c>
      <c r="BG110" s="1584" t="s">
        <v>1590</v>
      </c>
      <c r="BH110" s="1583" t="s">
        <v>1583</v>
      </c>
      <c r="BI110" s="1584" t="s">
        <v>1598</v>
      </c>
      <c r="BJ110"/>
    </row>
    <row r="111" spans="1:62" ht="38.25" customHeight="1">
      <c r="A111" s="3872"/>
      <c r="B111" s="3873"/>
      <c r="C111" s="3874"/>
      <c r="D111"/>
      <c r="E111"/>
      <c r="F111"/>
      <c r="G111" s="1550"/>
      <c r="H111" s="1550"/>
      <c r="I111" s="1551"/>
      <c r="J111"/>
      <c r="K111"/>
      <c r="L111" s="3949"/>
      <c r="M111"/>
      <c r="N111" s="3953"/>
      <c r="O111" s="3955"/>
      <c r="P111" s="3957"/>
      <c r="Q111"/>
      <c r="R111" s="3965"/>
      <c r="S111" s="3969"/>
      <c r="T111"/>
      <c r="U111"/>
      <c r="V111" s="3955"/>
      <c r="W111" s="3969"/>
      <c r="X111"/>
      <c r="Y111"/>
      <c r="Z111" s="3957"/>
      <c r="AA111" s="3955"/>
      <c r="AB111"/>
      <c r="AC111"/>
      <c r="AD111"/>
      <c r="AE111"/>
      <c r="AF111"/>
      <c r="AG111"/>
      <c r="AH111"/>
      <c r="AI111"/>
      <c r="AJ111"/>
      <c r="AK111"/>
      <c r="AL111"/>
      <c r="AM111"/>
      <c r="AN111"/>
      <c r="AO111"/>
      <c r="AP111"/>
      <c r="AQ111"/>
      <c r="AR111"/>
      <c r="AS111"/>
      <c r="AT111"/>
      <c r="AU111"/>
      <c r="AV111"/>
      <c r="AW111"/>
      <c r="AX111" s="3800"/>
      <c r="AY111" s="3797"/>
      <c r="AZ111" s="1573" t="s">
        <v>1572</v>
      </c>
      <c r="BA111" s="1574">
        <v>3890000</v>
      </c>
      <c r="BB111" s="1574">
        <v>3890000</v>
      </c>
      <c r="BC111" s="1575">
        <v>100</v>
      </c>
      <c r="BD111" s="1576" t="s">
        <v>38</v>
      </c>
      <c r="BE111"/>
      <c r="BF111" s="1562">
        <v>42703</v>
      </c>
      <c r="BG111" s="1505">
        <v>42703</v>
      </c>
      <c r="BH111" s="1563">
        <v>42734</v>
      </c>
      <c r="BI111" s="1505">
        <v>42734</v>
      </c>
      <c r="BJ111"/>
    </row>
    <row r="112" spans="1:62" ht="43.5" customHeight="1">
      <c r="A112" s="3872"/>
      <c r="B112" s="3873"/>
      <c r="C112" s="3874"/>
      <c r="D112"/>
      <c r="E112"/>
      <c r="F112"/>
      <c r="G112" s="1550"/>
      <c r="H112" s="1550"/>
      <c r="I112" s="1551"/>
      <c r="J112"/>
      <c r="K112"/>
      <c r="L112" s="3949"/>
      <c r="M112"/>
      <c r="N112" s="3953"/>
      <c r="O112" s="3955"/>
      <c r="P112" s="3957"/>
      <c r="Q112"/>
      <c r="R112" s="3965"/>
      <c r="S112" s="3969"/>
      <c r="T112"/>
      <c r="U112"/>
      <c r="V112" s="3956"/>
      <c r="W112"/>
      <c r="X112"/>
      <c r="Y112"/>
      <c r="Z112" s="3957"/>
      <c r="AA112" s="3955"/>
      <c r="AB112"/>
      <c r="AC112"/>
      <c r="AD112"/>
      <c r="AE112"/>
      <c r="AF112"/>
      <c r="AG112"/>
      <c r="AH112"/>
      <c r="AI112"/>
      <c r="AJ112"/>
      <c r="AK112"/>
      <c r="AL112"/>
      <c r="AM112"/>
      <c r="AN112"/>
      <c r="AO112"/>
      <c r="AP112"/>
      <c r="AQ112"/>
      <c r="AR112"/>
      <c r="AS112"/>
      <c r="AT112"/>
      <c r="AU112"/>
      <c r="AV112"/>
      <c r="AW112"/>
      <c r="AX112" s="3800"/>
      <c r="AY112" s="3797"/>
      <c r="AZ112" s="1573" t="s">
        <v>1599</v>
      </c>
      <c r="BA112" s="1577">
        <v>16153000</v>
      </c>
      <c r="BB112" s="1577">
        <v>16153000</v>
      </c>
      <c r="BC112" s="1456">
        <v>100</v>
      </c>
      <c r="BD112" s="1578" t="s">
        <v>1573</v>
      </c>
      <c r="BE112"/>
      <c r="BF112" s="1562">
        <v>42703</v>
      </c>
      <c r="BG112" s="1505">
        <v>42703</v>
      </c>
      <c r="BH112" s="1563">
        <v>42734</v>
      </c>
      <c r="BI112" s="1505">
        <v>42734</v>
      </c>
      <c r="BJ112"/>
    </row>
    <row r="113" spans="1:62" ht="13.5" customHeight="1">
      <c r="A113" s="3872"/>
      <c r="B113" s="3873"/>
      <c r="C113" s="3874"/>
      <c r="D113"/>
      <c r="E113"/>
      <c r="F113"/>
      <c r="G113" s="1550"/>
      <c r="H113" s="1550"/>
      <c r="I113" s="1551"/>
      <c r="J113"/>
      <c r="K113"/>
      <c r="L113" s="3949"/>
      <c r="M113"/>
      <c r="N113" s="3953"/>
      <c r="O113" s="3955"/>
      <c r="P113" s="3957"/>
      <c r="Q113"/>
      <c r="R113" s="3965"/>
      <c r="S113" s="3969"/>
      <c r="T113"/>
      <c r="U113"/>
      <c r="V113" s="3959" t="s">
        <v>1600</v>
      </c>
      <c r="W113">
        <v>6800000</v>
      </c>
      <c r="X113">
        <v>6800000</v>
      </c>
      <c r="Y113">
        <v>6800000</v>
      </c>
      <c r="Z113" s="3957"/>
      <c r="AA113" s="3955"/>
      <c r="AB113"/>
      <c r="AC113"/>
      <c r="AD113"/>
      <c r="AE113"/>
      <c r="AF113"/>
      <c r="AG113"/>
      <c r="AH113"/>
      <c r="AI113"/>
      <c r="AJ113"/>
      <c r="AK113"/>
      <c r="AL113"/>
      <c r="AM113"/>
      <c r="AN113"/>
      <c r="AO113"/>
      <c r="AP113"/>
      <c r="AQ113"/>
      <c r="AR113"/>
      <c r="AS113"/>
      <c r="AT113"/>
      <c r="AU113"/>
      <c r="AV113"/>
      <c r="AW113"/>
      <c r="AX113" s="3800"/>
      <c r="AY113" s="3797"/>
      <c r="AZ113" t="s">
        <v>1601</v>
      </c>
      <c r="BA113">
        <v>11317000</v>
      </c>
      <c r="BB113">
        <v>11317000</v>
      </c>
      <c r="BC113" s="3792">
        <v>100</v>
      </c>
      <c r="BD113" t="s">
        <v>1573</v>
      </c>
      <c r="BE113"/>
      <c r="BF113" t="s">
        <v>1522</v>
      </c>
      <c r="BG113" t="s">
        <v>1602</v>
      </c>
      <c r="BH113" t="s">
        <v>1583</v>
      </c>
      <c r="BI113" t="s">
        <v>1603</v>
      </c>
      <c r="BJ113"/>
    </row>
    <row r="114" spans="1:62" ht="14.25" customHeight="1">
      <c r="A114" s="3872"/>
      <c r="B114" s="3873"/>
      <c r="C114" s="3874"/>
      <c r="D114"/>
      <c r="E114"/>
      <c r="F114"/>
      <c r="G114" s="1550"/>
      <c r="H114" s="1550"/>
      <c r="I114" s="1551"/>
      <c r="J114"/>
      <c r="K114"/>
      <c r="L114" s="3949"/>
      <c r="M114"/>
      <c r="N114" s="3953"/>
      <c r="O114" s="3955"/>
      <c r="P114" s="3957"/>
      <c r="Q114"/>
      <c r="R114" s="3965"/>
      <c r="S114" s="3969"/>
      <c r="T114"/>
      <c r="U114"/>
      <c r="V114"/>
      <c r="W114" s="3969"/>
      <c r="X114"/>
      <c r="Y114"/>
      <c r="Z114" s="3957"/>
      <c r="AA114" s="3955"/>
      <c r="AB114"/>
      <c r="AC114"/>
      <c r="AD114"/>
      <c r="AE114"/>
      <c r="AF114"/>
      <c r="AG114"/>
      <c r="AH114"/>
      <c r="AI114"/>
      <c r="AJ114"/>
      <c r="AK114"/>
      <c r="AL114"/>
      <c r="AM114"/>
      <c r="AN114"/>
      <c r="AO114"/>
      <c r="AP114"/>
      <c r="AQ114"/>
      <c r="AR114"/>
      <c r="AS114"/>
      <c r="AT114"/>
      <c r="AU114"/>
      <c r="AV114"/>
      <c r="AW114"/>
      <c r="AX114" s="3800"/>
      <c r="AY114" s="3797"/>
      <c r="AZ114"/>
      <c r="BA114"/>
      <c r="BB114"/>
      <c r="BC114"/>
      <c r="BD114"/>
      <c r="BE114"/>
      <c r="BF114"/>
      <c r="BG114"/>
      <c r="BH114"/>
      <c r="BI114"/>
      <c r="BJ114"/>
    </row>
    <row r="115" spans="1:62" ht="28.5" customHeight="1">
      <c r="A115" s="3872"/>
      <c r="B115" s="3873"/>
      <c r="C115" s="3874"/>
      <c r="D115"/>
      <c r="E115"/>
      <c r="F115"/>
      <c r="G115" s="1550"/>
      <c r="H115" s="1550"/>
      <c r="I115" s="1551"/>
      <c r="J115"/>
      <c r="K115"/>
      <c r="L115" s="3949"/>
      <c r="M115"/>
      <c r="N115" s="3954"/>
      <c r="O115" s="3956"/>
      <c r="P115"/>
      <c r="Q115"/>
      <c r="R115" s="3965"/>
      <c r="S115" s="3969"/>
      <c r="T115"/>
      <c r="U115" s="3958"/>
      <c r="V115" s="3958"/>
      <c r="W115"/>
      <c r="X115"/>
      <c r="Y115"/>
      <c r="Z115"/>
      <c r="AA115" s="3956"/>
      <c r="AB115"/>
      <c r="AC115"/>
      <c r="AD115"/>
      <c r="AE115"/>
      <c r="AF115"/>
      <c r="AG115"/>
      <c r="AH115"/>
      <c r="AI115"/>
      <c r="AJ115"/>
      <c r="AK115"/>
      <c r="AL115"/>
      <c r="AM115"/>
      <c r="AN115"/>
      <c r="AO115"/>
      <c r="AP115"/>
      <c r="AQ115"/>
      <c r="AR115"/>
      <c r="AS115"/>
      <c r="AT115"/>
      <c r="AU115"/>
      <c r="AV115"/>
      <c r="AW115"/>
      <c r="AX115" s="3800"/>
      <c r="AY115" s="3798"/>
      <c r="AZ115"/>
      <c r="BA115"/>
      <c r="BB115"/>
      <c r="BC115" s="3793"/>
      <c r="BD115"/>
      <c r="BE115"/>
      <c r="BF115"/>
      <c r="BG115"/>
      <c r="BH115"/>
      <c r="BI115"/>
      <c r="BJ115"/>
    </row>
    <row r="116" spans="1:256" s="1479" customFormat="1" ht="82.5" customHeight="1">
      <c r="A116" s="3872"/>
      <c r="B116" s="3873"/>
      <c r="C116" s="3874"/>
      <c r="D116"/>
      <c r="E116"/>
      <c r="F116"/>
      <c r="G116" s="1526"/>
      <c r="H116" s="1526"/>
      <c r="I116" s="1579"/>
      <c r="J116" s="3885">
        <v>52</v>
      </c>
      <c r="K116" s="3888" t="s">
        <v>1575</v>
      </c>
      <c r="L116" t="s">
        <v>37</v>
      </c>
      <c r="M116">
        <v>3</v>
      </c>
      <c r="N116">
        <v>3</v>
      </c>
      <c r="O116" t="s">
        <v>1604</v>
      </c>
      <c r="P116" s="3925">
        <v>61</v>
      </c>
      <c r="Q116" s="3888" t="s">
        <v>1605</v>
      </c>
      <c r="R116">
        <v>1</v>
      </c>
      <c r="S116" s="3903">
        <v>4200000</v>
      </c>
      <c r="T116" s="3888" t="s">
        <v>1606</v>
      </c>
      <c r="U116" s="1473" t="s">
        <v>1607</v>
      </c>
      <c r="V116" s="1473" t="s">
        <v>1608</v>
      </c>
      <c r="W116" s="3903">
        <v>4200000</v>
      </c>
      <c r="X116" s="3922">
        <v>4200000</v>
      </c>
      <c r="Y116" s="3922">
        <v>4200000</v>
      </c>
      <c r="Z116" s="3928">
        <v>20</v>
      </c>
      <c r="AA116" t="s">
        <v>232</v>
      </c>
      <c r="AB116" s="3806">
        <f>AB102</f>
        <v>64149</v>
      </c>
      <c r="AC116" s="3803">
        <f>+AB116/$W$116*$Y$116</f>
        <v>64149</v>
      </c>
      <c r="AD116" s="3806" t="s">
        <v>1431</v>
      </c>
      <c r="AE116" s="3803">
        <f>+AD116/$W$116*$Y$116</f>
        <v>72224</v>
      </c>
      <c r="AF116" s="3806" t="s">
        <v>1432</v>
      </c>
      <c r="AG116" s="3803">
        <f>+AF116/$W$116*$Y$116</f>
        <v>27477</v>
      </c>
      <c r="AH116" s="3806" t="s">
        <v>1433</v>
      </c>
      <c r="AI116" s="3803">
        <f>+AH116/$W$116*$Y$116</f>
        <v>86843</v>
      </c>
      <c r="AJ116" s="3806" t="s">
        <v>1434</v>
      </c>
      <c r="AK116" s="3803">
        <f>+AJ116/$W$116*$Y$116</f>
        <v>236429</v>
      </c>
      <c r="AL116" s="3806" t="s">
        <v>1435</v>
      </c>
      <c r="AM116" s="3803">
        <f>+AL116/$W$116*$Y$116</f>
        <v>81384</v>
      </c>
      <c r="AN116" s="3806">
        <v>13208</v>
      </c>
      <c r="AO116" s="3803">
        <f>+AN116/$W$116*$Y$116</f>
        <v>13208</v>
      </c>
      <c r="AP116" s="3806">
        <v>1827</v>
      </c>
      <c r="AQ116" s="3803">
        <f>+AP116/$W$116*$Y$116</f>
        <v>1827</v>
      </c>
      <c r="AR116" s="3806"/>
      <c r="AS116" s="3803"/>
      <c r="AT116" s="3806"/>
      <c r="AU116" s="3803"/>
      <c r="AV116" s="3806">
        <v>16897</v>
      </c>
      <c r="AW116" s="3803">
        <f>+AV116/$W$116*$Y$116</f>
        <v>16897</v>
      </c>
      <c r="AX116" s="3806">
        <v>81384</v>
      </c>
      <c r="AY116" s="3803">
        <f>+AX116/$W$116*$Y$116</f>
        <v>81384</v>
      </c>
      <c r="AZ116" t="s">
        <v>1609</v>
      </c>
      <c r="BA116">
        <v>4200000</v>
      </c>
      <c r="BB116">
        <v>4200000</v>
      </c>
      <c r="BC116">
        <v>100</v>
      </c>
      <c r="BD116" t="s">
        <v>676</v>
      </c>
      <c r="BE116" t="s">
        <v>1610</v>
      </c>
      <c r="BF116">
        <v>42508</v>
      </c>
      <c r="BG116">
        <v>42508</v>
      </c>
      <c r="BH116">
        <v>42599</v>
      </c>
      <c r="BI116">
        <v>42599</v>
      </c>
      <c r="BJ116"/>
      <c r="BK116" s="1478"/>
      <c r="BL116" s="1478"/>
      <c r="BM116" s="1478"/>
      <c r="BN116" s="1478"/>
      <c r="BO116" s="1478"/>
      <c r="BP116" s="1478"/>
      <c r="BQ116" s="1478"/>
      <c r="BR116" s="1478"/>
      <c r="BS116" s="1478"/>
      <c r="BT116" s="1478"/>
      <c r="BU116" s="1478"/>
      <c r="BV116" s="1478"/>
      <c r="BW116" s="1478"/>
      <c r="BX116" s="1478"/>
      <c r="BY116" s="1478"/>
      <c r="BZ116" s="1478"/>
      <c r="CA116" s="1478"/>
      <c r="CB116" s="1478"/>
      <c r="CC116" s="1478"/>
      <c r="CD116" s="1478"/>
      <c r="CE116" s="1478"/>
      <c r="CF116" s="1478"/>
      <c r="CG116" s="1478"/>
      <c r="CH116" s="1478"/>
      <c r="CI116" s="1478"/>
      <c r="CJ116" s="1478"/>
      <c r="CK116" s="1478"/>
      <c r="CL116" s="1478"/>
      <c r="CM116" s="1478"/>
      <c r="CN116" s="1478"/>
      <c r="CO116" s="1478"/>
      <c r="CP116" s="1478"/>
      <c r="CQ116" s="1478"/>
      <c r="CR116" s="1478"/>
      <c r="CS116" s="1478"/>
      <c r="CT116" s="1478"/>
      <c r="CU116" s="1478"/>
      <c r="CV116" s="1478"/>
      <c r="CW116" s="1478"/>
      <c r="CX116" s="1478"/>
      <c r="CY116" s="1478"/>
      <c r="CZ116" s="1478"/>
      <c r="DA116" s="1478"/>
      <c r="DB116" s="1478"/>
      <c r="DC116" s="1478"/>
      <c r="DD116" s="1478"/>
      <c r="DE116" s="1478"/>
      <c r="DF116" s="1478"/>
      <c r="DG116" s="1478"/>
      <c r="DH116" s="1478"/>
      <c r="DI116" s="1478"/>
      <c r="DJ116" s="1478"/>
      <c r="DK116" s="1478"/>
      <c r="DL116" s="1478"/>
      <c r="DM116" s="1478"/>
      <c r="DN116" s="1478"/>
      <c r="DO116" s="1478"/>
      <c r="DP116" s="1478"/>
      <c r="DQ116" s="1478"/>
      <c r="DR116" s="1478"/>
      <c r="DS116" s="1478"/>
      <c r="DT116" s="1478"/>
      <c r="DU116" s="1478"/>
      <c r="DV116" s="1478"/>
      <c r="DW116" s="1478"/>
      <c r="DX116" s="1478"/>
      <c r="DY116" s="1478"/>
      <c r="DZ116" s="1478"/>
      <c r="EA116" s="1478"/>
      <c r="EB116" s="1478"/>
      <c r="EC116" s="1478"/>
      <c r="ED116" s="1478"/>
      <c r="EE116" s="1478"/>
      <c r="EF116" s="1478"/>
      <c r="EG116" s="1478"/>
      <c r="EH116" s="1478"/>
      <c r="EI116" s="1478"/>
      <c r="EJ116" s="1478"/>
      <c r="EK116" s="1478"/>
      <c r="EL116" s="1478"/>
      <c r="EM116" s="1478"/>
      <c r="EN116" s="1478"/>
      <c r="EO116" s="1478"/>
      <c r="EP116" s="1478"/>
      <c r="EQ116" s="1478"/>
      <c r="ER116" s="1478"/>
      <c r="ES116" s="1478"/>
      <c r="ET116" s="1478"/>
      <c r="EU116" s="1478"/>
      <c r="EV116" s="1478"/>
      <c r="EW116" s="1478"/>
      <c r="EX116" s="1478"/>
      <c r="EY116" s="1478"/>
      <c r="EZ116" s="1478"/>
      <c r="FA116" s="1478"/>
      <c r="FB116" s="1478"/>
      <c r="FC116" s="1478"/>
      <c r="FD116" s="1478"/>
      <c r="FE116" s="1478"/>
      <c r="FF116" s="1478"/>
      <c r="FG116" s="1478"/>
      <c r="FH116" s="1478"/>
      <c r="FI116" s="1478"/>
      <c r="FJ116" s="1478"/>
      <c r="FK116" s="1478"/>
      <c r="FL116" s="1478"/>
      <c r="FM116" s="1478"/>
      <c r="FN116" s="1478"/>
      <c r="FO116" s="1478"/>
      <c r="FP116" s="1478"/>
      <c r="FQ116" s="1478"/>
      <c r="FR116" s="1478"/>
      <c r="FS116" s="1478"/>
      <c r="FT116" s="1478"/>
      <c r="FU116" s="1478"/>
      <c r="FV116" s="1478"/>
      <c r="FW116" s="1478"/>
      <c r="FX116" s="1478"/>
      <c r="FY116" s="1478"/>
      <c r="FZ116" s="1478"/>
      <c r="GA116" s="1478"/>
      <c r="GB116" s="1478"/>
      <c r="GC116" s="1478"/>
      <c r="GD116" s="1478"/>
      <c r="GE116" s="1478"/>
      <c r="GF116" s="1478"/>
      <c r="GG116" s="1478"/>
      <c r="GH116" s="1478"/>
      <c r="GI116" s="1478"/>
      <c r="GJ116" s="1478"/>
      <c r="GK116" s="1478"/>
      <c r="GL116" s="1478"/>
      <c r="GM116" s="1478"/>
      <c r="GN116" s="1478"/>
      <c r="GO116" s="1478"/>
      <c r="GP116" s="1478"/>
      <c r="GQ116" s="1478"/>
      <c r="GR116" s="1478"/>
      <c r="GS116" s="1478"/>
      <c r="GT116" s="1478"/>
      <c r="GU116" s="1478"/>
      <c r="GV116" s="1478"/>
      <c r="GW116" s="1478"/>
      <c r="GX116" s="1478"/>
      <c r="GY116" s="1478"/>
      <c r="GZ116" s="1478"/>
      <c r="HA116" s="1478"/>
      <c r="HB116" s="1478"/>
      <c r="HC116" s="1478"/>
      <c r="HD116" s="1478"/>
      <c r="HE116" s="1478"/>
      <c r="HF116" s="1478"/>
      <c r="HG116" s="1478"/>
      <c r="HH116" s="1478"/>
      <c r="HI116" s="1478"/>
      <c r="HJ116" s="1478"/>
      <c r="HK116" s="1478"/>
      <c r="HL116" s="1478"/>
      <c r="HM116" s="1478"/>
      <c r="HN116" s="1478"/>
      <c r="HO116" s="1478"/>
      <c r="HP116" s="1478"/>
      <c r="HQ116" s="1478"/>
      <c r="HR116" s="1478"/>
      <c r="HS116" s="1478"/>
      <c r="HT116" s="1478"/>
      <c r="HU116" s="1478"/>
      <c r="HV116" s="1478"/>
      <c r="HW116" s="1478"/>
      <c r="HX116" s="1478"/>
      <c r="HY116" s="1478"/>
      <c r="HZ116" s="1478"/>
      <c r="IA116" s="1478"/>
      <c r="IB116" s="1478"/>
      <c r="IC116" s="1478"/>
      <c r="ID116" s="1478"/>
      <c r="IE116" s="1478"/>
      <c r="IF116" s="1478"/>
      <c r="IG116" s="1478"/>
      <c r="IH116" s="1478"/>
      <c r="II116" s="1478"/>
      <c r="IJ116" s="1478"/>
      <c r="IK116" s="1478"/>
      <c r="IL116" s="1478"/>
      <c r="IM116" s="1478"/>
      <c r="IN116" s="1478"/>
      <c r="IO116" s="1478"/>
      <c r="IP116" s="1478"/>
      <c r="IQ116" s="1478"/>
      <c r="IR116" s="1478"/>
      <c r="IS116" s="1478"/>
      <c r="IT116" s="1478"/>
      <c r="IU116" s="1478"/>
      <c r="IV116" s="1478"/>
    </row>
    <row r="117" spans="1:62" s="1478" customFormat="1" ht="91.5" customHeight="1">
      <c r="A117" s="3872"/>
      <c r="B117" s="3873"/>
      <c r="C117" s="3874"/>
      <c r="D117"/>
      <c r="E117"/>
      <c r="F117"/>
      <c r="G117" s="1526"/>
      <c r="H117" s="1526"/>
      <c r="I117" s="1579"/>
      <c r="J117"/>
      <c r="K117" s="3947"/>
      <c r="L117"/>
      <c r="M117" s="3945"/>
      <c r="N117"/>
      <c r="O117"/>
      <c r="P117" s="3927"/>
      <c r="Q117" s="3947"/>
      <c r="R117"/>
      <c r="S117" s="3971"/>
      <c r="T117" s="3947"/>
      <c r="U117" s="1473" t="s">
        <v>1611</v>
      </c>
      <c r="V117" s="1473" t="s">
        <v>1612</v>
      </c>
      <c r="W117" s="3971"/>
      <c r="X117" s="3924"/>
      <c r="Y117" s="3924"/>
      <c r="Z117" s="3930"/>
      <c r="AA117"/>
      <c r="AB117" s="3808"/>
      <c r="AC117" s="3805"/>
      <c r="AD117" s="3808"/>
      <c r="AE117" s="3805"/>
      <c r="AF117" s="3808"/>
      <c r="AG117" s="3805"/>
      <c r="AH117" s="3808"/>
      <c r="AI117" s="3805"/>
      <c r="AJ117" s="3808"/>
      <c r="AK117" s="3805"/>
      <c r="AL117" s="3808"/>
      <c r="AM117" s="3805"/>
      <c r="AN117" s="3808"/>
      <c r="AO117" s="3805"/>
      <c r="AP117" s="3808"/>
      <c r="AQ117" s="3805"/>
      <c r="AR117" s="3808"/>
      <c r="AS117" s="3805"/>
      <c r="AT117" s="3808"/>
      <c r="AU117" s="3805"/>
      <c r="AV117" s="3808"/>
      <c r="AW117" s="3805"/>
      <c r="AX117" s="3808"/>
      <c r="AY117" s="3805"/>
      <c r="AZ117" s="3945"/>
      <c r="BA117"/>
      <c r="BB117"/>
      <c r="BC117" s="3945"/>
      <c r="BD117" s="3945"/>
      <c r="BE117"/>
      <c r="BF117"/>
      <c r="BG117"/>
      <c r="BH117"/>
      <c r="BI117"/>
      <c r="BJ117"/>
    </row>
    <row r="118" spans="1:62" ht="13.5" customHeight="1">
      <c r="A118" s="3872"/>
      <c r="B118" s="3873"/>
      <c r="C118" s="3874"/>
      <c r="D118"/>
      <c r="E118"/>
      <c r="F118"/>
      <c r="G118">
        <v>13</v>
      </c>
      <c r="H118" s="1460" t="s">
        <v>1613</v>
      </c>
      <c r="I118" s="1461"/>
      <c r="J118" s="1461"/>
      <c r="K118" s="1461"/>
      <c r="L118" s="1461"/>
      <c r="M118" s="1461"/>
      <c r="N118" s="1462"/>
      <c r="O118" s="1461"/>
      <c r="P118" s="1461"/>
      <c r="Q118" s="1461"/>
      <c r="R118" s="1461"/>
      <c r="S118" s="1461"/>
      <c r="T118" s="1461"/>
      <c r="U118" s="1461"/>
      <c r="V118" s="1461"/>
      <c r="W118" s="1461"/>
      <c r="X118" s="1462"/>
      <c r="Y118" s="1462"/>
      <c r="Z118" s="1461"/>
      <c r="AA118" s="1461"/>
      <c r="AB118" s="1461"/>
      <c r="AC118" s="1462"/>
      <c r="AD118" s="1461"/>
      <c r="AE118" s="1462"/>
      <c r="AF118" s="1461"/>
      <c r="AG118" s="1462"/>
      <c r="AH118" s="1461"/>
      <c r="AI118" s="1462"/>
      <c r="AJ118" s="1461"/>
      <c r="AK118" s="1462"/>
      <c r="AL118" s="1461"/>
      <c r="AM118" s="1462"/>
      <c r="AN118" s="1461"/>
      <c r="AO118" s="1462"/>
      <c r="AP118" s="1461"/>
      <c r="AQ118" s="1462"/>
      <c r="AR118" s="1461"/>
      <c r="AS118" s="1462"/>
      <c r="AT118" s="1461"/>
      <c r="AU118" s="1462"/>
      <c r="AV118" s="1461"/>
      <c r="AW118" s="1462"/>
      <c r="AX118" s="1461"/>
      <c r="AY118" s="1462"/>
      <c r="AZ118" s="1461"/>
      <c r="BA118" s="1418"/>
      <c r="BB118" s="1461"/>
      <c r="BC118" s="1461"/>
      <c r="BD118" s="1419"/>
      <c r="BE118" s="1419"/>
      <c r="BF118" s="1419"/>
      <c r="BG118" s="1462"/>
      <c r="BH118" s="1461"/>
      <c r="BI118" s="1462"/>
      <c r="BJ118" s="1580"/>
    </row>
    <row r="119" spans="1:62" ht="13.5" customHeight="1">
      <c r="A119" s="3872"/>
      <c r="B119" s="3873"/>
      <c r="C119" s="3874"/>
      <c r="D119"/>
      <c r="E119"/>
      <c r="F119"/>
      <c r="G119"/>
      <c r="H119" s="1581"/>
      <c r="I119" s="1465"/>
      <c r="J119" s="1465"/>
      <c r="K119" s="1465"/>
      <c r="L119" s="1465"/>
      <c r="M119" s="1465"/>
      <c r="N119" s="1466"/>
      <c r="O119" s="1465"/>
      <c r="P119" s="1465"/>
      <c r="Q119" s="1465"/>
      <c r="R119" s="1465"/>
      <c r="S119" s="1465"/>
      <c r="T119" s="1465"/>
      <c r="U119" s="1465"/>
      <c r="V119" s="1465"/>
      <c r="W119" s="1465"/>
      <c r="X119" s="1466"/>
      <c r="Y119" s="1466"/>
      <c r="Z119" s="1465"/>
      <c r="AA119" s="1465"/>
      <c r="AB119" s="1465"/>
      <c r="AC119" s="1466"/>
      <c r="AD119" s="1465"/>
      <c r="AE119" s="1466"/>
      <c r="AF119" s="1465"/>
      <c r="AG119" s="1466"/>
      <c r="AH119" s="1465"/>
      <c r="AI119" s="1466"/>
      <c r="AJ119" s="1465"/>
      <c r="AK119" s="1466"/>
      <c r="AL119" s="1465"/>
      <c r="AM119" s="1466"/>
      <c r="AN119" s="1465"/>
      <c r="AO119" s="1466"/>
      <c r="AP119" s="1465"/>
      <c r="AQ119" s="1466"/>
      <c r="AR119" s="1465"/>
      <c r="AS119" s="1466"/>
      <c r="AT119" s="1465"/>
      <c r="AU119" s="1466"/>
      <c r="AV119" s="1465"/>
      <c r="AW119" s="1466"/>
      <c r="AX119" s="1465"/>
      <c r="AY119" s="1466"/>
      <c r="AZ119" s="1465"/>
      <c r="BA119" s="1568"/>
      <c r="BB119" s="1465"/>
      <c r="BC119" s="1465"/>
      <c r="BD119" s="1569"/>
      <c r="BE119" s="1569"/>
      <c r="BF119" s="1569"/>
      <c r="BG119" s="1466"/>
      <c r="BH119" s="1465"/>
      <c r="BI119" s="1466"/>
      <c r="BJ119" s="1582"/>
    </row>
    <row r="120" spans="1:62" ht="23.25" customHeight="1">
      <c r="A120" s="3872"/>
      <c r="B120" s="3873"/>
      <c r="C120" s="3874"/>
      <c r="D120"/>
      <c r="E120"/>
      <c r="F120"/>
      <c r="G120"/>
      <c r="H120"/>
      <c r="I120"/>
      <c r="J120" s="3961">
        <v>53</v>
      </c>
      <c r="K120" t="s">
        <v>1614</v>
      </c>
      <c r="L120" t="s">
        <v>37</v>
      </c>
      <c r="M120">
        <v>1</v>
      </c>
      <c r="N120">
        <v>1</v>
      </c>
      <c r="O120" s="3881" t="s">
        <v>1615</v>
      </c>
      <c r="P120">
        <v>62</v>
      </c>
      <c r="Q120" t="s">
        <v>1616</v>
      </c>
      <c r="R120" s="3965">
        <v>1</v>
      </c>
      <c r="S120" s="3969">
        <v>502906237</v>
      </c>
      <c r="T120" t="s">
        <v>1617</v>
      </c>
      <c r="U120" t="s">
        <v>1618</v>
      </c>
      <c r="V120" t="s">
        <v>1619</v>
      </c>
      <c r="W120" s="3904">
        <v>58640000</v>
      </c>
      <c r="X120" s="3922">
        <v>58640000</v>
      </c>
      <c r="Y120" s="3823">
        <v>58640000</v>
      </c>
      <c r="Z120" t="s">
        <v>1620</v>
      </c>
      <c r="AA120" s="3881" t="s">
        <v>1621</v>
      </c>
      <c r="AB120">
        <v>64149</v>
      </c>
      <c r="AC120">
        <f>+AB120/($W$120+$W$122+$W$125+$W$128)*($Y$125)</f>
        <v>28404.82938590996</v>
      </c>
      <c r="AD120" t="s">
        <v>1431</v>
      </c>
      <c r="AE120">
        <f>+AD120/($W$120+$W$122+$W$125+$W$128)*($Y$125)</f>
        <v>31980.395603485027</v>
      </c>
      <c r="AF120" t="s">
        <v>1432</v>
      </c>
      <c r="AG120">
        <f>+AF120/($W$120+$W$122+$W$125+$W$128)*($Y$125)</f>
        <v>12166.66662047184</v>
      </c>
      <c r="AH120" t="s">
        <v>1433</v>
      </c>
      <c r="AI120">
        <f>+AH120/($W$120+$W$122+$W$125+$W$128)*($Y$125)</f>
        <v>38453.609539674486</v>
      </c>
      <c r="AJ120" t="s">
        <v>1434</v>
      </c>
      <c r="AK120">
        <f>+AJ120/($W$120+$W$122+$W$125+$W$128)*($Y$125)</f>
        <v>104689.47928855175</v>
      </c>
      <c r="AL120" t="s">
        <v>1435</v>
      </c>
      <c r="AM120">
        <f>+AL120/($W$120+$W$122+$W$125+$W$128)*($Y$125)</f>
        <v>36036.39393822034</v>
      </c>
      <c r="AN120" s="3800">
        <v>13208</v>
      </c>
      <c r="AO120">
        <f>+AN120/($W$120+$W$122+$W$125+$W$128)*($Y$125)</f>
        <v>5848.430786592134</v>
      </c>
      <c r="AP120" s="3800">
        <v>1827</v>
      </c>
      <c r="AQ120">
        <f>+AP120/($W$120+$W$122+$W$125+$W$128)*($Y$125)</f>
        <v>808.9856940569222</v>
      </c>
      <c r="AR120"/>
      <c r="AS120"/>
      <c r="AT120"/>
      <c r="AU120"/>
      <c r="AV120" s="3800">
        <v>16897</v>
      </c>
      <c r="AW120">
        <f>+AV120/($W$120+$W$122+$W$125+$W$128)*($Y$125)</f>
        <v>7481.899984936954</v>
      </c>
      <c r="AX120" s="3800">
        <v>81384</v>
      </c>
      <c r="AY120">
        <f>+AX120/($W$120+$W$122+$W$125+$W$128)*($Y$125)</f>
        <v>36036.39393822034</v>
      </c>
      <c r="AZ120" t="s">
        <v>1622</v>
      </c>
      <c r="BA120">
        <v>5000000</v>
      </c>
      <c r="BB120">
        <v>5000000</v>
      </c>
      <c r="BC120" t="s">
        <v>1623</v>
      </c>
      <c r="BD120" t="s">
        <v>38</v>
      </c>
      <c r="BE120" t="s">
        <v>1610</v>
      </c>
      <c r="BF120">
        <v>42597</v>
      </c>
      <c r="BG120">
        <v>42614</v>
      </c>
      <c r="BH120" t="s">
        <v>1624</v>
      </c>
      <c r="BI120" t="s">
        <v>1624</v>
      </c>
      <c r="BJ120" t="s">
        <v>1441</v>
      </c>
    </row>
    <row r="121" spans="1:62" ht="17.25" customHeight="1">
      <c r="A121" s="3872"/>
      <c r="B121" s="3873"/>
      <c r="C121" s="3874"/>
      <c r="D121"/>
      <c r="E121"/>
      <c r="F121"/>
      <c r="G121"/>
      <c r="H121"/>
      <c r="I121"/>
      <c r="J121"/>
      <c r="K121"/>
      <c r="L121"/>
      <c r="M121" s="3960"/>
      <c r="N121"/>
      <c r="O121" s="3955"/>
      <c r="P121" s="3957"/>
      <c r="Q121"/>
      <c r="R121" s="3965"/>
      <c r="S121" s="3969"/>
      <c r="T121"/>
      <c r="U121"/>
      <c r="V121" s="3958"/>
      <c r="W121" s="3971"/>
      <c r="X121" s="3924"/>
      <c r="Y121" s="3823"/>
      <c r="Z121" s="3957"/>
      <c r="AA121" s="3955"/>
      <c r="AB121"/>
      <c r="AC121"/>
      <c r="AD121"/>
      <c r="AE121"/>
      <c r="AF121"/>
      <c r="AG121"/>
      <c r="AH121"/>
      <c r="AI121"/>
      <c r="AJ121"/>
      <c r="AK121"/>
      <c r="AL121"/>
      <c r="AM121"/>
      <c r="AN121" s="3800"/>
      <c r="AO121"/>
      <c r="AP121" s="3800"/>
      <c r="AQ121"/>
      <c r="AR121"/>
      <c r="AS121"/>
      <c r="AT121"/>
      <c r="AU121"/>
      <c r="AV121" s="3800"/>
      <c r="AW121"/>
      <c r="AX121" s="3800"/>
      <c r="AY121"/>
      <c r="AZ121"/>
      <c r="BA121"/>
      <c r="BB121"/>
      <c r="BC121"/>
      <c r="BD121"/>
      <c r="BE121"/>
      <c r="BF121"/>
      <c r="BG121"/>
      <c r="BH121"/>
      <c r="BI121"/>
      <c r="BJ121"/>
    </row>
    <row r="122" spans="1:62" ht="13.5" customHeight="1">
      <c r="A122" s="3872"/>
      <c r="B122" s="3873"/>
      <c r="C122" s="3874"/>
      <c r="D122"/>
      <c r="E122"/>
      <c r="F122"/>
      <c r="G122"/>
      <c r="H122"/>
      <c r="I122"/>
      <c r="J122"/>
      <c r="K122"/>
      <c r="L122"/>
      <c r="M122" s="3960"/>
      <c r="N122"/>
      <c r="O122" s="3955"/>
      <c r="P122" s="3957"/>
      <c r="Q122"/>
      <c r="R122" s="3965"/>
      <c r="S122" s="3969"/>
      <c r="T122"/>
      <c r="U122"/>
      <c r="V122" s="3959" t="s">
        <v>1625</v>
      </c>
      <c r="W122" s="3903">
        <v>178820000</v>
      </c>
      <c r="X122" s="3922">
        <v>178820000</v>
      </c>
      <c r="Y122" s="3922">
        <v>178820000</v>
      </c>
      <c r="Z122" s="3957"/>
      <c r="AA122" s="3955"/>
      <c r="AB122"/>
      <c r="AC122"/>
      <c r="AD122"/>
      <c r="AE122"/>
      <c r="AF122"/>
      <c r="AG122"/>
      <c r="AH122"/>
      <c r="AI122"/>
      <c r="AJ122"/>
      <c r="AK122"/>
      <c r="AL122"/>
      <c r="AM122"/>
      <c r="AN122" s="3800"/>
      <c r="AO122"/>
      <c r="AP122" s="3800"/>
      <c r="AQ122"/>
      <c r="AR122"/>
      <c r="AS122"/>
      <c r="AT122"/>
      <c r="AU122"/>
      <c r="AV122" s="3800"/>
      <c r="AW122"/>
      <c r="AX122" s="3800"/>
      <c r="AY122"/>
      <c r="AZ122" t="s">
        <v>1626</v>
      </c>
      <c r="BA122">
        <v>292360000</v>
      </c>
      <c r="BB122">
        <v>292360000</v>
      </c>
      <c r="BC122">
        <v>1</v>
      </c>
      <c r="BD122" t="s">
        <v>1573</v>
      </c>
      <c r="BE122" t="s">
        <v>1610</v>
      </c>
      <c r="BF122">
        <v>42597</v>
      </c>
      <c r="BG122">
        <v>42586</v>
      </c>
      <c r="BH122">
        <v>42735</v>
      </c>
      <c r="BI122">
        <v>42735</v>
      </c>
      <c r="BJ122"/>
    </row>
    <row r="123" spans="1:62" ht="35.25" customHeight="1">
      <c r="A123" s="3872"/>
      <c r="B123" s="3873"/>
      <c r="C123" s="3874"/>
      <c r="D123"/>
      <c r="E123"/>
      <c r="F123"/>
      <c r="G123"/>
      <c r="H123"/>
      <c r="I123"/>
      <c r="J123"/>
      <c r="K123"/>
      <c r="L123"/>
      <c r="M123" s="3960"/>
      <c r="N123"/>
      <c r="O123" s="3955"/>
      <c r="P123" s="3957"/>
      <c r="Q123"/>
      <c r="R123" s="3965"/>
      <c r="S123" s="3969"/>
      <c r="T123"/>
      <c r="U123"/>
      <c r="V123"/>
      <c r="W123" s="3904"/>
      <c r="X123" s="3923"/>
      <c r="Y123" s="3923"/>
      <c r="Z123" s="3957"/>
      <c r="AA123" s="3955"/>
      <c r="AB123"/>
      <c r="AC123"/>
      <c r="AD123"/>
      <c r="AE123"/>
      <c r="AF123"/>
      <c r="AG123"/>
      <c r="AH123"/>
      <c r="AI123"/>
      <c r="AJ123"/>
      <c r="AK123"/>
      <c r="AL123"/>
      <c r="AM123"/>
      <c r="AN123" s="3800"/>
      <c r="AO123"/>
      <c r="AP123" s="3800"/>
      <c r="AQ123"/>
      <c r="AR123"/>
      <c r="AS123"/>
      <c r="AT123"/>
      <c r="AU123"/>
      <c r="AV123" s="3800"/>
      <c r="AW123"/>
      <c r="AX123" s="3800"/>
      <c r="AY123"/>
      <c r="AZ123"/>
      <c r="BA123"/>
      <c r="BB123"/>
      <c r="BC123"/>
      <c r="BD123"/>
      <c r="BE123"/>
      <c r="BF123"/>
      <c r="BG123"/>
      <c r="BH123"/>
      <c r="BI123"/>
      <c r="BJ123"/>
    </row>
    <row r="124" spans="1:62" ht="22.5" customHeight="1">
      <c r="A124" s="3872"/>
      <c r="B124" s="3873"/>
      <c r="C124" s="3874"/>
      <c r="D124"/>
      <c r="E124"/>
      <c r="F124"/>
      <c r="G124"/>
      <c r="H124"/>
      <c r="I124"/>
      <c r="J124"/>
      <c r="K124"/>
      <c r="L124"/>
      <c r="M124" s="3960"/>
      <c r="N124"/>
      <c r="O124" s="3955"/>
      <c r="P124" s="3957"/>
      <c r="Q124"/>
      <c r="R124" s="3965"/>
      <c r="S124" s="3969"/>
      <c r="T124"/>
      <c r="U124"/>
      <c r="V124" s="3958"/>
      <c r="W124" s="3971"/>
      <c r="X124" s="3924"/>
      <c r="Y124" s="3924"/>
      <c r="Z124" s="3957"/>
      <c r="AA124" s="3955"/>
      <c r="AB124"/>
      <c r="AC124"/>
      <c r="AD124"/>
      <c r="AE124"/>
      <c r="AF124"/>
      <c r="AG124"/>
      <c r="AH124"/>
      <c r="AI124"/>
      <c r="AJ124"/>
      <c r="AK124"/>
      <c r="AL124"/>
      <c r="AM124"/>
      <c r="AN124" s="3800"/>
      <c r="AO124"/>
      <c r="AP124" s="3800"/>
      <c r="AQ124"/>
      <c r="AR124"/>
      <c r="AS124"/>
      <c r="AT124"/>
      <c r="AU124"/>
      <c r="AV124" s="3800"/>
      <c r="AW124"/>
      <c r="AX124" s="3800"/>
      <c r="AY124"/>
      <c r="AZ124" t="s">
        <v>1627</v>
      </c>
      <c r="BA124">
        <v>3600000</v>
      </c>
      <c r="BB124">
        <v>3600000</v>
      </c>
      <c r="BC124">
        <v>1</v>
      </c>
      <c r="BD124" t="s">
        <v>38</v>
      </c>
      <c r="BE124" t="s">
        <v>1610</v>
      </c>
      <c r="BF124">
        <v>42597</v>
      </c>
      <c r="BG124">
        <v>42615</v>
      </c>
      <c r="BH124">
        <v>42675</v>
      </c>
      <c r="BI124">
        <v>42675</v>
      </c>
      <c r="BJ124"/>
    </row>
    <row r="125" spans="1:62" ht="16.5" customHeight="1">
      <c r="A125" s="3872"/>
      <c r="B125" s="3873"/>
      <c r="C125" s="3874"/>
      <c r="D125"/>
      <c r="E125"/>
      <c r="F125"/>
      <c r="G125"/>
      <c r="H125"/>
      <c r="I125"/>
      <c r="J125"/>
      <c r="K125"/>
      <c r="L125"/>
      <c r="M125" s="3960"/>
      <c r="N125"/>
      <c r="O125" s="3955"/>
      <c r="P125" s="3957"/>
      <c r="Q125"/>
      <c r="R125" s="3965"/>
      <c r="S125" s="3969"/>
      <c r="T125"/>
      <c r="U125"/>
      <c r="V125" s="3959" t="s">
        <v>1628</v>
      </c>
      <c r="W125" s="3903">
        <f>283113081-17666844-10000000</f>
        <v>255446237</v>
      </c>
      <c r="X125" s="3922">
        <f>255446237-32762082</f>
        <v>222684155</v>
      </c>
      <c r="Y125" s="3823">
        <v>222684155</v>
      </c>
      <c r="Z125" s="3957"/>
      <c r="AA125" s="3955"/>
      <c r="AB125"/>
      <c r="AC125"/>
      <c r="AD125"/>
      <c r="AE125"/>
      <c r="AF125"/>
      <c r="AG125"/>
      <c r="AH125"/>
      <c r="AI125"/>
      <c r="AJ125"/>
      <c r="AK125"/>
      <c r="AL125"/>
      <c r="AM125"/>
      <c r="AN125" s="3800"/>
      <c r="AO125"/>
      <c r="AP125" s="3800"/>
      <c r="AQ125"/>
      <c r="AR125"/>
      <c r="AS125"/>
      <c r="AT125"/>
      <c r="AU125"/>
      <c r="AV125" s="3800"/>
      <c r="AW125"/>
      <c r="AX125" s="3800"/>
      <c r="AY125"/>
      <c r="AZ125"/>
      <c r="BA125"/>
      <c r="BB125"/>
      <c r="BC125"/>
      <c r="BD125"/>
      <c r="BE125"/>
      <c r="BF125"/>
      <c r="BG125"/>
      <c r="BH125"/>
      <c r="BI125"/>
      <c r="BJ125"/>
    </row>
    <row r="126" spans="1:62" ht="13.5" customHeight="1">
      <c r="A126" s="3872"/>
      <c r="B126" s="3873"/>
      <c r="C126" s="3874"/>
      <c r="D126"/>
      <c r="E126"/>
      <c r="F126"/>
      <c r="G126"/>
      <c r="H126"/>
      <c r="I126"/>
      <c r="J126"/>
      <c r="K126"/>
      <c r="L126"/>
      <c r="M126" s="3960"/>
      <c r="N126"/>
      <c r="O126" s="3955"/>
      <c r="P126" s="3957"/>
      <c r="Q126"/>
      <c r="R126" s="3965"/>
      <c r="S126" s="3969"/>
      <c r="T126"/>
      <c r="U126"/>
      <c r="V126"/>
      <c r="W126" s="3904"/>
      <c r="X126" s="3923"/>
      <c r="Y126" s="3823"/>
      <c r="Z126" s="3957"/>
      <c r="AA126" s="3955"/>
      <c r="AB126"/>
      <c r="AC126"/>
      <c r="AD126"/>
      <c r="AE126"/>
      <c r="AF126"/>
      <c r="AG126"/>
      <c r="AH126"/>
      <c r="AI126"/>
      <c r="AJ126"/>
      <c r="AK126"/>
      <c r="AL126"/>
      <c r="AM126"/>
      <c r="AN126" s="3800"/>
      <c r="AO126"/>
      <c r="AP126" s="3800"/>
      <c r="AQ126"/>
      <c r="AR126"/>
      <c r="AS126"/>
      <c r="AT126"/>
      <c r="AU126"/>
      <c r="AV126" s="3800"/>
      <c r="AW126"/>
      <c r="AX126" s="3800"/>
      <c r="AY126"/>
      <c r="AZ126" t="s">
        <v>1629</v>
      </c>
      <c r="BA126">
        <v>3600000</v>
      </c>
      <c r="BB126">
        <v>3600000</v>
      </c>
      <c r="BC126">
        <v>1</v>
      </c>
      <c r="BD126" t="s">
        <v>38</v>
      </c>
      <c r="BE126" t="s">
        <v>1610</v>
      </c>
      <c r="BF126">
        <v>42597</v>
      </c>
      <c r="BG126">
        <v>42620</v>
      </c>
      <c r="BH126">
        <v>42680</v>
      </c>
      <c r="BI126">
        <v>42680</v>
      </c>
      <c r="BJ126"/>
    </row>
    <row r="127" spans="1:62" ht="13.5" customHeight="1">
      <c r="A127" s="3872"/>
      <c r="B127" s="3873"/>
      <c r="C127" s="3874"/>
      <c r="D127"/>
      <c r="E127"/>
      <c r="F127"/>
      <c r="G127"/>
      <c r="H127"/>
      <c r="I127"/>
      <c r="J127"/>
      <c r="K127"/>
      <c r="L127"/>
      <c r="M127" s="3960"/>
      <c r="N127"/>
      <c r="O127" s="3955"/>
      <c r="P127" s="3957"/>
      <c r="Q127"/>
      <c r="R127" s="3965"/>
      <c r="S127" s="3969"/>
      <c r="T127"/>
      <c r="U127" s="3958"/>
      <c r="V127" s="3958"/>
      <c r="W127" s="3971"/>
      <c r="X127" s="3924"/>
      <c r="Y127" s="3823"/>
      <c r="Z127" s="3957"/>
      <c r="AA127" s="3955"/>
      <c r="AB127"/>
      <c r="AC127"/>
      <c r="AD127"/>
      <c r="AE127"/>
      <c r="AF127"/>
      <c r="AG127"/>
      <c r="AH127"/>
      <c r="AI127"/>
      <c r="AJ127"/>
      <c r="AK127"/>
      <c r="AL127"/>
      <c r="AM127"/>
      <c r="AN127" s="3800"/>
      <c r="AO127"/>
      <c r="AP127" s="3800"/>
      <c r="AQ127"/>
      <c r="AR127"/>
      <c r="AS127"/>
      <c r="AT127"/>
      <c r="AU127"/>
      <c r="AV127" s="3800"/>
      <c r="AW127"/>
      <c r="AX127" s="3800"/>
      <c r="AY127"/>
      <c r="AZ127"/>
      <c r="BA127"/>
      <c r="BB127"/>
      <c r="BC127"/>
      <c r="BD127"/>
      <c r="BE127"/>
      <c r="BF127"/>
      <c r="BG127"/>
      <c r="BH127"/>
      <c r="BI127"/>
      <c r="BJ127"/>
    </row>
    <row r="128" spans="1:62" ht="31.5" customHeight="1">
      <c r="A128" s="3872"/>
      <c r="B128" s="3873"/>
      <c r="C128" s="3874"/>
      <c r="D128"/>
      <c r="E128"/>
      <c r="F128"/>
      <c r="G128"/>
      <c r="H128"/>
      <c r="I128"/>
      <c r="J128"/>
      <c r="K128"/>
      <c r="L128"/>
      <c r="M128" s="3960"/>
      <c r="N128"/>
      <c r="O128" s="3955"/>
      <c r="P128" s="3957"/>
      <c r="Q128"/>
      <c r="R128" s="3965"/>
      <c r="S128" s="3969"/>
      <c r="T128"/>
      <c r="U128" s="3959" t="s">
        <v>1630</v>
      </c>
      <c r="V128" t="s">
        <v>1631</v>
      </c>
      <c r="W128" s="3903">
        <v>10000000</v>
      </c>
      <c r="X128" s="3922">
        <v>5000000</v>
      </c>
      <c r="Y128" s="3823">
        <v>5000000</v>
      </c>
      <c r="Z128" s="3957"/>
      <c r="AA128" s="3955"/>
      <c r="AB128"/>
      <c r="AC128"/>
      <c r="AD128"/>
      <c r="AE128"/>
      <c r="AF128"/>
      <c r="AG128"/>
      <c r="AH128"/>
      <c r="AI128"/>
      <c r="AJ128"/>
      <c r="AK128"/>
      <c r="AL128"/>
      <c r="AM128"/>
      <c r="AN128" s="3800"/>
      <c r="AO128"/>
      <c r="AP128" s="3800"/>
      <c r="AQ128"/>
      <c r="AR128"/>
      <c r="AS128"/>
      <c r="AT128"/>
      <c r="AU128"/>
      <c r="AV128" s="3800"/>
      <c r="AW128"/>
      <c r="AX128" s="3800"/>
      <c r="AY128"/>
      <c r="AZ128" s="1585" t="s">
        <v>1570</v>
      </c>
      <c r="BA128" s="1586">
        <v>7094155</v>
      </c>
      <c r="BB128" s="1586">
        <v>7094155</v>
      </c>
      <c r="BC128" s="1587">
        <v>1</v>
      </c>
      <c r="BD128" s="1572" t="s">
        <v>38</v>
      </c>
      <c r="BE128" s="1585" t="s">
        <v>1610</v>
      </c>
      <c r="BF128" s="1562">
        <v>42597</v>
      </c>
      <c r="BG128" s="1588">
        <v>42639</v>
      </c>
      <c r="BH128" s="1562">
        <v>42735</v>
      </c>
      <c r="BI128" s="1588">
        <v>42735</v>
      </c>
      <c r="BJ128"/>
    </row>
    <row r="129" spans="1:62" ht="42.75" customHeight="1">
      <c r="A129" s="3872"/>
      <c r="B129" s="3873"/>
      <c r="C129" s="3874"/>
      <c r="D129"/>
      <c r="E129"/>
      <c r="F129"/>
      <c r="G129"/>
      <c r="H129"/>
      <c r="I129"/>
      <c r="J129"/>
      <c r="K129"/>
      <c r="L129"/>
      <c r="M129" s="3960"/>
      <c r="N129"/>
      <c r="O129" s="3955"/>
      <c r="P129" s="3957"/>
      <c r="Q129"/>
      <c r="R129" s="3965"/>
      <c r="S129" s="3969"/>
      <c r="T129"/>
      <c r="U129"/>
      <c r="V129"/>
      <c r="W129" s="3904"/>
      <c r="X129" s="3923"/>
      <c r="Y129" s="3823"/>
      <c r="Z129" s="3957"/>
      <c r="AA129" s="3955"/>
      <c r="AB129"/>
      <c r="AC129"/>
      <c r="AD129"/>
      <c r="AE129"/>
      <c r="AF129"/>
      <c r="AG129"/>
      <c r="AH129"/>
      <c r="AI129"/>
      <c r="AJ129"/>
      <c r="AK129"/>
      <c r="AL129"/>
      <c r="AM129"/>
      <c r="AN129" s="3800"/>
      <c r="AO129"/>
      <c r="AP129" s="3800"/>
      <c r="AQ129"/>
      <c r="AR129"/>
      <c r="AS129"/>
      <c r="AT129"/>
      <c r="AU129"/>
      <c r="AV129" s="3800"/>
      <c r="AW129"/>
      <c r="AX129" s="3800"/>
      <c r="AY129"/>
      <c r="AZ129" s="1589" t="s">
        <v>1632</v>
      </c>
      <c r="BA129" s="1574">
        <v>3140000</v>
      </c>
      <c r="BB129" s="1574">
        <v>3140000</v>
      </c>
      <c r="BC129" s="1590">
        <v>1</v>
      </c>
      <c r="BD129" s="1572" t="s">
        <v>38</v>
      </c>
      <c r="BE129" s="1589" t="s">
        <v>1633</v>
      </c>
      <c r="BF129" s="1591">
        <v>42684</v>
      </c>
      <c r="BG129" s="1592">
        <v>42684</v>
      </c>
      <c r="BH129" s="1591">
        <v>42733</v>
      </c>
      <c r="BI129" s="1592">
        <v>42733</v>
      </c>
      <c r="BJ129"/>
    </row>
    <row r="130" spans="1:62" ht="42.75" customHeight="1">
      <c r="A130" s="3872"/>
      <c r="B130" s="3873"/>
      <c r="C130" s="3874"/>
      <c r="D130"/>
      <c r="E130"/>
      <c r="F130"/>
      <c r="G130"/>
      <c r="H130"/>
      <c r="I130"/>
      <c r="J130"/>
      <c r="K130"/>
      <c r="L130"/>
      <c r="M130" s="3961"/>
      <c r="N130"/>
      <c r="O130" s="3955"/>
      <c r="P130" s="3957"/>
      <c r="Q130"/>
      <c r="R130" s="3965"/>
      <c r="S130" s="3969"/>
      <c r="T130"/>
      <c r="U130"/>
      <c r="V130"/>
      <c r="W130" s="3904"/>
      <c r="X130" s="3923"/>
      <c r="Y130" s="3823"/>
      <c r="Z130" s="3957"/>
      <c r="AA130" s="3955"/>
      <c r="AB130"/>
      <c r="AC130"/>
      <c r="AD130"/>
      <c r="AE130"/>
      <c r="AF130"/>
      <c r="AG130"/>
      <c r="AH130"/>
      <c r="AI130"/>
      <c r="AJ130"/>
      <c r="AK130"/>
      <c r="AL130"/>
      <c r="AM130"/>
      <c r="AN130" s="3800"/>
      <c r="AO130"/>
      <c r="AP130" s="3800"/>
      <c r="AQ130"/>
      <c r="AR130"/>
      <c r="AS130"/>
      <c r="AT130"/>
      <c r="AU130"/>
      <c r="AV130" s="3800"/>
      <c r="AW130"/>
      <c r="AX130" s="3800"/>
      <c r="AY130"/>
      <c r="AZ130" s="1589" t="s">
        <v>1634</v>
      </c>
      <c r="BA130" s="1574">
        <v>146180000</v>
      </c>
      <c r="BB130" s="1574">
        <v>146180000</v>
      </c>
      <c r="BC130" s="1590">
        <v>1</v>
      </c>
      <c r="BD130" s="1572" t="s">
        <v>38</v>
      </c>
      <c r="BE130" s="1593" t="s">
        <v>1610</v>
      </c>
      <c r="BF130" s="1591">
        <v>42713</v>
      </c>
      <c r="BG130" s="1592">
        <v>42713</v>
      </c>
      <c r="BH130" s="1591">
        <v>42735</v>
      </c>
      <c r="BI130" s="1592">
        <v>42735</v>
      </c>
      <c r="BJ130"/>
    </row>
    <row r="131" spans="1:62" ht="38.25" customHeight="1">
      <c r="A131" s="3872"/>
      <c r="B131" s="3873"/>
      <c r="C131" s="3874"/>
      <c r="D131"/>
      <c r="E131"/>
      <c r="F131"/>
      <c r="G131"/>
      <c r="H131"/>
      <c r="I131"/>
      <c r="J131"/>
      <c r="K131"/>
      <c r="L131"/>
      <c r="M131" s="3961"/>
      <c r="N131"/>
      <c r="O131" s="3955"/>
      <c r="P131" s="3957"/>
      <c r="Q131"/>
      <c r="R131" s="3965"/>
      <c r="S131" s="3969"/>
      <c r="T131"/>
      <c r="U131"/>
      <c r="V131"/>
      <c r="W131" s="3904"/>
      <c r="X131" s="3924"/>
      <c r="Y131" s="3823"/>
      <c r="Z131" s="3957"/>
      <c r="AA131" s="3955"/>
      <c r="AB131"/>
      <c r="AC131"/>
      <c r="AD131"/>
      <c r="AE131"/>
      <c r="AF131"/>
      <c r="AG131"/>
      <c r="AH131"/>
      <c r="AI131"/>
      <c r="AJ131"/>
      <c r="AK131"/>
      <c r="AL131"/>
      <c r="AM131"/>
      <c r="AN131" s="3800"/>
      <c r="AO131"/>
      <c r="AP131" s="3800"/>
      <c r="AQ131"/>
      <c r="AR131"/>
      <c r="AS131"/>
      <c r="AT131"/>
      <c r="AU131"/>
      <c r="AV131" s="3800"/>
      <c r="AW131"/>
      <c r="AX131" s="3800"/>
      <c r="AY131"/>
      <c r="AZ131" s="1594" t="s">
        <v>1635</v>
      </c>
      <c r="BA131" s="1595">
        <v>4170000</v>
      </c>
      <c r="BB131" s="1595">
        <v>4170000</v>
      </c>
      <c r="BC131" s="1587">
        <v>1</v>
      </c>
      <c r="BD131" s="1572" t="s">
        <v>38</v>
      </c>
      <c r="BE131" s="1593" t="s">
        <v>1610</v>
      </c>
      <c r="BF131" s="1596">
        <v>42678</v>
      </c>
      <c r="BG131" s="1597">
        <v>42678</v>
      </c>
      <c r="BH131" s="1596">
        <v>42723</v>
      </c>
      <c r="BI131" s="1597">
        <v>42723</v>
      </c>
      <c r="BJ131"/>
    </row>
    <row r="132" spans="1:256" s="1479" customFormat="1" ht="108" customHeight="1">
      <c r="A132" s="3872"/>
      <c r="B132" s="3873"/>
      <c r="C132" s="3874"/>
      <c r="D132"/>
      <c r="E132"/>
      <c r="F132"/>
      <c r="G132"/>
      <c r="H132"/>
      <c r="I132"/>
      <c r="J132" s="3885">
        <v>53</v>
      </c>
      <c r="K132" s="3888" t="s">
        <v>1614</v>
      </c>
      <c r="L132" t="s">
        <v>37</v>
      </c>
      <c r="M132">
        <v>1</v>
      </c>
      <c r="N132">
        <v>1</v>
      </c>
      <c r="O132" t="s">
        <v>1636</v>
      </c>
      <c r="P132" s="3925">
        <v>63</v>
      </c>
      <c r="Q132" t="s">
        <v>1637</v>
      </c>
      <c r="R132">
        <v>1</v>
      </c>
      <c r="S132" s="3903">
        <v>83000000</v>
      </c>
      <c r="T132" t="s">
        <v>1638</v>
      </c>
      <c r="U132" s="1473" t="s">
        <v>1639</v>
      </c>
      <c r="V132" s="1598" t="s">
        <v>1640</v>
      </c>
      <c r="W132" s="3903">
        <v>83000000</v>
      </c>
      <c r="X132" s="3922">
        <v>80000000</v>
      </c>
      <c r="Y132" s="3922">
        <v>80000000</v>
      </c>
      <c r="Z132" s="3957"/>
      <c r="AA132" s="3955"/>
      <c r="AB132">
        <v>64149</v>
      </c>
      <c r="AC132" s="3803">
        <f>+AB132/$W$132*$Y$132</f>
        <v>61830.36144578313</v>
      </c>
      <c r="AD132" t="s">
        <v>1431</v>
      </c>
      <c r="AE132" s="3803">
        <f>+AD132/$W$132*$Y$132</f>
        <v>69613.4939759036</v>
      </c>
      <c r="AF132" t="s">
        <v>1432</v>
      </c>
      <c r="AG132" s="3803">
        <f>+AF132/$W$132*$Y$132</f>
        <v>26483.855421686745</v>
      </c>
      <c r="AH132" t="s">
        <v>1433</v>
      </c>
      <c r="AI132" s="3803">
        <f>+AH132/$W$132*$Y$132</f>
        <v>83704.09638554217</v>
      </c>
      <c r="AJ132" t="s">
        <v>1434</v>
      </c>
      <c r="AK132" s="3803">
        <f>+AJ132/$W$132*$Y$132</f>
        <v>227883.3734939759</v>
      </c>
      <c r="AL132" t="s">
        <v>1435</v>
      </c>
      <c r="AM132" s="3803">
        <f>+AL132/$W$132*$Y$132</f>
        <v>78442.4096385542</v>
      </c>
      <c r="AN132">
        <v>13208</v>
      </c>
      <c r="AO132" s="3803">
        <f>+AN132/$W$132*$Y$132</f>
        <v>12730.602409638554</v>
      </c>
      <c r="AP132">
        <v>1827</v>
      </c>
      <c r="AQ132" s="3803">
        <f>+AP132/$W$132*$Y$132</f>
        <v>1760.9638554216867</v>
      </c>
      <c r="AR132"/>
      <c r="AS132" s="3803"/>
      <c r="AT132"/>
      <c r="AU132" s="3803"/>
      <c r="AV132">
        <v>16897</v>
      </c>
      <c r="AW132" s="3803">
        <f>+AV132/$W$132*$Y$132</f>
        <v>16286.265060240963</v>
      </c>
      <c r="AX132">
        <v>81384</v>
      </c>
      <c r="AY132" s="3803">
        <f>+AX132/$W$132*$Y$132</f>
        <v>78442.4096385542</v>
      </c>
      <c r="AZ132" s="1599" t="s">
        <v>1641</v>
      </c>
      <c r="BA132" s="1540">
        <v>70000000</v>
      </c>
      <c r="BB132" s="1540">
        <v>70000000</v>
      </c>
      <c r="BC132" s="1600">
        <v>1</v>
      </c>
      <c r="BD132" s="1572" t="s">
        <v>38</v>
      </c>
      <c r="BE132" s="1540" t="s">
        <v>1633</v>
      </c>
      <c r="BF132" s="1562">
        <v>42418</v>
      </c>
      <c r="BG132" s="1588">
        <v>42418</v>
      </c>
      <c r="BH132" s="1562">
        <v>42447</v>
      </c>
      <c r="BI132" s="1588">
        <v>42447</v>
      </c>
      <c r="BJ132"/>
      <c r="BK132" s="1478"/>
      <c r="BL132" s="1478"/>
      <c r="BM132" s="1478"/>
      <c r="BN132" s="1478"/>
      <c r="BO132" s="1478"/>
      <c r="BP132" s="1478"/>
      <c r="BQ132" s="1478"/>
      <c r="BR132" s="1478"/>
      <c r="BS132" s="1478"/>
      <c r="BT132" s="1478"/>
      <c r="BU132" s="1478"/>
      <c r="BV132" s="1478"/>
      <c r="BW132" s="1478"/>
      <c r="BX132" s="1478"/>
      <c r="BY132" s="1478"/>
      <c r="BZ132" s="1478"/>
      <c r="CA132" s="1478"/>
      <c r="CB132" s="1478"/>
      <c r="CC132" s="1478"/>
      <c r="CD132" s="1478"/>
      <c r="CE132" s="1478"/>
      <c r="CF132" s="1478"/>
      <c r="CG132" s="1478"/>
      <c r="CH132" s="1478"/>
      <c r="CI132" s="1478"/>
      <c r="CJ132" s="1478"/>
      <c r="CK132" s="1478"/>
      <c r="CL132" s="1478"/>
      <c r="CM132" s="1478"/>
      <c r="CN132" s="1478"/>
      <c r="CO132" s="1478"/>
      <c r="CP132" s="1478"/>
      <c r="CQ132" s="1478"/>
      <c r="CR132" s="1478"/>
      <c r="CS132" s="1478"/>
      <c r="CT132" s="1478"/>
      <c r="CU132" s="1478"/>
      <c r="CV132" s="1478"/>
      <c r="CW132" s="1478"/>
      <c r="CX132" s="1478"/>
      <c r="CY132" s="1478"/>
      <c r="CZ132" s="1478"/>
      <c r="DA132" s="1478"/>
      <c r="DB132" s="1478"/>
      <c r="DC132" s="1478"/>
      <c r="DD132" s="1478"/>
      <c r="DE132" s="1478"/>
      <c r="DF132" s="1478"/>
      <c r="DG132" s="1478"/>
      <c r="DH132" s="1478"/>
      <c r="DI132" s="1478"/>
      <c r="DJ132" s="1478"/>
      <c r="DK132" s="1478"/>
      <c r="DL132" s="1478"/>
      <c r="DM132" s="1478"/>
      <c r="DN132" s="1478"/>
      <c r="DO132" s="1478"/>
      <c r="DP132" s="1478"/>
      <c r="DQ132" s="1478"/>
      <c r="DR132" s="1478"/>
      <c r="DS132" s="1478"/>
      <c r="DT132" s="1478"/>
      <c r="DU132" s="1478"/>
      <c r="DV132" s="1478"/>
      <c r="DW132" s="1478"/>
      <c r="DX132" s="1478"/>
      <c r="DY132" s="1478"/>
      <c r="DZ132" s="1478"/>
      <c r="EA132" s="1478"/>
      <c r="EB132" s="1478"/>
      <c r="EC132" s="1478"/>
      <c r="ED132" s="1478"/>
      <c r="EE132" s="1478"/>
      <c r="EF132" s="1478"/>
      <c r="EG132" s="1478"/>
      <c r="EH132" s="1478"/>
      <c r="EI132" s="1478"/>
      <c r="EJ132" s="1478"/>
      <c r="EK132" s="1478"/>
      <c r="EL132" s="1478"/>
      <c r="EM132" s="1478"/>
      <c r="EN132" s="1478"/>
      <c r="EO132" s="1478"/>
      <c r="EP132" s="1478"/>
      <c r="EQ132" s="1478"/>
      <c r="ER132" s="1478"/>
      <c r="ES132" s="1478"/>
      <c r="ET132" s="1478"/>
      <c r="EU132" s="1478"/>
      <c r="EV132" s="1478"/>
      <c r="EW132" s="1478"/>
      <c r="EX132" s="1478"/>
      <c r="EY132" s="1478"/>
      <c r="EZ132" s="1478"/>
      <c r="FA132" s="1478"/>
      <c r="FB132" s="1478"/>
      <c r="FC132" s="1478"/>
      <c r="FD132" s="1478"/>
      <c r="FE132" s="1478"/>
      <c r="FF132" s="1478"/>
      <c r="FG132" s="1478"/>
      <c r="FH132" s="1478"/>
      <c r="FI132" s="1478"/>
      <c r="FJ132" s="1478"/>
      <c r="FK132" s="1478"/>
      <c r="FL132" s="1478"/>
      <c r="FM132" s="1478"/>
      <c r="FN132" s="1478"/>
      <c r="FO132" s="1478"/>
      <c r="FP132" s="1478"/>
      <c r="FQ132" s="1478"/>
      <c r="FR132" s="1478"/>
      <c r="FS132" s="1478"/>
      <c r="FT132" s="1478"/>
      <c r="FU132" s="1478"/>
      <c r="FV132" s="1478"/>
      <c r="FW132" s="1478"/>
      <c r="FX132" s="1478"/>
      <c r="FY132" s="1478"/>
      <c r="FZ132" s="1478"/>
      <c r="GA132" s="1478"/>
      <c r="GB132" s="1478"/>
      <c r="GC132" s="1478"/>
      <c r="GD132" s="1478"/>
      <c r="GE132" s="1478"/>
      <c r="GF132" s="1478"/>
      <c r="GG132" s="1478"/>
      <c r="GH132" s="1478"/>
      <c r="GI132" s="1478"/>
      <c r="GJ132" s="1478"/>
      <c r="GK132" s="1478"/>
      <c r="GL132" s="1478"/>
      <c r="GM132" s="1478"/>
      <c r="GN132" s="1478"/>
      <c r="GO132" s="1478"/>
      <c r="GP132" s="1478"/>
      <c r="GQ132" s="1478"/>
      <c r="GR132" s="1478"/>
      <c r="GS132" s="1478"/>
      <c r="GT132" s="1478"/>
      <c r="GU132" s="1478"/>
      <c r="GV132" s="1478"/>
      <c r="GW132" s="1478"/>
      <c r="GX132" s="1478"/>
      <c r="GY132" s="1478"/>
      <c r="GZ132" s="1478"/>
      <c r="HA132" s="1478"/>
      <c r="HB132" s="1478"/>
      <c r="HC132" s="1478"/>
      <c r="HD132" s="1478"/>
      <c r="HE132" s="1478"/>
      <c r="HF132" s="1478"/>
      <c r="HG132" s="1478"/>
      <c r="HH132" s="1478"/>
      <c r="HI132" s="1478"/>
      <c r="HJ132" s="1478"/>
      <c r="HK132" s="1478"/>
      <c r="HL132" s="1478"/>
      <c r="HM132" s="1478"/>
      <c r="HN132" s="1478"/>
      <c r="HO132" s="1478"/>
      <c r="HP132" s="1478"/>
      <c r="HQ132" s="1478"/>
      <c r="HR132" s="1478"/>
      <c r="HS132" s="1478"/>
      <c r="HT132" s="1478"/>
      <c r="HU132" s="1478"/>
      <c r="HV132" s="1478"/>
      <c r="HW132" s="1478"/>
      <c r="HX132" s="1478"/>
      <c r="HY132" s="1478"/>
      <c r="HZ132" s="1478"/>
      <c r="IA132" s="1478"/>
      <c r="IB132" s="1478"/>
      <c r="IC132" s="1478"/>
      <c r="ID132" s="1478"/>
      <c r="IE132" s="1478"/>
      <c r="IF132" s="1478"/>
      <c r="IG132" s="1478"/>
      <c r="IH132" s="1478"/>
      <c r="II132" s="1478"/>
      <c r="IJ132" s="1478"/>
      <c r="IK132" s="1478"/>
      <c r="IL132" s="1478"/>
      <c r="IM132" s="1478"/>
      <c r="IN132" s="1478"/>
      <c r="IO132" s="1478"/>
      <c r="IP132" s="1478"/>
      <c r="IQ132" s="1478"/>
      <c r="IR132" s="1478"/>
      <c r="IS132" s="1478"/>
      <c r="IT132" s="1478"/>
      <c r="IU132" s="1478"/>
      <c r="IV132" s="1478"/>
    </row>
    <row r="133" spans="1:62" s="1478" customFormat="1" ht="56.25" customHeight="1">
      <c r="A133" s="3872"/>
      <c r="B133" s="3873"/>
      <c r="C133" s="3874"/>
      <c r="D133"/>
      <c r="E133"/>
      <c r="F133"/>
      <c r="G133"/>
      <c r="H133"/>
      <c r="I133"/>
      <c r="J133" s="3886"/>
      <c r="K133" s="3889"/>
      <c r="L133"/>
      <c r="M133"/>
      <c r="N133"/>
      <c r="O133"/>
      <c r="P133" s="3926"/>
      <c r="Q133"/>
      <c r="R133"/>
      <c r="S133" s="3904"/>
      <c r="T133"/>
      <c r="U133" s="1473" t="s">
        <v>1642</v>
      </c>
      <c r="V133" s="1598" t="s">
        <v>1643</v>
      </c>
      <c r="W133" s="3904"/>
      <c r="X133" s="3923"/>
      <c r="Y133" s="3923"/>
      <c r="Z133" s="3957"/>
      <c r="AA133" s="3955"/>
      <c r="AB133"/>
      <c r="AC133" s="3804"/>
      <c r="AD133"/>
      <c r="AE133" s="3804"/>
      <c r="AF133"/>
      <c r="AG133" s="3804"/>
      <c r="AH133"/>
      <c r="AI133" s="3804"/>
      <c r="AJ133"/>
      <c r="AK133" s="3804"/>
      <c r="AL133"/>
      <c r="AM133" s="3804"/>
      <c r="AN133"/>
      <c r="AO133" s="3804"/>
      <c r="AP133"/>
      <c r="AQ133" s="3804"/>
      <c r="AR133"/>
      <c r="AS133" s="3804"/>
      <c r="AT133"/>
      <c r="AU133" s="3804"/>
      <c r="AV133"/>
      <c r="AW133" s="3804"/>
      <c r="AX133"/>
      <c r="AY133" s="3804"/>
      <c r="AZ133" s="1599" t="s">
        <v>1644</v>
      </c>
      <c r="BA133" s="1540">
        <v>10000000</v>
      </c>
      <c r="BB133" s="1540">
        <v>10000000</v>
      </c>
      <c r="BC133">
        <v>1</v>
      </c>
      <c r="BD133" s="1540" t="s">
        <v>1645</v>
      </c>
      <c r="BE133" s="1540" t="s">
        <v>1551</v>
      </c>
      <c r="BF133" s="1562">
        <v>42447</v>
      </c>
      <c r="BG133" s="1588">
        <v>42447</v>
      </c>
      <c r="BH133" s="1562">
        <v>42476</v>
      </c>
      <c r="BI133" s="1588">
        <v>42476</v>
      </c>
      <c r="BJ133"/>
    </row>
    <row r="134" spans="1:62" s="1478" customFormat="1" ht="60" customHeight="1" thickBot="1">
      <c r="A134" s="3875"/>
      <c r="B134" s="3876"/>
      <c r="C134" s="3877"/>
      <c r="D134"/>
      <c r="E134"/>
      <c r="F134"/>
      <c r="G134"/>
      <c r="H134"/>
      <c r="I134"/>
      <c r="J134" s="3887"/>
      <c r="K134" s="3890"/>
      <c r="L134"/>
      <c r="M134"/>
      <c r="N134"/>
      <c r="O134"/>
      <c r="P134"/>
      <c r="Q134"/>
      <c r="R134"/>
      <c r="S134"/>
      <c r="T134"/>
      <c r="U134" s="1601" t="s">
        <v>1646</v>
      </c>
      <c r="V134" s="1602" t="s">
        <v>1647</v>
      </c>
      <c r="W134"/>
      <c r="X134"/>
      <c r="Y134"/>
      <c r="Z134"/>
      <c r="AA134"/>
      <c r="AB134"/>
      <c r="AC134"/>
      <c r="AD134"/>
      <c r="AE134"/>
      <c r="AF134"/>
      <c r="AG134"/>
      <c r="AH134"/>
      <c r="AI134"/>
      <c r="AJ134"/>
      <c r="AK134"/>
      <c r="AL134"/>
      <c r="AM134"/>
      <c r="AN134"/>
      <c r="AO134"/>
      <c r="AP134"/>
      <c r="AQ134"/>
      <c r="AR134"/>
      <c r="AS134"/>
      <c r="AT134"/>
      <c r="AU134"/>
      <c r="AV134"/>
      <c r="AW134"/>
      <c r="AX134"/>
      <c r="AY134"/>
      <c r="AZ134" s="1603" t="s">
        <v>1648</v>
      </c>
      <c r="BA134" s="1604"/>
      <c r="BB134" s="1604"/>
      <c r="BC134"/>
      <c r="BD134" s="1604" t="s">
        <v>1645</v>
      </c>
      <c r="BE134" s="1605" t="s">
        <v>1610</v>
      </c>
      <c r="BF134" s="1606">
        <v>42516</v>
      </c>
      <c r="BG134" s="1607">
        <v>42516</v>
      </c>
      <c r="BH134" s="1606">
        <v>42523</v>
      </c>
      <c r="BI134" s="1607">
        <v>42523</v>
      </c>
      <c r="BJ134"/>
    </row>
    <row r="135" spans="1:63" s="1385" customFormat="1" ht="31.5" customHeight="1" thickBot="1">
      <c r="A135" t="s">
        <v>96</v>
      </c>
      <c r="B135"/>
      <c r="C135"/>
      <c r="D135"/>
      <c r="E135"/>
      <c r="F135"/>
      <c r="G135"/>
      <c r="H135"/>
      <c r="I135"/>
      <c r="J135"/>
      <c r="K135"/>
      <c r="L135"/>
      <c r="M135"/>
      <c r="N135"/>
      <c r="O135"/>
      <c r="P135"/>
      <c r="Q135"/>
      <c r="R135"/>
      <c r="S135" s="1608">
        <f>SUM(S10:S132)</f>
        <v>1142906237</v>
      </c>
      <c r="T135" s="1609"/>
      <c r="U135" s="1610"/>
      <c r="V135" s="1611"/>
      <c r="W135" s="1608">
        <f>SUM(W10:W132)</f>
        <v>1142906237</v>
      </c>
      <c r="X135" s="1612">
        <f>SUM(X14:X134)</f>
        <v>1011490155</v>
      </c>
      <c r="Y135" s="1612">
        <f>SUM(Y14:Y134)</f>
        <v>1003990155</v>
      </c>
      <c r="Z135" s="1613"/>
      <c r="AA135" s="1614"/>
      <c r="AB135" s="1614"/>
      <c r="AC135" s="1615"/>
      <c r="AD135" s="1614"/>
      <c r="AE135" s="1615"/>
      <c r="AF135" s="1614"/>
      <c r="AG135" s="1615"/>
      <c r="AH135" s="1614"/>
      <c r="AI135" s="1615"/>
      <c r="AJ135" s="1614"/>
      <c r="AK135" s="1615"/>
      <c r="AL135" s="1614"/>
      <c r="AM135" s="1615"/>
      <c r="AN135" s="1614"/>
      <c r="AO135" s="1615"/>
      <c r="AP135" s="1614"/>
      <c r="AQ135" s="1615"/>
      <c r="AR135" s="1614"/>
      <c r="AS135" s="1615"/>
      <c r="AT135" s="1614"/>
      <c r="AU135" s="1615"/>
      <c r="AV135" s="1614"/>
      <c r="AW135" s="1615"/>
      <c r="AX135" s="1616"/>
      <c r="AY135" s="1617"/>
      <c r="AZ135" s="1616"/>
      <c r="BA135" s="1618">
        <f>SUM(BA14:BA134)</f>
        <v>1011490155</v>
      </c>
      <c r="BB135" s="1618">
        <f>SUM(BB14:BB134)</f>
        <v>1003990155</v>
      </c>
      <c r="BC135" s="1616"/>
      <c r="BD135" s="1619"/>
      <c r="BE135" s="1619"/>
      <c r="BF135" s="1620"/>
      <c r="BG135" s="1621"/>
      <c r="BH135" s="1622"/>
      <c r="BI135" s="1623"/>
      <c r="BJ135" s="1624"/>
      <c r="BK135" s="1384"/>
    </row>
    <row r="136" spans="19:20" ht="14.25">
      <c r="S136" s="2683"/>
      <c r="T136" s="1625"/>
    </row>
    <row r="137" ht="14.25">
      <c r="S137" s="2683"/>
    </row>
    <row r="138" spans="19:54" ht="14.25">
      <c r="S138" s="2683"/>
      <c r="W138" s="2692"/>
      <c r="X138" s="2692"/>
      <c r="Y138" s="2692"/>
      <c r="BA138" s="2692"/>
      <c r="BB138" s="2692"/>
    </row>
    <row r="139" ht="14.25">
      <c r="S139" s="2683"/>
    </row>
    <row r="140" spans="5:19" ht="15">
      <c r="E140" s="2693" t="s">
        <v>1649</v>
      </c>
      <c r="F140" s="2693"/>
      <c r="G140" s="2693"/>
      <c r="H140" s="2693"/>
      <c r="I140" s="2693"/>
      <c r="S140" s="2683"/>
    </row>
    <row r="141" spans="5:19" ht="15">
      <c r="E141" s="2693" t="s">
        <v>1650</v>
      </c>
      <c r="F141" s="2693"/>
      <c r="G141" s="2693"/>
      <c r="H141" s="2693"/>
      <c r="I141" s="2693"/>
      <c r="S141" s="2683"/>
    </row>
    <row r="142" ht="14.25">
      <c r="S142" s="2683"/>
    </row>
  </sheetData>
  <sheetProtection/>
  <mergeCells count="876">
    <mergeCell ref="A5:M6"/>
    <mergeCell ref="Q5:BJ5"/>
    <mergeCell ref="Q6:AA6"/>
    <mergeCell ref="AB6:AY6"/>
    <mergeCell ref="BF6:BJ6"/>
    <mergeCell ref="BC133:BC134"/>
    <mergeCell ref="A135:R135"/>
    <mergeCell ref="AT132:AT134"/>
    <mergeCell ref="AU132:AU134"/>
    <mergeCell ref="AV132:AV134"/>
    <mergeCell ref="AW132:AW134"/>
    <mergeCell ref="AX132:AX134"/>
    <mergeCell ref="AY132:AY134"/>
    <mergeCell ref="AN132:AN134"/>
    <mergeCell ref="AO132:AO134"/>
    <mergeCell ref="AP132:AP134"/>
    <mergeCell ref="AQ132:AQ134"/>
    <mergeCell ref="AR132:AR134"/>
    <mergeCell ref="AS132:AS134"/>
    <mergeCell ref="AH132:AH134"/>
    <mergeCell ref="AI132:AI134"/>
    <mergeCell ref="AJ132:AJ134"/>
    <mergeCell ref="AK132:AK134"/>
    <mergeCell ref="AL132:AL134"/>
    <mergeCell ref="AM132:AM134"/>
    <mergeCell ref="AB132:AB134"/>
    <mergeCell ref="AC132:AC134"/>
    <mergeCell ref="AD132:AD134"/>
    <mergeCell ref="AE132:AE134"/>
    <mergeCell ref="AF132:AF134"/>
    <mergeCell ref="AG132:AG134"/>
    <mergeCell ref="R132:R134"/>
    <mergeCell ref="S132:S134"/>
    <mergeCell ref="T132:T134"/>
    <mergeCell ref="W132:W134"/>
    <mergeCell ref="X132:X134"/>
    <mergeCell ref="Y132:Y134"/>
    <mergeCell ref="Z120:Z134"/>
    <mergeCell ref="AA120:AA134"/>
    <mergeCell ref="V125:V127"/>
    <mergeCell ref="W125:W127"/>
    <mergeCell ref="X125:X127"/>
    <mergeCell ref="Y125:Y127"/>
    <mergeCell ref="AB120:AB131"/>
    <mergeCell ref="AC120:AC131"/>
    <mergeCell ref="AD120:AD131"/>
    <mergeCell ref="AE120:AE131"/>
    <mergeCell ref="L132:L134"/>
    <mergeCell ref="M132:M134"/>
    <mergeCell ref="N132:N134"/>
    <mergeCell ref="O132:O134"/>
    <mergeCell ref="P132:P134"/>
    <mergeCell ref="Q132:Q134"/>
    <mergeCell ref="BI126:BI127"/>
    <mergeCell ref="U128:U131"/>
    <mergeCell ref="V128:V131"/>
    <mergeCell ref="W128:W131"/>
    <mergeCell ref="X128:X131"/>
    <mergeCell ref="Y128:Y131"/>
    <mergeCell ref="BC126:BC127"/>
    <mergeCell ref="BD126:BD127"/>
    <mergeCell ref="BE126:BE127"/>
    <mergeCell ref="BF126:BF127"/>
    <mergeCell ref="BG126:BG127"/>
    <mergeCell ref="BH126:BH127"/>
    <mergeCell ref="AF120:AF131"/>
    <mergeCell ref="AG120:AG131"/>
    <mergeCell ref="V120:V121"/>
    <mergeCell ref="W120:W121"/>
    <mergeCell ref="X120:X121"/>
    <mergeCell ref="Y120:Y121"/>
    <mergeCell ref="AZ126:AZ127"/>
    <mergeCell ref="BA126:BA127"/>
    <mergeCell ref="BB126:BB127"/>
    <mergeCell ref="AP120:AP131"/>
    <mergeCell ref="AQ120:AQ131"/>
    <mergeCell ref="AR120:AR131"/>
    <mergeCell ref="AS120:AS131"/>
    <mergeCell ref="AH120:AH131"/>
    <mergeCell ref="AI120:AI131"/>
    <mergeCell ref="AJ120:AJ131"/>
    <mergeCell ref="AK120:AK131"/>
    <mergeCell ref="AL120:AL131"/>
    <mergeCell ref="AM120:AM131"/>
    <mergeCell ref="BG122:BG123"/>
    <mergeCell ref="BH122:BH123"/>
    <mergeCell ref="BI122:BI123"/>
    <mergeCell ref="AZ124:AZ125"/>
    <mergeCell ref="BA124:BA125"/>
    <mergeCell ref="BB124:BB125"/>
    <mergeCell ref="BC124:BC125"/>
    <mergeCell ref="BD124:BD125"/>
    <mergeCell ref="BE124:BE125"/>
    <mergeCell ref="BF124:BF125"/>
    <mergeCell ref="BA122:BA123"/>
    <mergeCell ref="BB122:BB123"/>
    <mergeCell ref="BC122:BC123"/>
    <mergeCell ref="BD122:BD123"/>
    <mergeCell ref="BE122:BE123"/>
    <mergeCell ref="BF122:BF123"/>
    <mergeCell ref="BG124:BG125"/>
    <mergeCell ref="BH124:BH125"/>
    <mergeCell ref="BI124:BI125"/>
    <mergeCell ref="BF120:BF121"/>
    <mergeCell ref="BG120:BG121"/>
    <mergeCell ref="BH120:BH121"/>
    <mergeCell ref="BI120:BI121"/>
    <mergeCell ref="BJ120:BJ134"/>
    <mergeCell ref="V122:V124"/>
    <mergeCell ref="W122:W124"/>
    <mergeCell ref="X122:X124"/>
    <mergeCell ref="Y122:Y124"/>
    <mergeCell ref="AZ122:AZ123"/>
    <mergeCell ref="AZ120:AZ121"/>
    <mergeCell ref="BA120:BA121"/>
    <mergeCell ref="BB120:BB121"/>
    <mergeCell ref="BC120:BC121"/>
    <mergeCell ref="BD120:BD121"/>
    <mergeCell ref="BE120:BE121"/>
    <mergeCell ref="AT120:AT131"/>
    <mergeCell ref="AU120:AU131"/>
    <mergeCell ref="AV120:AV131"/>
    <mergeCell ref="AW120:AW131"/>
    <mergeCell ref="AX120:AX131"/>
    <mergeCell ref="AY120:AY131"/>
    <mergeCell ref="AN120:AN131"/>
    <mergeCell ref="AO120:AO131"/>
    <mergeCell ref="P120:P131"/>
    <mergeCell ref="Q120:Q131"/>
    <mergeCell ref="R120:R131"/>
    <mergeCell ref="S120:S131"/>
    <mergeCell ref="T120:T131"/>
    <mergeCell ref="U120:U127"/>
    <mergeCell ref="BH116:BH117"/>
    <mergeCell ref="BI116:BI117"/>
    <mergeCell ref="G118:G119"/>
    <mergeCell ref="G120:I134"/>
    <mergeCell ref="J120:J131"/>
    <mergeCell ref="K120:K131"/>
    <mergeCell ref="L120:L131"/>
    <mergeCell ref="M120:M131"/>
    <mergeCell ref="N120:N131"/>
    <mergeCell ref="O120:O131"/>
    <mergeCell ref="BB116:BB117"/>
    <mergeCell ref="BC116:BC117"/>
    <mergeCell ref="BD116:BD117"/>
    <mergeCell ref="BE116:BE117"/>
    <mergeCell ref="BF116:BF117"/>
    <mergeCell ref="BG116:BG117"/>
    <mergeCell ref="AV116:AV117"/>
    <mergeCell ref="AW116:AW117"/>
    <mergeCell ref="AX116:AX117"/>
    <mergeCell ref="AY116:AY117"/>
    <mergeCell ref="AZ116:AZ117"/>
    <mergeCell ref="BA116:BA117"/>
    <mergeCell ref="AP116:AP117"/>
    <mergeCell ref="AQ116:AQ117"/>
    <mergeCell ref="AR116:AR117"/>
    <mergeCell ref="AS116:AS117"/>
    <mergeCell ref="AT116:AT117"/>
    <mergeCell ref="AU116:AU117"/>
    <mergeCell ref="AM116:AM117"/>
    <mergeCell ref="AN116:AN117"/>
    <mergeCell ref="AO116:AO117"/>
    <mergeCell ref="AD116:AD117"/>
    <mergeCell ref="AE116:AE117"/>
    <mergeCell ref="AF116:AF117"/>
    <mergeCell ref="AG116:AG117"/>
    <mergeCell ref="AH116:AH117"/>
    <mergeCell ref="AI116:AI117"/>
    <mergeCell ref="J116:J117"/>
    <mergeCell ref="K116:K117"/>
    <mergeCell ref="L116:L117"/>
    <mergeCell ref="M116:M117"/>
    <mergeCell ref="N116:N117"/>
    <mergeCell ref="O116:O117"/>
    <mergeCell ref="Y113:Y115"/>
    <mergeCell ref="AZ113:AZ115"/>
    <mergeCell ref="BA113:BA115"/>
    <mergeCell ref="X116:X117"/>
    <mergeCell ref="Y116:Y117"/>
    <mergeCell ref="Z116:Z117"/>
    <mergeCell ref="AA116:AA117"/>
    <mergeCell ref="AB116:AB117"/>
    <mergeCell ref="AC116:AC117"/>
    <mergeCell ref="P116:P117"/>
    <mergeCell ref="Q116:Q117"/>
    <mergeCell ref="R116:R117"/>
    <mergeCell ref="S116:S117"/>
    <mergeCell ref="T116:T117"/>
    <mergeCell ref="W116:W117"/>
    <mergeCell ref="AJ116:AJ117"/>
    <mergeCell ref="AK116:AK117"/>
    <mergeCell ref="AL116:AL117"/>
    <mergeCell ref="BF108:BF109"/>
    <mergeCell ref="BG108:BG109"/>
    <mergeCell ref="BF113:BF115"/>
    <mergeCell ref="BG113:BG115"/>
    <mergeCell ref="BH113:BH115"/>
    <mergeCell ref="BI113:BI115"/>
    <mergeCell ref="BB113:BB115"/>
    <mergeCell ref="BC113:BC115"/>
    <mergeCell ref="BD113:BD115"/>
    <mergeCell ref="V102:V104"/>
    <mergeCell ref="W102:W104"/>
    <mergeCell ref="X102:X104"/>
    <mergeCell ref="Y102:Y104"/>
    <mergeCell ref="BH108:BH109"/>
    <mergeCell ref="BI108:BI109"/>
    <mergeCell ref="O109:O115"/>
    <mergeCell ref="V109:V112"/>
    <mergeCell ref="W109:W112"/>
    <mergeCell ref="X109:X112"/>
    <mergeCell ref="Y109:Y112"/>
    <mergeCell ref="V113:V115"/>
    <mergeCell ref="W113:W115"/>
    <mergeCell ref="X113:X115"/>
    <mergeCell ref="BA108:BA109"/>
    <mergeCell ref="P102:P115"/>
    <mergeCell ref="Q102:Q115"/>
    <mergeCell ref="R102:R115"/>
    <mergeCell ref="S102:S115"/>
    <mergeCell ref="T102:T115"/>
    <mergeCell ref="U102:U115"/>
    <mergeCell ref="BB108:BB109"/>
    <mergeCell ref="BC108:BC109"/>
    <mergeCell ref="BD108:BD109"/>
    <mergeCell ref="Y107:Y108"/>
    <mergeCell ref="AA108:AA115"/>
    <mergeCell ref="AJ102:AJ115"/>
    <mergeCell ref="AK102:AK115"/>
    <mergeCell ref="AL102:AL115"/>
    <mergeCell ref="AM102:AM115"/>
    <mergeCell ref="AB102:AB115"/>
    <mergeCell ref="AC102:AC115"/>
    <mergeCell ref="AD102:AD115"/>
    <mergeCell ref="AE102:AE115"/>
    <mergeCell ref="AF102:AF115"/>
    <mergeCell ref="AG102:AG115"/>
    <mergeCell ref="Z102:Z115"/>
    <mergeCell ref="V105:V106"/>
    <mergeCell ref="W105:W106"/>
    <mergeCell ref="X105:X106"/>
    <mergeCell ref="Y105:Y106"/>
    <mergeCell ref="AZ106:AZ107"/>
    <mergeCell ref="BA106:BA107"/>
    <mergeCell ref="AT102:AT115"/>
    <mergeCell ref="AU102:AU115"/>
    <mergeCell ref="AV102:AV115"/>
    <mergeCell ref="AW102:AW115"/>
    <mergeCell ref="AX102:AX115"/>
    <mergeCell ref="AY102:AY115"/>
    <mergeCell ref="AN102:AN115"/>
    <mergeCell ref="AO102:AO115"/>
    <mergeCell ref="AP102:AP115"/>
    <mergeCell ref="AQ102:AQ115"/>
    <mergeCell ref="AR102:AR115"/>
    <mergeCell ref="AS102:AS115"/>
    <mergeCell ref="AH102:AH115"/>
    <mergeCell ref="AI102:AI115"/>
    <mergeCell ref="AA102:AA107"/>
    <mergeCell ref="V107:V108"/>
    <mergeCell ref="W107:W108"/>
    <mergeCell ref="X107:X108"/>
    <mergeCell ref="BJ102:BJ117"/>
    <mergeCell ref="AZ104:AZ105"/>
    <mergeCell ref="BA104:BA105"/>
    <mergeCell ref="BB104:BB105"/>
    <mergeCell ref="BC104:BC105"/>
    <mergeCell ref="BD104:BD105"/>
    <mergeCell ref="AZ102:AZ103"/>
    <mergeCell ref="BA102:BA103"/>
    <mergeCell ref="BB102:BB103"/>
    <mergeCell ref="BC102:BC103"/>
    <mergeCell ref="BD102:BD103"/>
    <mergeCell ref="BE102:BE115"/>
    <mergeCell ref="BB106:BB107"/>
    <mergeCell ref="BC106:BC107"/>
    <mergeCell ref="BD106:BD107"/>
    <mergeCell ref="AZ108:AZ109"/>
    <mergeCell ref="BF104:BF105"/>
    <mergeCell ref="BG104:BG105"/>
    <mergeCell ref="BH104:BH105"/>
    <mergeCell ref="BI104:BI105"/>
    <mergeCell ref="BF106:BF107"/>
    <mergeCell ref="BG106:BG107"/>
    <mergeCell ref="BH106:BH107"/>
    <mergeCell ref="BI106:BI107"/>
    <mergeCell ref="AK93:AK99"/>
    <mergeCell ref="AL93:AL99"/>
    <mergeCell ref="AM93:AM99"/>
    <mergeCell ref="AN93:AN99"/>
    <mergeCell ref="AC93:AC99"/>
    <mergeCell ref="BG93:BG94"/>
    <mergeCell ref="BG102:BG103"/>
    <mergeCell ref="BH102:BH103"/>
    <mergeCell ref="BI102:BI103"/>
    <mergeCell ref="AD93:AD99"/>
    <mergeCell ref="AE93:AE99"/>
    <mergeCell ref="AF93:AF99"/>
    <mergeCell ref="AG93:AG99"/>
    <mergeCell ref="AH93:AH99"/>
    <mergeCell ref="BF102:BF103"/>
    <mergeCell ref="BH95:BH96"/>
    <mergeCell ref="BI95:BI96"/>
    <mergeCell ref="BH93:BH94"/>
    <mergeCell ref="BI93:BI94"/>
    <mergeCell ref="BA95:BA96"/>
    <mergeCell ref="BA93:BA94"/>
    <mergeCell ref="BB93:BB94"/>
    <mergeCell ref="BC93:BC94"/>
    <mergeCell ref="BD93:BD94"/>
    <mergeCell ref="X93:X94"/>
    <mergeCell ref="Y93:Y94"/>
    <mergeCell ref="Z93:Z94"/>
    <mergeCell ref="AA93:AA94"/>
    <mergeCell ref="AB93:AB99"/>
    <mergeCell ref="Q93:Q99"/>
    <mergeCell ref="R93:R99"/>
    <mergeCell ref="S93:S99"/>
    <mergeCell ref="T93:T99"/>
    <mergeCell ref="G100:G101"/>
    <mergeCell ref="J102:J115"/>
    <mergeCell ref="K102:K115"/>
    <mergeCell ref="L102:L115"/>
    <mergeCell ref="M102:M115"/>
    <mergeCell ref="N102:N115"/>
    <mergeCell ref="O102:O107"/>
    <mergeCell ref="AY93:AY99"/>
    <mergeCell ref="AZ93:AZ94"/>
    <mergeCell ref="AO93:AO99"/>
    <mergeCell ref="AP93:AP99"/>
    <mergeCell ref="AQ93:AQ99"/>
    <mergeCell ref="AR93:AR99"/>
    <mergeCell ref="AS93:AS99"/>
    <mergeCell ref="AT93:AT99"/>
    <mergeCell ref="AI93:AI99"/>
    <mergeCell ref="AJ93:AJ99"/>
    <mergeCell ref="W95:W99"/>
    <mergeCell ref="X95:X99"/>
    <mergeCell ref="Y95:Y99"/>
    <mergeCell ref="Z95:Z99"/>
    <mergeCell ref="AA95:AA99"/>
    <mergeCell ref="AZ95:AZ96"/>
    <mergeCell ref="W93:W94"/>
    <mergeCell ref="BE93:BE99"/>
    <mergeCell ref="BF93:BF94"/>
    <mergeCell ref="BB95:BB96"/>
    <mergeCell ref="BC95:BC96"/>
    <mergeCell ref="BD95:BD96"/>
    <mergeCell ref="BF95:BF96"/>
    <mergeCell ref="AU93:AU99"/>
    <mergeCell ref="AV93:AV99"/>
    <mergeCell ref="AW93:AW99"/>
    <mergeCell ref="AX93:AX99"/>
    <mergeCell ref="BG95:BG96"/>
    <mergeCell ref="U93:U99"/>
    <mergeCell ref="V93:V99"/>
    <mergeCell ref="BG91:BG92"/>
    <mergeCell ref="BH91:BH92"/>
    <mergeCell ref="BI91:BI92"/>
    <mergeCell ref="J93:J99"/>
    <mergeCell ref="K93:K99"/>
    <mergeCell ref="L93:L99"/>
    <mergeCell ref="M93:M99"/>
    <mergeCell ref="N93:N99"/>
    <mergeCell ref="O93:O95"/>
    <mergeCell ref="P93:P99"/>
    <mergeCell ref="BA91:BA92"/>
    <mergeCell ref="BB91:BB92"/>
    <mergeCell ref="BC91:BC92"/>
    <mergeCell ref="BD91:BD92"/>
    <mergeCell ref="BE91:BE92"/>
    <mergeCell ref="BF91:BF92"/>
    <mergeCell ref="AU91:AU92"/>
    <mergeCell ref="AV91:AV92"/>
    <mergeCell ref="AW91:AW92"/>
    <mergeCell ref="AX91:AX92"/>
    <mergeCell ref="AY91:AY92"/>
    <mergeCell ref="AZ91:AZ92"/>
    <mergeCell ref="AQ91:AQ92"/>
    <mergeCell ref="AR91:AR92"/>
    <mergeCell ref="AS91:AS92"/>
    <mergeCell ref="AT91:AT92"/>
    <mergeCell ref="AI91:AI92"/>
    <mergeCell ref="AJ91:AJ92"/>
    <mergeCell ref="AK91:AK92"/>
    <mergeCell ref="AL91:AL92"/>
    <mergeCell ref="AM91:AM92"/>
    <mergeCell ref="AN91:AN92"/>
    <mergeCell ref="BJ87:BJ88"/>
    <mergeCell ref="D89:F134"/>
    <mergeCell ref="BJ90:BJ99"/>
    <mergeCell ref="J91:J92"/>
    <mergeCell ref="K91:K92"/>
    <mergeCell ref="L91:L92"/>
    <mergeCell ref="M91:M92"/>
    <mergeCell ref="N91:N92"/>
    <mergeCell ref="O91:O92"/>
    <mergeCell ref="P91:P92"/>
    <mergeCell ref="AC91:AC92"/>
    <mergeCell ref="AD91:AD92"/>
    <mergeCell ref="AE91:AE92"/>
    <mergeCell ref="AF91:AF92"/>
    <mergeCell ref="AG91:AG92"/>
    <mergeCell ref="AH91:AH92"/>
    <mergeCell ref="Q91:Q92"/>
    <mergeCell ref="S91:S92"/>
    <mergeCell ref="T91:T92"/>
    <mergeCell ref="Z91:Z92"/>
    <mergeCell ref="AA91:AA92"/>
    <mergeCell ref="AB91:AB92"/>
    <mergeCell ref="AO91:AO92"/>
    <mergeCell ref="AP91:AP92"/>
    <mergeCell ref="BG82:BG86"/>
    <mergeCell ref="BH82:BH86"/>
    <mergeCell ref="BI82:BI86"/>
    <mergeCell ref="D87:D88"/>
    <mergeCell ref="Y82:Y86"/>
    <mergeCell ref="AZ82:AZ86"/>
    <mergeCell ref="BA82:BA86"/>
    <mergeCell ref="BB82:BB86"/>
    <mergeCell ref="BC82:BC86"/>
    <mergeCell ref="BD82:BD86"/>
    <mergeCell ref="AD72:AD86"/>
    <mergeCell ref="AF72:AF86"/>
    <mergeCell ref="AH72:AH86"/>
    <mergeCell ref="T72:T86"/>
    <mergeCell ref="U72:U77"/>
    <mergeCell ref="V72:V77"/>
    <mergeCell ref="W72:W77"/>
    <mergeCell ref="X72:X77"/>
    <mergeCell ref="Y72:Y77"/>
    <mergeCell ref="W78:W81"/>
    <mergeCell ref="X78:X81"/>
    <mergeCell ref="Y78:Y81"/>
    <mergeCell ref="BG78:BG81"/>
    <mergeCell ref="BH78:BH81"/>
    <mergeCell ref="BI78:BI81"/>
    <mergeCell ref="J82:J86"/>
    <mergeCell ref="K82:K86"/>
    <mergeCell ref="M82:M86"/>
    <mergeCell ref="N82:N86"/>
    <mergeCell ref="R82:R86"/>
    <mergeCell ref="V82:V86"/>
    <mergeCell ref="W82:W86"/>
    <mergeCell ref="BA78:BA81"/>
    <mergeCell ref="BB78:BB81"/>
    <mergeCell ref="BC78:BC81"/>
    <mergeCell ref="BD78:BD81"/>
    <mergeCell ref="BE78:BE81"/>
    <mergeCell ref="BF78:BF81"/>
    <mergeCell ref="AL72:AL86"/>
    <mergeCell ref="AN72:AN86"/>
    <mergeCell ref="AP72:AP86"/>
    <mergeCell ref="AS72:AS86"/>
    <mergeCell ref="AT72:AT86"/>
    <mergeCell ref="Z72:Z86"/>
    <mergeCell ref="AA72:AA86"/>
    <mergeCell ref="AB72:AB86"/>
    <mergeCell ref="BG76:BG77"/>
    <mergeCell ref="BH76:BH77"/>
    <mergeCell ref="BI76:BI77"/>
    <mergeCell ref="J78:J81"/>
    <mergeCell ref="K78:K81"/>
    <mergeCell ref="M78:M81"/>
    <mergeCell ref="N78:N81"/>
    <mergeCell ref="R78:R81"/>
    <mergeCell ref="U78:U86"/>
    <mergeCell ref="V78:V81"/>
    <mergeCell ref="BA76:BA77"/>
    <mergeCell ref="BB76:BB77"/>
    <mergeCell ref="BC76:BC77"/>
    <mergeCell ref="BD76:BD77"/>
    <mergeCell ref="BE76:BE77"/>
    <mergeCell ref="BF76:BF77"/>
    <mergeCell ref="AU72:AU86"/>
    <mergeCell ref="AV72:AV86"/>
    <mergeCell ref="AW72:AW86"/>
    <mergeCell ref="AX72:AX86"/>
    <mergeCell ref="AY72:AY86"/>
    <mergeCell ref="AZ76:AZ77"/>
    <mergeCell ref="AZ78:AZ81"/>
    <mergeCell ref="AJ72:AJ86"/>
    <mergeCell ref="R72:R77"/>
    <mergeCell ref="S72:S86"/>
    <mergeCell ref="BF82:BF86"/>
    <mergeCell ref="BE68:BE71"/>
    <mergeCell ref="BF68:BF71"/>
    <mergeCell ref="AQ68:AQ71"/>
    <mergeCell ref="AR68:AR71"/>
    <mergeCell ref="AG68:AG71"/>
    <mergeCell ref="AH68:AH71"/>
    <mergeCell ref="AI68:AI71"/>
    <mergeCell ref="AJ68:AJ71"/>
    <mergeCell ref="AK68:AK71"/>
    <mergeCell ref="AL68:AL71"/>
    <mergeCell ref="O72:O86"/>
    <mergeCell ref="P72:P86"/>
    <mergeCell ref="Q72:Q86"/>
    <mergeCell ref="AC68:AC71"/>
    <mergeCell ref="AD68:AD71"/>
    <mergeCell ref="AE68:AE71"/>
    <mergeCell ref="AF68:AF71"/>
    <mergeCell ref="S68:S71"/>
    <mergeCell ref="BE82:BE86"/>
    <mergeCell ref="BI68:BI71"/>
    <mergeCell ref="BC68:BC71"/>
    <mergeCell ref="BD68:BD71"/>
    <mergeCell ref="G72:I86"/>
    <mergeCell ref="J72:J77"/>
    <mergeCell ref="K72:K77"/>
    <mergeCell ref="L72:L86"/>
    <mergeCell ref="M72:M77"/>
    <mergeCell ref="AY68:AY71"/>
    <mergeCell ref="AZ68:AZ71"/>
    <mergeCell ref="BA68:BA71"/>
    <mergeCell ref="BB68:BB71"/>
    <mergeCell ref="AS68:AS71"/>
    <mergeCell ref="AT68:AT71"/>
    <mergeCell ref="AU68:AU71"/>
    <mergeCell ref="AV68:AV71"/>
    <mergeCell ref="AW68:AW71"/>
    <mergeCell ref="AX68:AX71"/>
    <mergeCell ref="AM68:AM71"/>
    <mergeCell ref="AN68:AN71"/>
    <mergeCell ref="AO68:AO71"/>
    <mergeCell ref="AP68:AP71"/>
    <mergeCell ref="X82:X86"/>
    <mergeCell ref="N72:N77"/>
    <mergeCell ref="AR62:AR67"/>
    <mergeCell ref="AA68:AA71"/>
    <mergeCell ref="AB68:AB71"/>
    <mergeCell ref="BJ62:BJ86"/>
    <mergeCell ref="J68:J71"/>
    <mergeCell ref="K68:K71"/>
    <mergeCell ref="L68:L71"/>
    <mergeCell ref="M68:M71"/>
    <mergeCell ref="N68:N71"/>
    <mergeCell ref="O68:O71"/>
    <mergeCell ref="P68:P71"/>
    <mergeCell ref="Q68:Q71"/>
    <mergeCell ref="R68:R71"/>
    <mergeCell ref="AU62:AU67"/>
    <mergeCell ref="AV62:AV67"/>
    <mergeCell ref="AW62:AW67"/>
    <mergeCell ref="AX62:AX67"/>
    <mergeCell ref="AY62:AY67"/>
    <mergeCell ref="BC62:BC64"/>
    <mergeCell ref="AO62:AO67"/>
    <mergeCell ref="AP62:AP67"/>
    <mergeCell ref="AQ62:AQ67"/>
    <mergeCell ref="BG68:BG71"/>
    <mergeCell ref="BH68:BH71"/>
    <mergeCell ref="AI62:AI67"/>
    <mergeCell ref="AJ62:AJ67"/>
    <mergeCell ref="AK62:AK67"/>
    <mergeCell ref="AL62:AL67"/>
    <mergeCell ref="AM62:AM67"/>
    <mergeCell ref="AN62:AN67"/>
    <mergeCell ref="T68:T71"/>
    <mergeCell ref="W68:W71"/>
    <mergeCell ref="X68:X71"/>
    <mergeCell ref="Y68:Y71"/>
    <mergeCell ref="Z68:Z71"/>
    <mergeCell ref="AG62:AG67"/>
    <mergeCell ref="AH62:AH67"/>
    <mergeCell ref="W62:W67"/>
    <mergeCell ref="X62:X67"/>
    <mergeCell ref="Y62:Y67"/>
    <mergeCell ref="Z62:Z67"/>
    <mergeCell ref="AA62:AA67"/>
    <mergeCell ref="AB62:AB67"/>
    <mergeCell ref="AF62:AF67"/>
    <mergeCell ref="AC62:AC67"/>
    <mergeCell ref="AD62:AD67"/>
    <mergeCell ref="AE62:AE67"/>
    <mergeCell ref="O62:O67"/>
    <mergeCell ref="P62:P67"/>
    <mergeCell ref="Q62:Q67"/>
    <mergeCell ref="R62:R67"/>
    <mergeCell ref="S62:S67"/>
    <mergeCell ref="T62:T67"/>
    <mergeCell ref="BG54:BG59"/>
    <mergeCell ref="BH54:BH59"/>
    <mergeCell ref="BI54:BI59"/>
    <mergeCell ref="AT48:AT59"/>
    <mergeCell ref="AU48:AU59"/>
    <mergeCell ref="AV48:AV59"/>
    <mergeCell ref="AK48:AK59"/>
    <mergeCell ref="AL48:AL59"/>
    <mergeCell ref="AM48:AM59"/>
    <mergeCell ref="AN48:AN59"/>
    <mergeCell ref="AO48:AO59"/>
    <mergeCell ref="AP48:AP59"/>
    <mergeCell ref="AE48:AE59"/>
    <mergeCell ref="AF48:AF59"/>
    <mergeCell ref="AG48:AG59"/>
    <mergeCell ref="AH48:AH59"/>
    <mergeCell ref="AI48:AI59"/>
    <mergeCell ref="AJ48:AJ59"/>
    <mergeCell ref="G60:G61"/>
    <mergeCell ref="BJ60:BJ61"/>
    <mergeCell ref="J62:J67"/>
    <mergeCell ref="K62:K67"/>
    <mergeCell ref="L62:L67"/>
    <mergeCell ref="M62:M67"/>
    <mergeCell ref="N62:N67"/>
    <mergeCell ref="BA54:BA59"/>
    <mergeCell ref="BB54:BB59"/>
    <mergeCell ref="BC54:BC59"/>
    <mergeCell ref="BD54:BD59"/>
    <mergeCell ref="BE54:BE59"/>
    <mergeCell ref="BF54:BF59"/>
    <mergeCell ref="W54:W59"/>
    <mergeCell ref="X54:X59"/>
    <mergeCell ref="Y54:Y59"/>
    <mergeCell ref="Z54:Z59"/>
    <mergeCell ref="AA54:AA59"/>
    <mergeCell ref="AZ54:AZ59"/>
    <mergeCell ref="BJ48:BJ59"/>
    <mergeCell ref="V49:V51"/>
    <mergeCell ref="AQ48:AQ59"/>
    <mergeCell ref="AR48:AR59"/>
    <mergeCell ref="AS48:AS59"/>
    <mergeCell ref="BJ24:BJ45"/>
    <mergeCell ref="R24:R31"/>
    <mergeCell ref="BA32:BA39"/>
    <mergeCell ref="BA24:BA31"/>
    <mergeCell ref="Z48:Z53"/>
    <mergeCell ref="AA48:AA53"/>
    <mergeCell ref="AB48:AB59"/>
    <mergeCell ref="AC48:AC59"/>
    <mergeCell ref="AD48:AD59"/>
    <mergeCell ref="W49:W51"/>
    <mergeCell ref="X49:X51"/>
    <mergeCell ref="Y49:Y51"/>
    <mergeCell ref="W52:W53"/>
    <mergeCell ref="BF51:BF52"/>
    <mergeCell ref="BG51:BG52"/>
    <mergeCell ref="BH51:BH52"/>
    <mergeCell ref="BI51:BI52"/>
    <mergeCell ref="R52:R53"/>
    <mergeCell ref="V52:V53"/>
    <mergeCell ref="AZ51:AZ52"/>
    <mergeCell ref="BA51:BA52"/>
    <mergeCell ref="BB51:BB52"/>
    <mergeCell ref="BC51:BC52"/>
    <mergeCell ref="BJ46:BJ47"/>
    <mergeCell ref="G48:I59"/>
    <mergeCell ref="L48:L59"/>
    <mergeCell ref="O48:O53"/>
    <mergeCell ref="P48:P59"/>
    <mergeCell ref="Q48:Q59"/>
    <mergeCell ref="S48:S59"/>
    <mergeCell ref="T48:T59"/>
    <mergeCell ref="J52:J53"/>
    <mergeCell ref="K52:K53"/>
    <mergeCell ref="M52:M53"/>
    <mergeCell ref="N52:N53"/>
    <mergeCell ref="J54:J59"/>
    <mergeCell ref="K54:K59"/>
    <mergeCell ref="M54:M59"/>
    <mergeCell ref="N54:N59"/>
    <mergeCell ref="O54:O59"/>
    <mergeCell ref="R54:R59"/>
    <mergeCell ref="J49:J51"/>
    <mergeCell ref="K49:K51"/>
    <mergeCell ref="M49:M51"/>
    <mergeCell ref="N49:N51"/>
    <mergeCell ref="R49:R51"/>
    <mergeCell ref="X52:X53"/>
    <mergeCell ref="Y52:Y53"/>
    <mergeCell ref="U54:U59"/>
    <mergeCell ref="V54:V59"/>
    <mergeCell ref="U48:U53"/>
    <mergeCell ref="J32:J39"/>
    <mergeCell ref="K32:K39"/>
    <mergeCell ref="M32:M39"/>
    <mergeCell ref="N32:N39"/>
    <mergeCell ref="R32:R39"/>
    <mergeCell ref="U32:U39"/>
    <mergeCell ref="V32:V39"/>
    <mergeCell ref="W32:W39"/>
    <mergeCell ref="G46:G47"/>
    <mergeCell ref="K40:K45"/>
    <mergeCell ref="M40:M45"/>
    <mergeCell ref="N40:N45"/>
    <mergeCell ref="R40:R45"/>
    <mergeCell ref="U40:U45"/>
    <mergeCell ref="V40:V45"/>
    <mergeCell ref="W40:W45"/>
    <mergeCell ref="S24:S45"/>
    <mergeCell ref="T24:T45"/>
    <mergeCell ref="U24:U31"/>
    <mergeCell ref="V24:V31"/>
    <mergeCell ref="W24:W31"/>
    <mergeCell ref="BH19:BH23"/>
    <mergeCell ref="BI19:BI23"/>
    <mergeCell ref="J24:J31"/>
    <mergeCell ref="K24:K31"/>
    <mergeCell ref="L24:L45"/>
    <mergeCell ref="M24:M31"/>
    <mergeCell ref="N24:N31"/>
    <mergeCell ref="O24:O45"/>
    <mergeCell ref="P24:P44"/>
    <mergeCell ref="Q24:Q45"/>
    <mergeCell ref="BB19:BB23"/>
    <mergeCell ref="BC19:BC23"/>
    <mergeCell ref="BD19:BD23"/>
    <mergeCell ref="BE19:BE23"/>
    <mergeCell ref="BF19:BF23"/>
    <mergeCell ref="BG19:BG23"/>
    <mergeCell ref="AP14:AP45"/>
    <mergeCell ref="AQ14:AQ45"/>
    <mergeCell ref="AR14:AR45"/>
    <mergeCell ref="AS14:AS45"/>
    <mergeCell ref="AT14:AT45"/>
    <mergeCell ref="AU14:AU45"/>
    <mergeCell ref="AJ14:AJ45"/>
    <mergeCell ref="J40:J45"/>
    <mergeCell ref="BH14:BH18"/>
    <mergeCell ref="BI14:BI18"/>
    <mergeCell ref="BJ14:BJ23"/>
    <mergeCell ref="J19:J23"/>
    <mergeCell ref="K19:K23"/>
    <mergeCell ref="M19:M23"/>
    <mergeCell ref="N19:N23"/>
    <mergeCell ref="R19:R23"/>
    <mergeCell ref="U19:U23"/>
    <mergeCell ref="V19:V23"/>
    <mergeCell ref="BB14:BB18"/>
    <mergeCell ref="BC14:BC18"/>
    <mergeCell ref="BD14:BD18"/>
    <mergeCell ref="BE14:BE18"/>
    <mergeCell ref="BF14:BF18"/>
    <mergeCell ref="BG14:BG18"/>
    <mergeCell ref="AV14:AV45"/>
    <mergeCell ref="AW14:AW45"/>
    <mergeCell ref="AX14:AX45"/>
    <mergeCell ref="AY14:AY45"/>
    <mergeCell ref="AZ14:AZ18"/>
    <mergeCell ref="BA14:BA18"/>
    <mergeCell ref="AZ19:AZ23"/>
    <mergeCell ref="X32:X39"/>
    <mergeCell ref="BA19:BA23"/>
    <mergeCell ref="Y14:Y18"/>
    <mergeCell ref="Z14:Z23"/>
    <mergeCell ref="AA14:AA23"/>
    <mergeCell ref="AB14:AB45"/>
    <mergeCell ref="AC14:AC45"/>
    <mergeCell ref="X19:X23"/>
    <mergeCell ref="Y19:Y23"/>
    <mergeCell ref="X24:X31"/>
    <mergeCell ref="Y24:Y31"/>
    <mergeCell ref="AA24:AA45"/>
    <mergeCell ref="Y32:Y39"/>
    <mergeCell ref="Z32:Z39"/>
    <mergeCell ref="X40:X45"/>
    <mergeCell ref="Y40:Y45"/>
    <mergeCell ref="Z40:Z45"/>
    <mergeCell ref="X14:X18"/>
    <mergeCell ref="AZ32:AZ39"/>
    <mergeCell ref="AZ40:AZ45"/>
    <mergeCell ref="AK14:AK45"/>
    <mergeCell ref="Z24:Z31"/>
    <mergeCell ref="AG14:AG45"/>
    <mergeCell ref="AH14:AH45"/>
    <mergeCell ref="AI14:AI45"/>
    <mergeCell ref="S14:S23"/>
    <mergeCell ref="T14:T23"/>
    <mergeCell ref="U14:U18"/>
    <mergeCell ref="V14:V18"/>
    <mergeCell ref="W14:W18"/>
    <mergeCell ref="W19:W23"/>
    <mergeCell ref="L14:L23"/>
    <mergeCell ref="M14:M18"/>
    <mergeCell ref="N14:N18"/>
    <mergeCell ref="O14:O23"/>
    <mergeCell ref="P14:P23"/>
    <mergeCell ref="Q14:Q23"/>
    <mergeCell ref="A12:C134"/>
    <mergeCell ref="D13:F86"/>
    <mergeCell ref="G14:I45"/>
    <mergeCell ref="J14:J18"/>
    <mergeCell ref="K14:K18"/>
    <mergeCell ref="J132:J134"/>
    <mergeCell ref="K132:K134"/>
    <mergeCell ref="AZ8:AZ9"/>
    <mergeCell ref="Z7:Z9"/>
    <mergeCell ref="AA7:AA9"/>
    <mergeCell ref="R7:R9"/>
    <mergeCell ref="S7:S9"/>
    <mergeCell ref="T7:T9"/>
    <mergeCell ref="U7:U9"/>
    <mergeCell ref="V7:V9"/>
    <mergeCell ref="W7:Y8"/>
    <mergeCell ref="K7:K9"/>
    <mergeCell ref="L7:L9"/>
    <mergeCell ref="M7:N8"/>
    <mergeCell ref="O7:O9"/>
    <mergeCell ref="P7:P9"/>
    <mergeCell ref="Q7:Q9"/>
    <mergeCell ref="AZ24:AZ31"/>
    <mergeCell ref="R14:R18"/>
    <mergeCell ref="A10:A11"/>
    <mergeCell ref="A7:A9"/>
    <mergeCell ref="B7:C9"/>
    <mergeCell ref="D7:D9"/>
    <mergeCell ref="E7:F9"/>
    <mergeCell ref="G7:G9"/>
    <mergeCell ref="H7:I9"/>
    <mergeCell ref="J7:J9"/>
    <mergeCell ref="BA8:BA9"/>
    <mergeCell ref="BH7:BI8"/>
    <mergeCell ref="BJ7:BJ9"/>
    <mergeCell ref="AB8:AC8"/>
    <mergeCell ref="AD8:AE8"/>
    <mergeCell ref="AF8:AG8"/>
    <mergeCell ref="AH8:AI8"/>
    <mergeCell ref="AJ8:AK8"/>
    <mergeCell ref="AL8:AM8"/>
    <mergeCell ref="AN8:AO8"/>
    <mergeCell ref="AP8:AQ8"/>
    <mergeCell ref="AB7:AM7"/>
    <mergeCell ref="AN7:AY7"/>
    <mergeCell ref="AZ7:BE7"/>
    <mergeCell ref="BF7:BG8"/>
    <mergeCell ref="AR8:AS8"/>
    <mergeCell ref="AT8:AU8"/>
    <mergeCell ref="AV8:AW8"/>
    <mergeCell ref="AX8:AY8"/>
    <mergeCell ref="BB8:BB9"/>
    <mergeCell ref="BC8:BC9"/>
    <mergeCell ref="BD8:BD9"/>
    <mergeCell ref="BE8:BE9"/>
    <mergeCell ref="BI32:BI39"/>
    <mergeCell ref="BB24:BB31"/>
    <mergeCell ref="BC24:BC31"/>
    <mergeCell ref="BD24:BD31"/>
    <mergeCell ref="BE24:BE31"/>
    <mergeCell ref="BF24:BF31"/>
    <mergeCell ref="BG24:BG31"/>
    <mergeCell ref="BH24:BH31"/>
    <mergeCell ref="BI24:BI31"/>
    <mergeCell ref="BB32:BB39"/>
    <mergeCell ref="BC32:BC39"/>
    <mergeCell ref="BD32:BD39"/>
    <mergeCell ref="BE32:BE39"/>
    <mergeCell ref="BF32:BF39"/>
    <mergeCell ref="BG32:BG39"/>
    <mergeCell ref="BH32:BH39"/>
    <mergeCell ref="A1:BF4"/>
    <mergeCell ref="BD51:BD52"/>
    <mergeCell ref="BE51:BE52"/>
    <mergeCell ref="AW48:AW59"/>
    <mergeCell ref="AX48:AX59"/>
    <mergeCell ref="AY48:AY59"/>
    <mergeCell ref="AS62:AS67"/>
    <mergeCell ref="AT62:AT67"/>
    <mergeCell ref="BI40:BI45"/>
    <mergeCell ref="BH40:BH45"/>
    <mergeCell ref="BA40:BA45"/>
    <mergeCell ref="BB40:BB45"/>
    <mergeCell ref="BC40:BC45"/>
    <mergeCell ref="BD40:BD45"/>
    <mergeCell ref="BE40:BE45"/>
    <mergeCell ref="BF40:BF45"/>
    <mergeCell ref="BG40:BG45"/>
    <mergeCell ref="AL14:AL45"/>
    <mergeCell ref="AM14:AM45"/>
    <mergeCell ref="AN14:AN45"/>
    <mergeCell ref="AO14:AO45"/>
    <mergeCell ref="AD14:AD45"/>
    <mergeCell ref="AE14:AE45"/>
    <mergeCell ref="AF14:AF45"/>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BJ60"/>
  <sheetViews>
    <sheetView zoomScale="55" zoomScaleNormal="55" zoomScalePageLayoutView="75" workbookViewId="0" topLeftCell="AO1">
      <selection activeCell="BJ1" sqref="BJ1"/>
    </sheetView>
  </sheetViews>
  <sheetFormatPr defaultColWidth="11.421875" defaultRowHeight="15"/>
  <cols>
    <col min="1" max="1" width="6.28125" style="3" customWidth="1"/>
    <col min="2" max="2" width="5.7109375" style="3" customWidth="1"/>
    <col min="3" max="3" width="5.421875" style="3" customWidth="1"/>
    <col min="4" max="4" width="7.57421875" style="3" customWidth="1"/>
    <col min="5" max="5" width="5.57421875" style="848" customWidth="1"/>
    <col min="6" max="6" width="7.421875" style="3" customWidth="1"/>
    <col min="7" max="7" width="11.8515625" style="3" customWidth="1"/>
    <col min="8" max="8" width="8.421875" style="3" customWidth="1"/>
    <col min="9" max="9" width="9.28125" style="3" customWidth="1"/>
    <col min="10" max="10" width="10.7109375" style="3" customWidth="1"/>
    <col min="11" max="11" width="25.421875" style="3" customWidth="1"/>
    <col min="12" max="12" width="9.140625" style="3" customWidth="1"/>
    <col min="13" max="13" width="10.57421875" style="3" customWidth="1"/>
    <col min="14" max="14" width="10.8515625" style="458" customWidth="1"/>
    <col min="15" max="15" width="29.421875" style="3" customWidth="1"/>
    <col min="16" max="16" width="10.57421875" style="3" customWidth="1"/>
    <col min="17" max="17" width="24.7109375" style="7" customWidth="1"/>
    <col min="18" max="18" width="10.00390625" style="478" customWidth="1"/>
    <col min="19" max="19" width="32.28125" style="478" customWidth="1"/>
    <col min="20" max="20" width="30.7109375" style="7" customWidth="1"/>
    <col min="21" max="21" width="41.140625" style="7" customWidth="1"/>
    <col min="22" max="22" width="27.7109375" style="7" customWidth="1"/>
    <col min="23" max="23" width="32.00390625" style="478" customWidth="1"/>
    <col min="24" max="24" width="29.28125" style="598" customWidth="1"/>
    <col min="25" max="25" width="29.421875" style="598" customWidth="1"/>
    <col min="26" max="26" width="21.7109375" style="8" customWidth="1"/>
    <col min="27" max="27" width="16.28125" style="478" customWidth="1"/>
    <col min="28" max="28" width="8.28125" style="3" bestFit="1" customWidth="1"/>
    <col min="29" max="29" width="8.28125" style="458" bestFit="1" customWidth="1"/>
    <col min="30" max="30" width="9.00390625" style="3" bestFit="1" customWidth="1"/>
    <col min="31" max="31" width="9.7109375" style="458" customWidth="1"/>
    <col min="32" max="32" width="8.421875" style="3" bestFit="1" customWidth="1"/>
    <col min="33" max="33" width="9.7109375" style="458" customWidth="1"/>
    <col min="34" max="34" width="10.140625" style="3" customWidth="1"/>
    <col min="35" max="35" width="10.28125" style="458" bestFit="1" customWidth="1"/>
    <col min="36" max="36" width="9.421875" style="3" bestFit="1" customWidth="1"/>
    <col min="37" max="37" width="9.421875" style="458" bestFit="1" customWidth="1"/>
    <col min="38" max="38" width="9.00390625" style="3" bestFit="1" customWidth="1"/>
    <col min="39" max="39" width="10.140625" style="458" customWidth="1"/>
    <col min="40" max="40" width="7.7109375" style="3" customWidth="1"/>
    <col min="41" max="41" width="7.7109375" style="458" customWidth="1"/>
    <col min="42" max="42" width="7.7109375" style="3" customWidth="1"/>
    <col min="43" max="43" width="7.7109375" style="458" customWidth="1"/>
    <col min="44" max="44" width="7.7109375" style="3" customWidth="1"/>
    <col min="45" max="45" width="7.7109375" style="458" customWidth="1"/>
    <col min="46" max="46" width="7.7109375" style="3" customWidth="1"/>
    <col min="47" max="47" width="7.7109375" style="458" customWidth="1"/>
    <col min="48" max="48" width="7.7109375" style="3" customWidth="1"/>
    <col min="49" max="49" width="7.7109375" style="458" customWidth="1"/>
    <col min="50" max="50" width="7.7109375" style="3" customWidth="1"/>
    <col min="51" max="51" width="7.7109375" style="458" customWidth="1"/>
    <col min="52" max="52" width="19.7109375" style="352" customWidth="1"/>
    <col min="53" max="53" width="21.140625" style="1914" customWidth="1"/>
    <col min="54" max="54" width="20.7109375" style="1915" customWidth="1"/>
    <col min="55" max="56" width="23.00390625" style="3" customWidth="1"/>
    <col min="57" max="57" width="23.00390625" style="352" customWidth="1"/>
    <col min="58" max="58" width="22.7109375" style="478" customWidth="1"/>
    <col min="59" max="59" width="22.7109375" style="598" customWidth="1"/>
    <col min="60" max="60" width="22.7109375" style="1858" customWidth="1"/>
    <col min="61" max="61" width="22.7109375" style="1859" customWidth="1"/>
    <col min="62" max="62" width="28.7109375" style="517" customWidth="1"/>
    <col min="63" max="16384" width="11.421875" style="3" customWidth="1"/>
  </cols>
  <sheetData>
    <row r="1" spans="1:62" s="4" customFormat="1" ht="18" customHeight="1">
      <c r="A1" s="3322" t="s">
        <v>110</v>
      </c>
      <c r="B1" s="3322"/>
      <c r="C1" s="3322"/>
      <c r="D1" s="3322"/>
      <c r="E1" s="3322"/>
      <c r="F1" s="3322"/>
      <c r="G1" s="3322"/>
      <c r="H1" s="3322"/>
      <c r="I1" s="3322"/>
      <c r="J1" s="3322"/>
      <c r="K1" s="3322"/>
      <c r="L1" s="3322"/>
      <c r="M1" s="3322"/>
      <c r="N1" s="3322"/>
      <c r="O1" s="3322"/>
      <c r="P1" s="3322"/>
      <c r="Q1" s="3322"/>
      <c r="R1" s="3322"/>
      <c r="S1" s="3322"/>
      <c r="T1" s="3322"/>
      <c r="U1" s="3322"/>
      <c r="V1" s="3322"/>
      <c r="W1" s="3322"/>
      <c r="X1" s="3322"/>
      <c r="Y1" s="3322"/>
      <c r="Z1" s="3322"/>
      <c r="AA1" s="3322"/>
      <c r="AB1" s="3322"/>
      <c r="AC1" s="3322"/>
      <c r="AD1" s="3322"/>
      <c r="AE1" s="3322"/>
      <c r="AF1" s="3322"/>
      <c r="AG1" s="3322"/>
      <c r="AH1" s="3322"/>
      <c r="AI1" s="3322"/>
      <c r="AJ1" s="3322"/>
      <c r="AK1" s="3322"/>
      <c r="AL1" s="3322"/>
      <c r="AM1" s="3322"/>
      <c r="AN1" s="3322"/>
      <c r="AO1" s="3322"/>
      <c r="AP1" s="3322"/>
      <c r="AQ1" s="3322"/>
      <c r="AR1" s="3322"/>
      <c r="AS1" s="3322"/>
      <c r="AT1" s="3322"/>
      <c r="AU1" s="3322"/>
      <c r="AV1" s="3322"/>
      <c r="AW1" s="3322"/>
      <c r="AX1" s="3322"/>
      <c r="AY1" s="3322"/>
      <c r="AZ1" s="3322"/>
      <c r="BA1" s="3322"/>
      <c r="BB1" s="3322"/>
      <c r="BC1" s="3322"/>
      <c r="BD1" s="3322"/>
      <c r="BE1" s="3322"/>
      <c r="BF1" s="3323"/>
      <c r="BG1" s="1140"/>
      <c r="BI1" s="2633" t="s">
        <v>97</v>
      </c>
      <c r="BJ1" s="2633" t="s">
        <v>112</v>
      </c>
    </row>
    <row r="2" spans="1:62" s="4" customFormat="1" ht="15">
      <c r="A2" s="3322"/>
      <c r="B2" s="3322"/>
      <c r="C2" s="3322"/>
      <c r="D2" s="3322"/>
      <c r="E2" s="3322"/>
      <c r="F2" s="3322"/>
      <c r="G2" s="3322"/>
      <c r="H2" s="3322"/>
      <c r="I2" s="3322"/>
      <c r="J2" s="3322"/>
      <c r="K2" s="3322"/>
      <c r="L2" s="3322"/>
      <c r="M2" s="3322"/>
      <c r="N2" s="3322"/>
      <c r="O2" s="3322"/>
      <c r="P2" s="3322"/>
      <c r="Q2" s="3322"/>
      <c r="R2" s="3322"/>
      <c r="S2" s="3322"/>
      <c r="T2" s="3322"/>
      <c r="U2" s="3322"/>
      <c r="V2" s="3322"/>
      <c r="W2" s="3322"/>
      <c r="X2" s="3322"/>
      <c r="Y2" s="3322"/>
      <c r="Z2" s="3322"/>
      <c r="AA2" s="3322"/>
      <c r="AB2" s="3322"/>
      <c r="AC2" s="3322"/>
      <c r="AD2" s="3322"/>
      <c r="AE2" s="3322"/>
      <c r="AF2" s="3322"/>
      <c r="AG2" s="3322"/>
      <c r="AH2" s="3322"/>
      <c r="AI2" s="3322"/>
      <c r="AJ2" s="3322"/>
      <c r="AK2" s="3322"/>
      <c r="AL2" s="3322"/>
      <c r="AM2" s="3322"/>
      <c r="AN2" s="3322"/>
      <c r="AO2" s="3322"/>
      <c r="AP2" s="3322"/>
      <c r="AQ2" s="3322"/>
      <c r="AR2" s="3322"/>
      <c r="AS2" s="3322"/>
      <c r="AT2" s="3322"/>
      <c r="AU2" s="3322"/>
      <c r="AV2" s="3322"/>
      <c r="AW2" s="3322"/>
      <c r="AX2" s="3322"/>
      <c r="AY2" s="3322"/>
      <c r="AZ2" s="3322"/>
      <c r="BA2" s="3322"/>
      <c r="BB2" s="3322"/>
      <c r="BC2" s="3322"/>
      <c r="BD2" s="3322"/>
      <c r="BE2" s="3322"/>
      <c r="BF2" s="3323"/>
      <c r="BG2" s="1140"/>
      <c r="BI2" s="2634" t="s">
        <v>98</v>
      </c>
      <c r="BJ2" s="2635">
        <v>5</v>
      </c>
    </row>
    <row r="3" spans="1:62" s="4" customFormat="1" ht="19.5" customHeight="1">
      <c r="A3" s="3322"/>
      <c r="B3" s="3322"/>
      <c r="C3" s="3322"/>
      <c r="D3" s="3322"/>
      <c r="E3" s="3322"/>
      <c r="F3" s="3322"/>
      <c r="G3" s="3322"/>
      <c r="H3" s="3322"/>
      <c r="I3" s="3322"/>
      <c r="J3" s="3322"/>
      <c r="K3" s="3322"/>
      <c r="L3" s="3322"/>
      <c r="M3" s="3322"/>
      <c r="N3" s="3322"/>
      <c r="O3" s="3322"/>
      <c r="P3" s="3322"/>
      <c r="Q3" s="3322"/>
      <c r="R3" s="3322"/>
      <c r="S3" s="3322"/>
      <c r="T3" s="3322"/>
      <c r="U3" s="3322"/>
      <c r="V3" s="3322"/>
      <c r="W3" s="3322"/>
      <c r="X3" s="3322"/>
      <c r="Y3" s="3322"/>
      <c r="Z3" s="3322"/>
      <c r="AA3" s="3322"/>
      <c r="AB3" s="3322"/>
      <c r="AC3" s="3322"/>
      <c r="AD3" s="3322"/>
      <c r="AE3" s="3322"/>
      <c r="AF3" s="3322"/>
      <c r="AG3" s="3322"/>
      <c r="AH3" s="3322"/>
      <c r="AI3" s="3322"/>
      <c r="AJ3" s="3322"/>
      <c r="AK3" s="3322"/>
      <c r="AL3" s="3322"/>
      <c r="AM3" s="3322"/>
      <c r="AN3" s="3322"/>
      <c r="AO3" s="3322"/>
      <c r="AP3" s="3322"/>
      <c r="AQ3" s="3322"/>
      <c r="AR3" s="3322"/>
      <c r="AS3" s="3322"/>
      <c r="AT3" s="3322"/>
      <c r="AU3" s="3322"/>
      <c r="AV3" s="3322"/>
      <c r="AW3" s="3322"/>
      <c r="AX3" s="3322"/>
      <c r="AY3" s="3322"/>
      <c r="AZ3" s="3322"/>
      <c r="BA3" s="3322"/>
      <c r="BB3" s="3322"/>
      <c r="BC3" s="3322"/>
      <c r="BD3" s="3322"/>
      <c r="BE3" s="3322"/>
      <c r="BF3" s="3323"/>
      <c r="BG3" s="1140"/>
      <c r="BI3" s="2633" t="s">
        <v>99</v>
      </c>
      <c r="BJ3" s="2636" t="s">
        <v>2149</v>
      </c>
    </row>
    <row r="4" spans="1:62" s="4" customFormat="1" ht="23.25" customHeight="1">
      <c r="A4" s="3322"/>
      <c r="B4" s="3322"/>
      <c r="C4" s="3322"/>
      <c r="D4" s="3322"/>
      <c r="E4" s="3322"/>
      <c r="F4" s="3322"/>
      <c r="G4" s="3322"/>
      <c r="H4" s="3322"/>
      <c r="I4" s="3322"/>
      <c r="J4" s="3322"/>
      <c r="K4" s="3322"/>
      <c r="L4" s="3322"/>
      <c r="M4" s="3322"/>
      <c r="N4" s="3322"/>
      <c r="O4" s="3322"/>
      <c r="P4" s="3322"/>
      <c r="Q4" s="3322"/>
      <c r="R4" s="3322"/>
      <c r="S4" s="3322"/>
      <c r="T4" s="3322"/>
      <c r="U4" s="3322"/>
      <c r="V4" s="3322"/>
      <c r="W4" s="3322"/>
      <c r="X4" s="3322"/>
      <c r="Y4" s="3322"/>
      <c r="Z4" s="3322"/>
      <c r="AA4" s="3322"/>
      <c r="AB4" s="3322"/>
      <c r="AC4" s="3322"/>
      <c r="AD4" s="3322"/>
      <c r="AE4" s="3322"/>
      <c r="AF4" s="3322"/>
      <c r="AG4" s="3322"/>
      <c r="AH4" s="3322"/>
      <c r="AI4" s="3322"/>
      <c r="AJ4" s="3322"/>
      <c r="AK4" s="3322"/>
      <c r="AL4" s="3322"/>
      <c r="AM4" s="3322"/>
      <c r="AN4" s="3322"/>
      <c r="AO4" s="3322"/>
      <c r="AP4" s="3322"/>
      <c r="AQ4" s="3322"/>
      <c r="AR4" s="3322"/>
      <c r="AS4" s="3322"/>
      <c r="AT4" s="3322"/>
      <c r="AU4" s="3322"/>
      <c r="AV4" s="3322"/>
      <c r="AW4" s="3322"/>
      <c r="AX4" s="3322"/>
      <c r="AY4" s="3322"/>
      <c r="AZ4" s="3322"/>
      <c r="BA4" s="3322"/>
      <c r="BB4" s="3322"/>
      <c r="BC4" s="3322"/>
      <c r="BD4" s="3322"/>
      <c r="BE4" s="3322"/>
      <c r="BF4" s="3323"/>
      <c r="BG4" s="1140"/>
      <c r="BI4" s="842" t="s">
        <v>100</v>
      </c>
      <c r="BJ4" s="2637" t="s">
        <v>113</v>
      </c>
    </row>
    <row r="5" spans="1:62" s="4" customFormat="1" ht="15">
      <c r="A5" s="3049" t="s">
        <v>0</v>
      </c>
      <c r="B5" s="3049"/>
      <c r="C5" s="3049"/>
      <c r="D5" s="3049"/>
      <c r="E5" s="3049"/>
      <c r="F5" s="3049"/>
      <c r="G5" s="3049"/>
      <c r="H5" s="3049"/>
      <c r="I5" s="3049"/>
      <c r="J5" s="3049"/>
      <c r="K5" s="3049"/>
      <c r="L5" s="3049"/>
      <c r="M5" s="3049"/>
      <c r="N5" s="2834"/>
      <c r="O5" s="2834"/>
      <c r="P5" s="2834"/>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c r="BH5" s="3049"/>
      <c r="BI5" s="3049"/>
      <c r="BJ5" s="3049"/>
    </row>
    <row r="6" spans="1:62" s="4" customFormat="1" ht="14.25" customHeight="1" thickBot="1">
      <c r="A6" s="3049"/>
      <c r="B6" s="3049"/>
      <c r="C6" s="3049"/>
      <c r="D6" s="3049"/>
      <c r="E6" s="3049"/>
      <c r="F6" s="3049"/>
      <c r="G6" s="3049"/>
      <c r="H6" s="3049"/>
      <c r="I6" s="3049"/>
      <c r="J6" s="3049"/>
      <c r="K6" s="3049"/>
      <c r="L6" s="3049"/>
      <c r="M6" s="3049"/>
      <c r="N6" s="2834"/>
      <c r="O6" s="2834"/>
      <c r="P6" s="2835"/>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2836"/>
      <c r="BA6" s="2836"/>
      <c r="BB6" s="2836"/>
      <c r="BC6" s="2836"/>
      <c r="BD6" s="2836"/>
      <c r="BE6" s="2836"/>
      <c r="BF6" s="3050"/>
      <c r="BG6" s="3051"/>
      <c r="BH6" s="3051"/>
      <c r="BI6" s="3051"/>
      <c r="BJ6" s="3052"/>
    </row>
    <row r="7" spans="1:62" s="4" customFormat="1" ht="24" customHeight="1">
      <c r="A7" s="3036" t="s">
        <v>3</v>
      </c>
      <c r="B7" s="3034" t="s">
        <v>4</v>
      </c>
      <c r="C7" s="3036"/>
      <c r="D7" s="3040" t="s">
        <v>3</v>
      </c>
      <c r="E7" s="3034" t="s">
        <v>5</v>
      </c>
      <c r="F7" s="3036"/>
      <c r="G7" s="3040" t="s">
        <v>3</v>
      </c>
      <c r="H7" s="3034" t="s">
        <v>6</v>
      </c>
      <c r="I7" s="3036"/>
      <c r="J7" s="3040" t="s">
        <v>3</v>
      </c>
      <c r="K7" s="3040" t="s">
        <v>7</v>
      </c>
      <c r="L7" s="3040" t="s">
        <v>8</v>
      </c>
      <c r="M7" s="3034" t="s">
        <v>9</v>
      </c>
      <c r="N7" s="3036"/>
      <c r="O7" s="3040" t="s">
        <v>10</v>
      </c>
      <c r="P7" s="3040" t="s">
        <v>1486</v>
      </c>
      <c r="Q7" s="3036" t="s">
        <v>1</v>
      </c>
      <c r="R7" s="3040" t="s">
        <v>11</v>
      </c>
      <c r="S7" s="3040" t="s">
        <v>12</v>
      </c>
      <c r="T7" s="3040" t="s">
        <v>13</v>
      </c>
      <c r="U7" s="3040" t="s">
        <v>14</v>
      </c>
      <c r="V7" s="3040" t="s">
        <v>15</v>
      </c>
      <c r="W7" s="3034" t="s">
        <v>12</v>
      </c>
      <c r="X7" s="3035"/>
      <c r="Y7" s="3036"/>
      <c r="Z7" s="3309" t="s">
        <v>3</v>
      </c>
      <c r="AA7" s="3040" t="s">
        <v>16</v>
      </c>
      <c r="AB7" s="3057" t="s">
        <v>17</v>
      </c>
      <c r="AC7" s="3058"/>
      <c r="AD7" s="3058"/>
      <c r="AE7" s="3058"/>
      <c r="AF7" s="3058"/>
      <c r="AG7" s="3058"/>
      <c r="AH7" s="3058"/>
      <c r="AI7" s="3058"/>
      <c r="AJ7" s="3058"/>
      <c r="AK7" s="3058"/>
      <c r="AL7" s="3058"/>
      <c r="AM7" s="3059"/>
      <c r="AN7" t="s">
        <v>18</v>
      </c>
      <c r="AO7"/>
      <c r="AP7"/>
      <c r="AQ7"/>
      <c r="AR7"/>
      <c r="AS7"/>
      <c r="AT7"/>
      <c r="AU7"/>
      <c r="AV7"/>
      <c r="AW7"/>
      <c r="AX7"/>
      <c r="AY7"/>
      <c r="AZ7" s="3314" t="s">
        <v>119</v>
      </c>
      <c r="BA7" s="3315"/>
      <c r="BB7" s="3315"/>
      <c r="BC7" s="3315"/>
      <c r="BD7" s="3315"/>
      <c r="BE7" s="3316"/>
      <c r="BF7" s="3317" t="s">
        <v>19</v>
      </c>
      <c r="BG7" s="3317"/>
      <c r="BH7" s="3317" t="s">
        <v>20</v>
      </c>
      <c r="BI7" s="3317"/>
      <c r="BJ7" s="1163" t="s">
        <v>21</v>
      </c>
    </row>
    <row r="8" spans="1:62" s="4" customFormat="1" ht="26.25" customHeight="1">
      <c r="A8" s="3039"/>
      <c r="B8" s="3037"/>
      <c r="C8" s="3039"/>
      <c r="D8" s="3041"/>
      <c r="E8" s="3037"/>
      <c r="F8" s="3039"/>
      <c r="G8" s="3041"/>
      <c r="H8" s="3037"/>
      <c r="I8" s="3039"/>
      <c r="J8" s="3041"/>
      <c r="K8" s="3041"/>
      <c r="L8" s="3041"/>
      <c r="M8" s="3054"/>
      <c r="N8" s="3055"/>
      <c r="O8" s="3041"/>
      <c r="P8" s="3041"/>
      <c r="Q8" s="3039"/>
      <c r="R8" s="3041"/>
      <c r="S8" s="3041"/>
      <c r="T8" s="3041"/>
      <c r="U8" s="3041"/>
      <c r="V8" s="3041"/>
      <c r="W8" s="3054"/>
      <c r="X8"/>
      <c r="Y8" s="3055"/>
      <c r="Z8" s="3310"/>
      <c r="AA8" s="3041"/>
      <c r="AB8" s="3294" t="s">
        <v>22</v>
      </c>
      <c r="AC8" s="3295"/>
      <c r="AD8" t="s">
        <v>23</v>
      </c>
      <c r="AE8"/>
      <c r="AF8" s="3034" t="s">
        <v>24</v>
      </c>
      <c r="AG8" s="3036"/>
      <c r="AH8" s="3034" t="s">
        <v>25</v>
      </c>
      <c r="AI8" s="3036"/>
      <c r="AJ8" s="3034" t="s">
        <v>26</v>
      </c>
      <c r="AK8" s="3036"/>
      <c r="AL8" s="3034" t="s">
        <v>27</v>
      </c>
      <c r="AM8" s="3036"/>
      <c r="AN8" s="3034" t="s">
        <v>28</v>
      </c>
      <c r="AO8" s="3036"/>
      <c r="AP8" s="3034" t="s">
        <v>29</v>
      </c>
      <c r="AQ8" s="3036"/>
      <c r="AR8" s="3034" t="s">
        <v>30</v>
      </c>
      <c r="AS8" s="3036"/>
      <c r="AT8" s="3034" t="s">
        <v>31</v>
      </c>
      <c r="AU8" s="3036"/>
      <c r="AV8" s="3034" t="s">
        <v>32</v>
      </c>
      <c r="AW8" s="3036"/>
      <c r="AX8" s="3053" t="s">
        <v>33</v>
      </c>
      <c r="AY8" s="3053"/>
      <c r="AZ8" t="s">
        <v>116</v>
      </c>
      <c r="BA8" t="s">
        <v>120</v>
      </c>
      <c r="BB8" t="s">
        <v>121</v>
      </c>
      <c r="BC8" s="3033" t="s">
        <v>117</v>
      </c>
      <c r="BD8" s="3031" t="s">
        <v>118</v>
      </c>
      <c r="BE8" t="s">
        <v>122</v>
      </c>
      <c r="BF8" s="3317"/>
      <c r="BG8" s="3317"/>
      <c r="BH8" s="3317"/>
      <c r="BI8" s="3317"/>
      <c r="BJ8" s="1164"/>
    </row>
    <row r="9" spans="1:62" s="4" customFormat="1" ht="18.75" customHeight="1">
      <c r="A9" s="3039"/>
      <c r="B9" s="3037"/>
      <c r="C9" s="3039"/>
      <c r="D9" s="3041"/>
      <c r="E9" s="3037"/>
      <c r="F9" s="3039"/>
      <c r="G9" s="3041"/>
      <c r="H9" s="3037"/>
      <c r="I9" s="3039"/>
      <c r="J9" s="3041"/>
      <c r="K9" s="3041"/>
      <c r="L9" s="3041"/>
      <c r="M9" s="3040" t="s">
        <v>106</v>
      </c>
      <c r="N9" t="s">
        <v>107</v>
      </c>
      <c r="O9" s="3041"/>
      <c r="P9" s="3041"/>
      <c r="Q9" s="3039"/>
      <c r="R9" s="3041"/>
      <c r="S9" s="3041"/>
      <c r="T9" s="3041"/>
      <c r="U9" s="3041"/>
      <c r="V9" s="3041"/>
      <c r="W9" s="1134" t="s">
        <v>105</v>
      </c>
      <c r="X9" s="87" t="s">
        <v>115</v>
      </c>
      <c r="Y9" s="87" t="s">
        <v>114</v>
      </c>
      <c r="Z9" s="3310"/>
      <c r="AA9" s="3041"/>
      <c r="AB9" s="1137" t="s">
        <v>109</v>
      </c>
      <c r="AC9" s="92" t="s">
        <v>107</v>
      </c>
      <c r="AD9" s="1137" t="s">
        <v>109</v>
      </c>
      <c r="AE9" s="92" t="s">
        <v>107</v>
      </c>
      <c r="AF9" s="1137" t="s">
        <v>109</v>
      </c>
      <c r="AG9" s="92" t="s">
        <v>107</v>
      </c>
      <c r="AH9" s="1137" t="s">
        <v>109</v>
      </c>
      <c r="AI9" s="92" t="s">
        <v>107</v>
      </c>
      <c r="AJ9" s="1137" t="s">
        <v>109</v>
      </c>
      <c r="AK9" s="92" t="s">
        <v>107</v>
      </c>
      <c r="AL9" s="1137" t="s">
        <v>109</v>
      </c>
      <c r="AM9" s="92" t="s">
        <v>107</v>
      </c>
      <c r="AN9" s="1137" t="s">
        <v>109</v>
      </c>
      <c r="AO9" s="92" t="s">
        <v>107</v>
      </c>
      <c r="AP9" s="1137" t="s">
        <v>109</v>
      </c>
      <c r="AQ9" s="92" t="s">
        <v>107</v>
      </c>
      <c r="AR9" s="1137" t="s">
        <v>109</v>
      </c>
      <c r="AS9" s="92" t="s">
        <v>107</v>
      </c>
      <c r="AT9" s="1137" t="s">
        <v>109</v>
      </c>
      <c r="AU9" s="92" t="s">
        <v>107</v>
      </c>
      <c r="AV9" s="1137" t="s">
        <v>109</v>
      </c>
      <c r="AW9" s="92" t="s">
        <v>107</v>
      </c>
      <c r="AX9" s="1137" t="s">
        <v>109</v>
      </c>
      <c r="AY9" s="92" t="s">
        <v>107</v>
      </c>
      <c r="AZ9"/>
      <c r="BA9"/>
      <c r="BB9"/>
      <c r="BC9"/>
      <c r="BD9" s="3031"/>
      <c r="BE9"/>
      <c r="BF9" s="1166" t="s">
        <v>106</v>
      </c>
      <c r="BG9" s="117" t="s">
        <v>107</v>
      </c>
      <c r="BH9" s="1166" t="s">
        <v>106</v>
      </c>
      <c r="BI9" s="117" t="s">
        <v>107</v>
      </c>
      <c r="BJ9" s="1164"/>
    </row>
    <row r="10" spans="1:62" s="4" customFormat="1" ht="15">
      <c r="A10" s="1139"/>
      <c r="B10" s="1138"/>
      <c r="C10" s="1139"/>
      <c r="D10" s="1139"/>
      <c r="E10" s="1138"/>
      <c r="F10" s="1139"/>
      <c r="G10" s="1139"/>
      <c r="H10" s="1138"/>
      <c r="I10" s="1139"/>
      <c r="J10" s="1139"/>
      <c r="K10" s="1138"/>
      <c r="L10" s="1135"/>
      <c r="M10" s="3042"/>
      <c r="N10"/>
      <c r="O10" s="1135"/>
      <c r="P10" s="3042"/>
      <c r="Q10" s="1720"/>
      <c r="R10" s="1138"/>
      <c r="S10" s="1138"/>
      <c r="T10" s="1721"/>
      <c r="U10" s="1721"/>
      <c r="V10" s="1720"/>
      <c r="W10" s="1135"/>
      <c r="X10" s="1182"/>
      <c r="Y10" s="1182"/>
      <c r="Z10" s="1165"/>
      <c r="AA10" s="1135"/>
      <c r="AB10" s="645"/>
      <c r="AC10" s="646"/>
      <c r="AD10" s="645"/>
      <c r="AE10" s="1722"/>
      <c r="AF10" s="1723"/>
      <c r="AG10" s="646"/>
      <c r="AH10" s="645"/>
      <c r="AI10" s="646"/>
      <c r="AJ10" s="645"/>
      <c r="AK10" s="646"/>
      <c r="AL10" s="645"/>
      <c r="AM10" s="646"/>
      <c r="AN10" s="645"/>
      <c r="AO10" s="646"/>
      <c r="AP10" s="645"/>
      <c r="AQ10" s="646"/>
      <c r="AR10" s="645"/>
      <c r="AS10" s="646"/>
      <c r="AT10" s="645"/>
      <c r="AU10" s="646"/>
      <c r="AV10" s="645"/>
      <c r="AW10" s="646"/>
      <c r="AX10" s="645"/>
      <c r="AY10" s="646"/>
      <c r="AZ10" s="1724"/>
      <c r="BA10" s="1888"/>
      <c r="BB10" s="1889"/>
      <c r="BC10" s="645"/>
      <c r="BD10" s="645"/>
      <c r="BE10" s="1724"/>
      <c r="BF10" s="1136"/>
      <c r="BG10" s="1725"/>
      <c r="BH10" s="1136"/>
      <c r="BI10" s="1725"/>
      <c r="BJ10" s="1165"/>
    </row>
    <row r="11" spans="1:62" s="2" customFormat="1" ht="25.5" customHeight="1">
      <c r="A11" s="1868">
        <v>1</v>
      </c>
      <c r="B11" s="61" t="s">
        <v>455</v>
      </c>
      <c r="C11" s="791"/>
      <c r="D11" s="45"/>
      <c r="E11" s="45"/>
      <c r="F11" s="45"/>
      <c r="G11" s="45"/>
      <c r="H11" s="45"/>
      <c r="I11" s="45"/>
      <c r="J11" s="45">
        <v>43</v>
      </c>
      <c r="K11" s="45"/>
      <c r="L11" s="45"/>
      <c r="M11" s="45"/>
      <c r="N11" s="326"/>
      <c r="O11" s="45"/>
      <c r="P11" s="45"/>
      <c r="Q11" s="46"/>
      <c r="R11" s="45"/>
      <c r="S11" s="47"/>
      <c r="T11" s="46"/>
      <c r="U11" s="46"/>
      <c r="V11" s="46"/>
      <c r="W11" s="47"/>
      <c r="X11" s="1201"/>
      <c r="Y11" s="1201"/>
      <c r="Z11" s="1726"/>
      <c r="AA11" s="47"/>
      <c r="AB11" s="45"/>
      <c r="AC11" s="326"/>
      <c r="AD11" s="45"/>
      <c r="AE11" s="326"/>
      <c r="AF11" s="45"/>
      <c r="AG11" s="326"/>
      <c r="AH11" s="45"/>
      <c r="AI11" s="326"/>
      <c r="AJ11" s="45"/>
      <c r="AK11" s="326"/>
      <c r="AL11" s="45"/>
      <c r="AM11" s="326"/>
      <c r="AN11" s="45"/>
      <c r="AO11" s="326"/>
      <c r="AP11" s="45"/>
      <c r="AQ11" s="326"/>
      <c r="AR11" s="45"/>
      <c r="AS11" s="326"/>
      <c r="AT11" s="45"/>
      <c r="AU11" s="326"/>
      <c r="AV11" s="45"/>
      <c r="AW11" s="326"/>
      <c r="AX11" s="45"/>
      <c r="AY11" s="326"/>
      <c r="AZ11" s="324"/>
      <c r="BA11" s="1890"/>
      <c r="BB11" s="1891"/>
      <c r="BC11" s="45"/>
      <c r="BD11" s="45"/>
      <c r="BE11" s="324"/>
      <c r="BF11" s="47"/>
      <c r="BG11" s="1201"/>
      <c r="BH11" s="47"/>
      <c r="BI11" s="1201"/>
      <c r="BJ11" s="57"/>
    </row>
    <row r="12" spans="1:62" s="2" customFormat="1" ht="24" customHeight="1">
      <c r="A12" s="1371"/>
      <c r="B12" s="1860"/>
      <c r="C12" s="1861"/>
      <c r="D12" s="547">
        <v>1</v>
      </c>
      <c r="E12" s="547" t="s">
        <v>1652</v>
      </c>
      <c r="F12" s="547"/>
      <c r="G12" s="48"/>
      <c r="H12" s="48"/>
      <c r="I12" s="48"/>
      <c r="J12" s="48"/>
      <c r="K12" s="48"/>
      <c r="L12" s="48"/>
      <c r="M12" s="48"/>
      <c r="N12" s="170"/>
      <c r="O12" s="48"/>
      <c r="P12" s="48"/>
      <c r="Q12" s="49"/>
      <c r="R12" s="48"/>
      <c r="S12" s="50"/>
      <c r="T12" s="49"/>
      <c r="U12" s="49"/>
      <c r="V12" s="49"/>
      <c r="W12" s="50"/>
      <c r="X12" s="796"/>
      <c r="Y12" s="796"/>
      <c r="Z12" s="797"/>
      <c r="AA12" s="50"/>
      <c r="AB12" s="48"/>
      <c r="AC12" s="170"/>
      <c r="AD12" s="48"/>
      <c r="AE12" s="170"/>
      <c r="AF12" s="48"/>
      <c r="AG12" s="170"/>
      <c r="AH12" s="48"/>
      <c r="AI12" s="170"/>
      <c r="AJ12" s="48"/>
      <c r="AK12" s="170"/>
      <c r="AL12" s="48"/>
      <c r="AM12" s="170"/>
      <c r="AN12" s="48"/>
      <c r="AO12" s="170"/>
      <c r="AP12" s="48"/>
      <c r="AQ12" s="170"/>
      <c r="AR12" s="48"/>
      <c r="AS12" s="170"/>
      <c r="AT12" s="48"/>
      <c r="AU12" s="170"/>
      <c r="AV12" s="48"/>
      <c r="AW12" s="170"/>
      <c r="AX12" s="48"/>
      <c r="AY12" s="170"/>
      <c r="AZ12" s="132"/>
      <c r="BA12" s="1892"/>
      <c r="BB12" s="1893"/>
      <c r="BC12" s="48"/>
      <c r="BD12" s="48"/>
      <c r="BE12" s="132"/>
      <c r="BF12" s="50"/>
      <c r="BG12" s="796"/>
      <c r="BH12" s="50"/>
      <c r="BI12" s="796"/>
      <c r="BJ12" s="60"/>
    </row>
    <row r="13" spans="1:62" s="2" customFormat="1" ht="30" customHeight="1" thickBot="1">
      <c r="A13" s="1241"/>
      <c r="B13" s="545"/>
      <c r="C13" s="545"/>
      <c r="D13" s="1371"/>
      <c r="E13" s="1243"/>
      <c r="F13" s="1244"/>
      <c r="G13" s="1869">
        <v>1</v>
      </c>
      <c r="H13" s="819" t="s">
        <v>1653</v>
      </c>
      <c r="I13" s="819"/>
      <c r="J13" s="1835"/>
      <c r="K13" s="1835"/>
      <c r="L13" s="52"/>
      <c r="M13" s="52"/>
      <c r="N13" s="1117"/>
      <c r="O13" s="52"/>
      <c r="P13" s="52"/>
      <c r="Q13" s="53"/>
      <c r="R13" s="52"/>
      <c r="S13" s="54"/>
      <c r="T13" s="53"/>
      <c r="U13" s="53"/>
      <c r="V13" s="53"/>
      <c r="W13" s="54"/>
      <c r="X13" s="1343"/>
      <c r="Y13" s="1343"/>
      <c r="Z13" s="1727"/>
      <c r="AA13" s="54"/>
      <c r="AB13" s="52"/>
      <c r="AC13" s="1117"/>
      <c r="AD13" s="52"/>
      <c r="AE13" s="1117"/>
      <c r="AF13" s="52"/>
      <c r="AG13" s="1117"/>
      <c r="AH13" s="52"/>
      <c r="AI13" s="1117"/>
      <c r="AJ13" s="52"/>
      <c r="AK13" s="1117"/>
      <c r="AL13" s="52"/>
      <c r="AM13" s="1117"/>
      <c r="AN13" s="52"/>
      <c r="AO13" s="1117"/>
      <c r="AP13" s="52"/>
      <c r="AQ13" s="1117"/>
      <c r="AR13" s="52"/>
      <c r="AS13" s="1117"/>
      <c r="AT13" s="52"/>
      <c r="AU13" s="1117"/>
      <c r="AV13" s="52"/>
      <c r="AW13" s="1117"/>
      <c r="AX13" s="52"/>
      <c r="AY13" s="1117"/>
      <c r="AZ13" s="1728"/>
      <c r="BA13" s="1894"/>
      <c r="BB13" s="1895"/>
      <c r="BC13" s="52"/>
      <c r="BD13" s="52"/>
      <c r="BE13" s="1728"/>
      <c r="BF13" s="54"/>
      <c r="BG13" s="1343"/>
      <c r="BH13" s="54"/>
      <c r="BI13" s="1343"/>
      <c r="BJ13" s="65"/>
    </row>
    <row r="14" spans="1:62" ht="71.25" customHeight="1">
      <c r="A14" s="1241"/>
      <c r="B14" s="545"/>
      <c r="C14" s="545"/>
      <c r="D14" s="1241"/>
      <c r="E14" s="545"/>
      <c r="F14" s="1242"/>
      <c r="G14" s="545"/>
      <c r="H14" s="545"/>
      <c r="I14" s="545"/>
      <c r="J14" s="1280">
        <v>1</v>
      </c>
      <c r="K14" s="1734" t="s">
        <v>1654</v>
      </c>
      <c r="L14" s="1133" t="s">
        <v>37</v>
      </c>
      <c r="M14" s="1280">
        <v>1</v>
      </c>
      <c r="N14" s="2591">
        <v>0.7</v>
      </c>
      <c r="O14" s="3012" t="s">
        <v>1655</v>
      </c>
      <c r="P14" s="3012">
        <v>64</v>
      </c>
      <c r="Q14" s="3359" t="s">
        <v>1656</v>
      </c>
      <c r="R14" s="504">
        <f>W14/$S$14</f>
        <v>0.42857142857142855</v>
      </c>
      <c r="S14">
        <v>70000000</v>
      </c>
      <c r="T14" s="3359" t="s">
        <v>1657</v>
      </c>
      <c r="U14" s="1730" t="s">
        <v>1658</v>
      </c>
      <c r="V14" s="1731" t="s">
        <v>1659</v>
      </c>
      <c r="W14" s="1732">
        <v>30000000</v>
      </c>
      <c r="X14" s="1883">
        <v>19550000</v>
      </c>
      <c r="Y14" s="707">
        <v>19550000</v>
      </c>
      <c r="Z14" s="1733">
        <v>20</v>
      </c>
      <c r="AA14" s="1133" t="s">
        <v>128</v>
      </c>
      <c r="AB14">
        <v>7824</v>
      </c>
      <c r="AC14"/>
      <c r="AD14" t="s">
        <v>1660</v>
      </c>
      <c r="AE14"/>
      <c r="AF14">
        <v>3361</v>
      </c>
      <c r="AG14"/>
      <c r="AH14">
        <v>39432</v>
      </c>
      <c r="AI14">
        <v>39432</v>
      </c>
      <c r="AJ14"/>
      <c r="AK14" s="2039"/>
      <c r="AL14">
        <v>9933</v>
      </c>
      <c r="AM14"/>
      <c r="AN14"/>
      <c r="AO14"/>
      <c r="AP14"/>
      <c r="AQ14"/>
      <c r="AR14"/>
      <c r="AS14"/>
      <c r="AT14"/>
      <c r="AU14"/>
      <c r="AV14"/>
      <c r="AW14"/>
      <c r="AX14"/>
      <c r="AY14"/>
      <c r="AZ14">
        <v>6</v>
      </c>
      <c r="BA14">
        <v>41730000</v>
      </c>
      <c r="BB14">
        <v>41730000</v>
      </c>
      <c r="BC14" s="3403">
        <f>BB14/BA14</f>
        <v>1</v>
      </c>
      <c r="BD14" s="3012">
        <v>20</v>
      </c>
      <c r="BE14" s="1916"/>
      <c r="BF14" s="3385">
        <v>42653</v>
      </c>
      <c r="BG14" s="2992">
        <v>42684</v>
      </c>
      <c r="BH14" s="3385">
        <v>42724</v>
      </c>
      <c r="BI14" s="2992">
        <v>42724</v>
      </c>
      <c r="BJ14" s="3409" t="s">
        <v>1661</v>
      </c>
    </row>
    <row r="15" spans="1:62" ht="75" customHeight="1">
      <c r="A15" s="1241"/>
      <c r="B15" s="545"/>
      <c r="C15" s="545"/>
      <c r="D15" s="1241"/>
      <c r="E15" s="545"/>
      <c r="F15" s="1242"/>
      <c r="G15" s="545"/>
      <c r="H15" s="545"/>
      <c r="I15" s="545"/>
      <c r="J15" s="1280">
        <v>2</v>
      </c>
      <c r="K15" s="1734" t="s">
        <v>1662</v>
      </c>
      <c r="L15" s="1132" t="s">
        <v>37</v>
      </c>
      <c r="M15" s="1121">
        <v>4</v>
      </c>
      <c r="N15" s="679">
        <v>2</v>
      </c>
      <c r="O15" s="3013"/>
      <c r="P15" s="3013"/>
      <c r="Q15" s="3360"/>
      <c r="R15" s="504">
        <f>W15/$S$14</f>
        <v>0.14285714285714285</v>
      </c>
      <c r="S15"/>
      <c r="T15" s="3360"/>
      <c r="U15" s="1730" t="s">
        <v>1663</v>
      </c>
      <c r="V15" s="1731" t="s">
        <v>1664</v>
      </c>
      <c r="W15" s="1732">
        <v>10000000</v>
      </c>
      <c r="X15" s="1883">
        <v>2415000</v>
      </c>
      <c r="Y15" s="707">
        <v>2415000</v>
      </c>
      <c r="Z15" s="1733">
        <v>20</v>
      </c>
      <c r="AA15" s="1132" t="s">
        <v>128</v>
      </c>
      <c r="AB15"/>
      <c r="AC15"/>
      <c r="AD15"/>
      <c r="AE15"/>
      <c r="AF15"/>
      <c r="AG15"/>
      <c r="AH15"/>
      <c r="AI15"/>
      <c r="AJ15"/>
      <c r="AK15" s="2040"/>
      <c r="AL15"/>
      <c r="AM15"/>
      <c r="AN15"/>
      <c r="AO15"/>
      <c r="AP15"/>
      <c r="AQ15"/>
      <c r="AR15"/>
      <c r="AS15"/>
      <c r="AT15"/>
      <c r="AU15"/>
      <c r="AV15"/>
      <c r="AW15"/>
      <c r="AX15"/>
      <c r="AY15"/>
      <c r="AZ15"/>
      <c r="BA15"/>
      <c r="BB15"/>
      <c r="BC15" s="3544"/>
      <c r="BD15" s="3013"/>
      <c r="BE15" s="1735"/>
      <c r="BF15" s="3386"/>
      <c r="BG15" s="2993"/>
      <c r="BH15" s="3386"/>
      <c r="BI15" s="2993"/>
      <c r="BJ15"/>
    </row>
    <row r="16" spans="1:62" ht="103.5" customHeight="1">
      <c r="A16" s="1241"/>
      <c r="B16" s="545"/>
      <c r="C16" s="545"/>
      <c r="D16" s="1241"/>
      <c r="E16" s="545"/>
      <c r="F16" s="1242"/>
      <c r="G16" s="545"/>
      <c r="H16" s="545"/>
      <c r="I16" s="545"/>
      <c r="J16" s="1280">
        <v>3</v>
      </c>
      <c r="K16" s="1734" t="s">
        <v>1665</v>
      </c>
      <c r="L16" s="1132" t="s">
        <v>37</v>
      </c>
      <c r="M16" s="1121">
        <v>1</v>
      </c>
      <c r="N16" s="679" t="s">
        <v>1666</v>
      </c>
      <c r="O16" s="3013"/>
      <c r="P16" s="3013"/>
      <c r="Q16" s="3360"/>
      <c r="R16" s="504">
        <f>W16/$S$14</f>
        <v>0.21428571428571427</v>
      </c>
      <c r="S16"/>
      <c r="T16" s="3360"/>
      <c r="U16" s="1730" t="s">
        <v>1667</v>
      </c>
      <c r="V16" s="1731" t="s">
        <v>1668</v>
      </c>
      <c r="W16" s="1732">
        <v>15000000</v>
      </c>
      <c r="X16" s="1883">
        <v>13850000</v>
      </c>
      <c r="Y16" s="707">
        <v>13850000</v>
      </c>
      <c r="Z16" s="1733">
        <v>20</v>
      </c>
      <c r="AA16" s="1132" t="s">
        <v>128</v>
      </c>
      <c r="AB16"/>
      <c r="AC16"/>
      <c r="AD16"/>
      <c r="AE16"/>
      <c r="AF16"/>
      <c r="AG16"/>
      <c r="AH16"/>
      <c r="AI16"/>
      <c r="AJ16"/>
      <c r="AK16" s="2040"/>
      <c r="AL16"/>
      <c r="AM16"/>
      <c r="AN16"/>
      <c r="AO16"/>
      <c r="AP16"/>
      <c r="AQ16"/>
      <c r="AR16"/>
      <c r="AS16"/>
      <c r="AT16"/>
      <c r="AU16"/>
      <c r="AV16"/>
      <c r="AW16"/>
      <c r="AX16"/>
      <c r="AY16"/>
      <c r="AZ16"/>
      <c r="BA16"/>
      <c r="BB16"/>
      <c r="BC16" s="3544"/>
      <c r="BD16" s="3013"/>
      <c r="BE16" s="1123" t="s">
        <v>1669</v>
      </c>
      <c r="BF16" s="3386"/>
      <c r="BG16" s="2993"/>
      <c r="BH16" s="3386"/>
      <c r="BI16" s="2993"/>
      <c r="BJ16"/>
    </row>
    <row r="17" spans="1:62" s="4" customFormat="1" ht="104.25" customHeight="1" thickBot="1">
      <c r="A17" s="1241"/>
      <c r="B17" s="545"/>
      <c r="C17" s="545"/>
      <c r="D17" s="1241"/>
      <c r="E17" s="545"/>
      <c r="F17" s="1242"/>
      <c r="G17" s="545"/>
      <c r="H17" s="545"/>
      <c r="I17" s="545"/>
      <c r="J17" s="1280">
        <v>6</v>
      </c>
      <c r="K17" s="1734" t="s">
        <v>1670</v>
      </c>
      <c r="L17" s="1132" t="s">
        <v>37</v>
      </c>
      <c r="M17" s="1121">
        <v>12</v>
      </c>
      <c r="N17" s="1158">
        <v>2</v>
      </c>
      <c r="O17" s="3014"/>
      <c r="P17" s="3014"/>
      <c r="Q17" s="3361"/>
      <c r="R17" s="504">
        <f>W17/$S$14</f>
        <v>0.21428571428571427</v>
      </c>
      <c r="S17"/>
      <c r="T17" s="3361"/>
      <c r="U17" s="1730" t="s">
        <v>1671</v>
      </c>
      <c r="V17" s="1731" t="s">
        <v>1672</v>
      </c>
      <c r="W17" s="1732">
        <v>15000000</v>
      </c>
      <c r="X17" s="1883">
        <v>5915000</v>
      </c>
      <c r="Y17" s="707">
        <v>5915000</v>
      </c>
      <c r="Z17" s="1733">
        <v>20</v>
      </c>
      <c r="AA17" s="1133" t="s">
        <v>128</v>
      </c>
      <c r="AB17"/>
      <c r="AC17"/>
      <c r="AD17"/>
      <c r="AE17"/>
      <c r="AF17"/>
      <c r="AG17"/>
      <c r="AH17"/>
      <c r="AI17"/>
      <c r="AJ17"/>
      <c r="AK17" s="2041"/>
      <c r="AL17"/>
      <c r="AM17"/>
      <c r="AN17"/>
      <c r="AO17"/>
      <c r="AP17"/>
      <c r="AQ17"/>
      <c r="AR17"/>
      <c r="AS17"/>
      <c r="AT17"/>
      <c r="AU17"/>
      <c r="AV17"/>
      <c r="AW17"/>
      <c r="AX17"/>
      <c r="AY17"/>
      <c r="AZ17"/>
      <c r="BA17"/>
      <c r="BB17"/>
      <c r="BC17" s="3404"/>
      <c r="BD17" s="3014"/>
      <c r="BE17" s="1917"/>
      <c r="BF17" s="3387"/>
      <c r="BG17" s="2994"/>
      <c r="BH17" s="3387"/>
      <c r="BI17" s="2994"/>
      <c r="BJ17" s="3410"/>
    </row>
    <row r="18" spans="1:62" s="4" customFormat="1" ht="150" customHeight="1" thickTop="1">
      <c r="A18" s="1183"/>
      <c r="B18" s="1184"/>
      <c r="C18" s="1184"/>
      <c r="D18" s="1183"/>
      <c r="E18" s="1184"/>
      <c r="F18" s="1185"/>
      <c r="G18" s="1184"/>
      <c r="H18" s="1184"/>
      <c r="I18" s="1184"/>
      <c r="J18" s="1280">
        <v>5</v>
      </c>
      <c r="K18" s="1119" t="s">
        <v>1673</v>
      </c>
      <c r="L18" s="1133" t="s">
        <v>37</v>
      </c>
      <c r="M18" s="1121">
        <v>1</v>
      </c>
      <c r="N18" s="679">
        <v>1</v>
      </c>
      <c r="O18" s="1133" t="s">
        <v>1674</v>
      </c>
      <c r="P18" s="1133">
        <v>65</v>
      </c>
      <c r="Q18" s="1296" t="s">
        <v>1675</v>
      </c>
      <c r="R18" s="504">
        <v>1</v>
      </c>
      <c r="S18" s="1738">
        <v>5000000</v>
      </c>
      <c r="T18" s="1178" t="s">
        <v>1676</v>
      </c>
      <c r="U18" s="1296" t="s">
        <v>1677</v>
      </c>
      <c r="V18" s="1296" t="s">
        <v>1678</v>
      </c>
      <c r="W18" s="1738">
        <v>5000000</v>
      </c>
      <c r="X18" s="1883">
        <v>5000000</v>
      </c>
      <c r="Y18" s="707">
        <v>5000000</v>
      </c>
      <c r="Z18" s="1733">
        <v>20</v>
      </c>
      <c r="AA18" s="1133" t="s">
        <v>128</v>
      </c>
      <c r="AB18" s="1739"/>
      <c r="AC18" s="1740"/>
      <c r="AD18" s="1739"/>
      <c r="AE18" s="1740"/>
      <c r="AF18" s="1739"/>
      <c r="AG18" s="1740"/>
      <c r="AH18" s="1739"/>
      <c r="AI18" s="1740"/>
      <c r="AJ18" s="1739">
        <v>174</v>
      </c>
      <c r="AK18" s="1740">
        <v>174</v>
      </c>
      <c r="AL18" s="1739">
        <v>24</v>
      </c>
      <c r="AM18" s="1740">
        <v>24</v>
      </c>
      <c r="AN18" s="1739"/>
      <c r="AO18" s="2042"/>
      <c r="AP18" s="2043"/>
      <c r="AQ18" s="2042"/>
      <c r="AR18" s="2043"/>
      <c r="AS18" s="2042"/>
      <c r="AT18" s="2043"/>
      <c r="AU18" s="2042"/>
      <c r="AV18" s="2043"/>
      <c r="AW18" s="2042"/>
      <c r="AX18" s="2043"/>
      <c r="AY18" s="1741"/>
      <c r="AZ18" s="1129">
        <v>1</v>
      </c>
      <c r="BA18" s="1896">
        <v>5000000</v>
      </c>
      <c r="BB18" s="1897">
        <v>5000000</v>
      </c>
      <c r="BC18" s="1742">
        <f>+X18/W18</f>
        <v>1</v>
      </c>
      <c r="BD18" s="1133">
        <v>20</v>
      </c>
      <c r="BE18" s="1743" t="s">
        <v>1669</v>
      </c>
      <c r="BF18" s="1339">
        <v>42653</v>
      </c>
      <c r="BG18" s="1744">
        <v>42653</v>
      </c>
      <c r="BH18" s="1744">
        <v>42724</v>
      </c>
      <c r="BI18" s="1744">
        <v>42724</v>
      </c>
      <c r="BJ18" s="1186" t="s">
        <v>1661</v>
      </c>
    </row>
    <row r="19" spans="1:62" s="4" customFormat="1" ht="302.25" customHeight="1">
      <c r="A19" s="1183"/>
      <c r="B19" s="1184"/>
      <c r="C19" s="1184"/>
      <c r="D19" s="1183"/>
      <c r="E19" s="1184"/>
      <c r="F19" s="1185"/>
      <c r="G19" s="545"/>
      <c r="H19" s="545"/>
      <c r="I19" s="545"/>
      <c r="J19" s="1280">
        <v>5</v>
      </c>
      <c r="K19" s="1119" t="s">
        <v>1673</v>
      </c>
      <c r="L19" s="1133" t="s">
        <v>37</v>
      </c>
      <c r="M19" s="1121">
        <v>1</v>
      </c>
      <c r="N19" s="679">
        <v>1</v>
      </c>
      <c r="O19" s="1133" t="s">
        <v>1679</v>
      </c>
      <c r="P19" s="1133">
        <v>66</v>
      </c>
      <c r="Q19" s="1296" t="s">
        <v>1680</v>
      </c>
      <c r="R19" s="504">
        <v>1</v>
      </c>
      <c r="S19" s="1745">
        <v>5000000</v>
      </c>
      <c r="T19" s="1178" t="s">
        <v>1681</v>
      </c>
      <c r="U19" s="1296" t="s">
        <v>1682</v>
      </c>
      <c r="V19" s="1296" t="s">
        <v>1683</v>
      </c>
      <c r="W19" s="1738">
        <v>5000000</v>
      </c>
      <c r="X19" s="1883">
        <v>5000000</v>
      </c>
      <c r="Y19" s="707">
        <v>5000000</v>
      </c>
      <c r="Z19" s="1733">
        <v>20</v>
      </c>
      <c r="AA19" s="1133" t="s">
        <v>128</v>
      </c>
      <c r="AB19" s="2044">
        <v>2532</v>
      </c>
      <c r="AC19" s="1740">
        <v>2532</v>
      </c>
      <c r="AD19" s="2044">
        <v>6725</v>
      </c>
      <c r="AE19" s="1740">
        <v>6725.124169719125</v>
      </c>
      <c r="AF19" s="2044">
        <v>3465</v>
      </c>
      <c r="AG19" s="1740">
        <v>3465.4172489727184</v>
      </c>
      <c r="AH19" s="2044">
        <v>39432</v>
      </c>
      <c r="AI19" s="1740">
        <v>20633</v>
      </c>
      <c r="AJ19" s="2044"/>
      <c r="AK19" s="1740"/>
      <c r="AL19" s="2044">
        <v>4899</v>
      </c>
      <c r="AM19" s="1740">
        <v>4899.264347757252</v>
      </c>
      <c r="AN19" s="1739"/>
      <c r="AO19" s="2042"/>
      <c r="AP19" s="2043"/>
      <c r="AQ19" s="2042"/>
      <c r="AR19" s="2043"/>
      <c r="AS19" s="2042"/>
      <c r="AT19" s="2043"/>
      <c r="AU19" s="2042"/>
      <c r="AV19" s="2043"/>
      <c r="AW19" s="2042"/>
      <c r="AX19" s="2043"/>
      <c r="AY19" s="1741"/>
      <c r="AZ19" s="1129">
        <v>1</v>
      </c>
      <c r="BA19" s="1896">
        <v>5000000</v>
      </c>
      <c r="BB19" s="1897">
        <v>5000000</v>
      </c>
      <c r="BC19" s="1742">
        <f>+X19/W19</f>
        <v>1</v>
      </c>
      <c r="BD19" s="1133">
        <v>20</v>
      </c>
      <c r="BE19" s="1743" t="s">
        <v>1669</v>
      </c>
      <c r="BF19" s="1339">
        <v>42653</v>
      </c>
      <c r="BG19" s="1744">
        <v>42653</v>
      </c>
      <c r="BH19" s="1339">
        <v>42724</v>
      </c>
      <c r="BI19" s="1744">
        <v>42724</v>
      </c>
      <c r="BJ19" s="1186" t="s">
        <v>1661</v>
      </c>
    </row>
    <row r="20" spans="1:62" s="4" customFormat="1" ht="40.5" customHeight="1">
      <c r="A20" s="1241"/>
      <c r="B20" s="545"/>
      <c r="C20" s="545"/>
      <c r="D20" s="1241"/>
      <c r="E20" s="545"/>
      <c r="F20" s="1242"/>
      <c r="G20" s="1869">
        <v>2</v>
      </c>
      <c r="H20" s="819" t="s">
        <v>1684</v>
      </c>
      <c r="I20" s="663"/>
      <c r="J20" s="1746"/>
      <c r="K20" s="1747"/>
      <c r="L20" s="1364"/>
      <c r="M20" s="1364"/>
      <c r="N20" s="1748"/>
      <c r="O20" s="1749"/>
      <c r="P20" s="1749"/>
      <c r="Q20" s="1365"/>
      <c r="R20" s="1364"/>
      <c r="S20" s="1366"/>
      <c r="T20" s="1365"/>
      <c r="U20" s="1365"/>
      <c r="V20" s="1365"/>
      <c r="W20" s="1366"/>
      <c r="X20" s="1367"/>
      <c r="Y20" s="1367"/>
      <c r="Z20" s="1750"/>
      <c r="AA20" s="1364"/>
      <c r="AB20" s="1364"/>
      <c r="AC20" s="1748"/>
      <c r="AD20" s="1364"/>
      <c r="AE20" s="1748"/>
      <c r="AF20" s="1364"/>
      <c r="AG20" s="1748"/>
      <c r="AH20" s="1364"/>
      <c r="AI20" s="1748"/>
      <c r="AJ20" s="1364"/>
      <c r="AK20" s="1748"/>
      <c r="AL20" s="1364"/>
      <c r="AM20" s="1748"/>
      <c r="AN20" s="1364"/>
      <c r="AO20" s="1748"/>
      <c r="AP20" s="1364"/>
      <c r="AQ20" s="1748"/>
      <c r="AR20" s="1364"/>
      <c r="AS20" s="1748"/>
      <c r="AT20" s="1364"/>
      <c r="AU20" s="1748"/>
      <c r="AV20" s="1364"/>
      <c r="AW20" s="1748"/>
      <c r="AX20" s="1364"/>
      <c r="AY20" s="1748"/>
      <c r="AZ20" s="1751"/>
      <c r="BA20" s="1898"/>
      <c r="BB20" s="1899"/>
      <c r="BC20" s="1364"/>
      <c r="BD20" s="1364"/>
      <c r="BE20" s="1751"/>
      <c r="BF20" s="1364"/>
      <c r="BG20" s="1748"/>
      <c r="BH20" s="1364"/>
      <c r="BI20" s="1748"/>
      <c r="BJ20" s="1752"/>
    </row>
    <row r="21" spans="1:62" s="4" customFormat="1" ht="146.25" customHeight="1">
      <c r="A21" s="1241"/>
      <c r="B21" s="545"/>
      <c r="C21" s="545"/>
      <c r="D21" s="1241"/>
      <c r="E21" s="545"/>
      <c r="F21" s="1242"/>
      <c r="G21" s="545"/>
      <c r="H21" s="545"/>
      <c r="I21" s="545"/>
      <c r="J21" s="1280">
        <v>8</v>
      </c>
      <c r="K21" s="1729" t="s">
        <v>1685</v>
      </c>
      <c r="L21" s="1132" t="s">
        <v>37</v>
      </c>
      <c r="M21" s="2631">
        <v>2</v>
      </c>
      <c r="N21" s="2625">
        <v>2</v>
      </c>
      <c r="O21" s="3013" t="s">
        <v>1686</v>
      </c>
      <c r="P21" s="3012">
        <v>67</v>
      </c>
      <c r="Q21" s="3360" t="s">
        <v>1687</v>
      </c>
      <c r="R21" s="1753">
        <f>W21/(S21+S22)</f>
        <v>0.7916666666666666</v>
      </c>
      <c r="S21" s="1754">
        <v>47500000</v>
      </c>
      <c r="T21" s="3360" t="s">
        <v>1688</v>
      </c>
      <c r="U21" s="1755" t="s">
        <v>1689</v>
      </c>
      <c r="V21" s="1171" t="s">
        <v>1690</v>
      </c>
      <c r="W21" s="1754">
        <v>47500000</v>
      </c>
      <c r="X21" s="1883">
        <v>18353333</v>
      </c>
      <c r="Y21" s="1883">
        <v>18353333</v>
      </c>
      <c r="Z21" s="1733">
        <v>20</v>
      </c>
      <c r="AA21" s="1131" t="s">
        <v>128</v>
      </c>
      <c r="AB21">
        <v>48934</v>
      </c>
      <c r="AC21"/>
      <c r="AD21">
        <v>48962</v>
      </c>
      <c r="AE21"/>
      <c r="AF21">
        <v>53351</v>
      </c>
      <c r="AG21"/>
      <c r="AH21">
        <v>58000</v>
      </c>
      <c r="AI21"/>
      <c r="AJ21">
        <v>82316</v>
      </c>
      <c r="AK21"/>
      <c r="AL21">
        <v>30825</v>
      </c>
      <c r="AM21"/>
      <c r="AN21"/>
      <c r="AO21"/>
      <c r="AP21"/>
      <c r="AQ21"/>
      <c r="AR21"/>
      <c r="AS21"/>
      <c r="AT21"/>
      <c r="AU21"/>
      <c r="AV21"/>
      <c r="AW21"/>
      <c r="AX21"/>
      <c r="AY21"/>
      <c r="AZ21">
        <v>6</v>
      </c>
      <c r="BA21">
        <v>30853333</v>
      </c>
      <c r="BB21">
        <v>30853333</v>
      </c>
      <c r="BC21">
        <f>BB21/BA21</f>
        <v>1</v>
      </c>
      <c r="BD21">
        <v>20</v>
      </c>
      <c r="BE21" s="2949" t="s">
        <v>1669</v>
      </c>
      <c r="BF21" s="2992">
        <v>42627</v>
      </c>
      <c r="BG21" s="2992">
        <v>42627</v>
      </c>
      <c r="BH21" s="3385">
        <v>42724</v>
      </c>
      <c r="BI21" s="2992">
        <v>42724</v>
      </c>
      <c r="BJ21" t="s">
        <v>1691</v>
      </c>
    </row>
    <row r="22" spans="1:62" s="4" customFormat="1" ht="120.75" customHeight="1">
      <c r="A22" s="1241"/>
      <c r="B22" s="545"/>
      <c r="C22" s="545"/>
      <c r="D22" s="1241"/>
      <c r="E22" s="545"/>
      <c r="F22" s="1242"/>
      <c r="G22" s="545"/>
      <c r="H22" s="545"/>
      <c r="I22" s="545"/>
      <c r="J22" s="1280">
        <v>7</v>
      </c>
      <c r="K22" s="1167" t="s">
        <v>1692</v>
      </c>
      <c r="L22" s="1130" t="s">
        <v>37</v>
      </c>
      <c r="M22" s="1287">
        <v>1</v>
      </c>
      <c r="N22" s="2556">
        <v>0.5</v>
      </c>
      <c r="O22" s="3013"/>
      <c r="P22" s="3014"/>
      <c r="Q22" s="3360"/>
      <c r="R22" s="1753">
        <f>W22/(S21+S22)</f>
        <v>0.20833333333333334</v>
      </c>
      <c r="S22" s="1756">
        <v>12500000</v>
      </c>
      <c r="T22" s="3355"/>
      <c r="U22" s="1731" t="s">
        <v>1693</v>
      </c>
      <c r="V22" s="1168" t="s">
        <v>1694</v>
      </c>
      <c r="W22" s="1756">
        <v>12500000</v>
      </c>
      <c r="X22" s="1883">
        <v>12500000</v>
      </c>
      <c r="Y22" s="1883">
        <v>12500000</v>
      </c>
      <c r="Z22" s="1757">
        <v>20</v>
      </c>
      <c r="AA22" s="1130" t="s">
        <v>128</v>
      </c>
      <c r="AB22"/>
      <c r="AC22"/>
      <c r="AD22"/>
      <c r="AE22"/>
      <c r="AF22"/>
      <c r="AG22"/>
      <c r="AH22"/>
      <c r="AI22"/>
      <c r="AJ22"/>
      <c r="AK22"/>
      <c r="AL22"/>
      <c r="AM22"/>
      <c r="AN22"/>
      <c r="AO22"/>
      <c r="AP22"/>
      <c r="AQ22"/>
      <c r="AR22"/>
      <c r="AS22"/>
      <c r="AT22"/>
      <c r="AU22"/>
      <c r="AV22"/>
      <c r="AW22"/>
      <c r="AX22"/>
      <c r="AY22"/>
      <c r="AZ22"/>
      <c r="BA22"/>
      <c r="BB22"/>
      <c r="BC22"/>
      <c r="BD22"/>
      <c r="BE22" s="2951"/>
      <c r="BF22" s="2994"/>
      <c r="BG22" s="2994"/>
      <c r="BH22" s="3387"/>
      <c r="BI22" s="2994"/>
      <c r="BJ22"/>
    </row>
    <row r="23" spans="1:62" s="4" customFormat="1" ht="15">
      <c r="A23" s="1241"/>
      <c r="B23" s="545"/>
      <c r="C23" s="545"/>
      <c r="D23" s="1241"/>
      <c r="E23" s="545"/>
      <c r="F23" s="1242"/>
      <c r="G23" s="1869">
        <v>3</v>
      </c>
      <c r="H23" s="819" t="s">
        <v>1695</v>
      </c>
      <c r="I23" s="819"/>
      <c r="J23" s="819"/>
      <c r="K23" s="1758"/>
      <c r="L23" s="51"/>
      <c r="M23" s="51"/>
      <c r="N23" s="475"/>
      <c r="O23" s="1759"/>
      <c r="P23" s="1759"/>
      <c r="Q23" s="476"/>
      <c r="R23" s="51"/>
      <c r="S23" s="1215"/>
      <c r="T23" s="476"/>
      <c r="U23" s="476"/>
      <c r="V23" s="476"/>
      <c r="W23" s="1215"/>
      <c r="X23" s="799"/>
      <c r="Y23" s="799"/>
      <c r="Z23" s="800"/>
      <c r="AA23" s="51"/>
      <c r="AB23" s="51"/>
      <c r="AC23" s="475"/>
      <c r="AD23" s="51"/>
      <c r="AE23" s="475"/>
      <c r="AF23" s="51"/>
      <c r="AG23" s="475"/>
      <c r="AH23" s="51"/>
      <c r="AI23" s="475"/>
      <c r="AJ23" s="51"/>
      <c r="AK23" s="475"/>
      <c r="AL23" s="51"/>
      <c r="AM23" s="475"/>
      <c r="AN23" s="51"/>
      <c r="AO23" s="475"/>
      <c r="AP23" s="51"/>
      <c r="AQ23" s="475"/>
      <c r="AR23" s="51"/>
      <c r="AS23" s="475"/>
      <c r="AT23" s="51"/>
      <c r="AU23" s="475"/>
      <c r="AV23" s="51"/>
      <c r="AW23" s="475"/>
      <c r="AX23" s="51"/>
      <c r="AY23" s="475"/>
      <c r="AZ23" s="1760"/>
      <c r="BA23" s="1900"/>
      <c r="BB23" s="1901"/>
      <c r="BC23" s="51"/>
      <c r="BD23" s="51"/>
      <c r="BE23" s="1760"/>
      <c r="BF23" s="51"/>
      <c r="BG23" s="475"/>
      <c r="BH23" s="51"/>
      <c r="BI23" s="475"/>
      <c r="BJ23" s="801"/>
    </row>
    <row r="24" spans="1:62" s="4" customFormat="1" ht="72.75" customHeight="1">
      <c r="A24" s="1183"/>
      <c r="B24" s="545"/>
      <c r="C24" s="545"/>
      <c r="D24" s="1183"/>
      <c r="E24" s="545"/>
      <c r="F24" s="1242"/>
      <c r="G24" s="1184"/>
      <c r="H24" s="545"/>
      <c r="I24" s="545"/>
      <c r="J24">
        <v>14</v>
      </c>
      <c r="K24" t="s">
        <v>1696</v>
      </c>
      <c r="L24" s="3348" t="s">
        <v>37</v>
      </c>
      <c r="M24" s="3395">
        <v>6</v>
      </c>
      <c r="N24">
        <v>6</v>
      </c>
      <c r="O24" s="3012" t="s">
        <v>1697</v>
      </c>
      <c r="P24" s="3012">
        <v>68</v>
      </c>
      <c r="Q24" s="3359" t="s">
        <v>1698</v>
      </c>
      <c r="R24" s="3403">
        <f>(W24+W25+W26+W27+W28)/S24</f>
        <v>1</v>
      </c>
      <c r="S24">
        <v>483489550</v>
      </c>
      <c r="T24" s="3359" t="s">
        <v>1688</v>
      </c>
      <c r="U24" s="3359" t="s">
        <v>1699</v>
      </c>
      <c r="V24" s="1178" t="s">
        <v>1700</v>
      </c>
      <c r="W24" s="1761">
        <v>72000000</v>
      </c>
      <c r="X24">
        <f>70383402+17586666</f>
        <v>87970068</v>
      </c>
      <c r="Y24">
        <f>70383402+17586666</f>
        <v>87970068</v>
      </c>
      <c r="Z24" s="1733">
        <v>20</v>
      </c>
      <c r="AA24" s="1133" t="s">
        <v>128</v>
      </c>
      <c r="AB24">
        <v>7824</v>
      </c>
      <c r="AC24" s="3236">
        <v>2191</v>
      </c>
      <c r="AD24" s="3234">
        <v>8808</v>
      </c>
      <c r="AE24">
        <v>2466</v>
      </c>
      <c r="AF24" s="3234">
        <v>3361</v>
      </c>
      <c r="AG24">
        <v>941</v>
      </c>
      <c r="AH24">
        <v>8902</v>
      </c>
      <c r="AI24">
        <v>2492</v>
      </c>
      <c r="AJ24">
        <v>30530</v>
      </c>
      <c r="AK24" s="3236">
        <v>8567</v>
      </c>
      <c r="AL24">
        <v>9933</v>
      </c>
      <c r="AM24">
        <v>2781</v>
      </c>
      <c r="AN24"/>
      <c r="AO24"/>
      <c r="AP24"/>
      <c r="AQ24"/>
      <c r="AR24"/>
      <c r="AS24"/>
      <c r="AT24"/>
      <c r="AU24"/>
      <c r="AV24"/>
      <c r="AW24"/>
      <c r="AX24"/>
      <c r="AY24"/>
      <c r="AZ24">
        <v>13</v>
      </c>
      <c r="BA24">
        <v>263896665</v>
      </c>
      <c r="BB24">
        <v>263896665</v>
      </c>
      <c r="BC24">
        <f>BB24/BA24</f>
        <v>1</v>
      </c>
      <c r="BD24">
        <v>20</v>
      </c>
      <c r="BE24" s="2949" t="s">
        <v>1669</v>
      </c>
      <c r="BF24" s="3385">
        <v>42635</v>
      </c>
      <c r="BG24" s="2992">
        <v>42635</v>
      </c>
      <c r="BH24" s="3385">
        <v>42724</v>
      </c>
      <c r="BI24" s="2992">
        <v>42724</v>
      </c>
      <c r="BJ24" s="3409" t="s">
        <v>1661</v>
      </c>
    </row>
    <row r="25" spans="1:62" s="4" customFormat="1" ht="89.25" customHeight="1">
      <c r="A25" s="1183"/>
      <c r="B25" s="545"/>
      <c r="C25" s="545"/>
      <c r="D25" s="1183"/>
      <c r="E25" s="545"/>
      <c r="F25" s="1242"/>
      <c r="G25" s="545"/>
      <c r="H25" s="545"/>
      <c r="I25" s="545"/>
      <c r="J25"/>
      <c r="K25"/>
      <c r="L25" s="3350"/>
      <c r="M25"/>
      <c r="N25"/>
      <c r="O25" s="3013"/>
      <c r="P25" s="3013"/>
      <c r="Q25" s="3360"/>
      <c r="R25" s="3544"/>
      <c r="S25"/>
      <c r="T25" s="3360"/>
      <c r="U25" s="3360"/>
      <c r="V25" s="1178" t="s">
        <v>1701</v>
      </c>
      <c r="W25" s="1762">
        <v>120000000</v>
      </c>
      <c r="X25"/>
      <c r="Y25"/>
      <c r="Z25" s="1733">
        <v>20</v>
      </c>
      <c r="AA25" s="1133" t="s">
        <v>128</v>
      </c>
      <c r="AB25"/>
      <c r="AC25" s="3244"/>
      <c r="AD25" s="3243"/>
      <c r="AE25"/>
      <c r="AF25" s="3243"/>
      <c r="AG25"/>
      <c r="AH25"/>
      <c r="AI25"/>
      <c r="AJ25"/>
      <c r="AK25" s="3244"/>
      <c r="AL25"/>
      <c r="AM25"/>
      <c r="AN25"/>
      <c r="AO25"/>
      <c r="AP25"/>
      <c r="AQ25"/>
      <c r="AR25"/>
      <c r="AS25"/>
      <c r="AT25"/>
      <c r="AU25"/>
      <c r="AV25"/>
      <c r="AW25"/>
      <c r="AX25"/>
      <c r="AY25"/>
      <c r="AZ25"/>
      <c r="BA25"/>
      <c r="BB25"/>
      <c r="BC25"/>
      <c r="BD25"/>
      <c r="BE25" s="2950"/>
      <c r="BF25" s="3386"/>
      <c r="BG25" s="2993"/>
      <c r="BH25" s="3386"/>
      <c r="BI25" s="2993"/>
      <c r="BJ25"/>
    </row>
    <row r="26" spans="1:62" s="4" customFormat="1" ht="81" customHeight="1">
      <c r="A26" s="1862"/>
      <c r="B26" s="848"/>
      <c r="C26" s="848"/>
      <c r="D26" s="1862"/>
      <c r="E26" s="848"/>
      <c r="F26" s="1863"/>
      <c r="G26" s="545"/>
      <c r="H26" s="545"/>
      <c r="I26" s="545"/>
      <c r="J26"/>
      <c r="K26"/>
      <c r="L26" s="3350"/>
      <c r="M26"/>
      <c r="N26"/>
      <c r="O26" s="3013"/>
      <c r="P26" s="3013"/>
      <c r="Q26" s="3360"/>
      <c r="R26" s="3544"/>
      <c r="S26"/>
      <c r="T26" s="3360"/>
      <c r="U26" s="3360"/>
      <c r="V26" s="1178" t="s">
        <v>1702</v>
      </c>
      <c r="W26" s="1763">
        <v>80000000</v>
      </c>
      <c r="X26" s="1764">
        <f>77946354-1860000</f>
        <v>76086354</v>
      </c>
      <c r="Y26" s="1764">
        <f>77946354-1860000</f>
        <v>76086354</v>
      </c>
      <c r="Z26" s="1733">
        <v>20</v>
      </c>
      <c r="AA26" s="1133" t="s">
        <v>128</v>
      </c>
      <c r="AB26"/>
      <c r="AC26" s="3244"/>
      <c r="AD26" s="3243"/>
      <c r="AE26"/>
      <c r="AF26" s="3243"/>
      <c r="AG26"/>
      <c r="AH26"/>
      <c r="AI26"/>
      <c r="AJ26"/>
      <c r="AK26" s="3244"/>
      <c r="AL26"/>
      <c r="AM26"/>
      <c r="AN26"/>
      <c r="AO26"/>
      <c r="AP26"/>
      <c r="AQ26"/>
      <c r="AR26"/>
      <c r="AS26"/>
      <c r="AT26"/>
      <c r="AU26"/>
      <c r="AV26"/>
      <c r="AW26"/>
      <c r="AX26"/>
      <c r="AY26"/>
      <c r="AZ26"/>
      <c r="BA26"/>
      <c r="BB26"/>
      <c r="BC26"/>
      <c r="BD26"/>
      <c r="BE26" s="2950"/>
      <c r="BF26" s="3386"/>
      <c r="BG26" s="2993"/>
      <c r="BH26" s="3386"/>
      <c r="BI26" s="2993"/>
      <c r="BJ26"/>
    </row>
    <row r="27" spans="1:62" s="4" customFormat="1" ht="120.75" customHeight="1">
      <c r="A27" s="1862"/>
      <c r="B27" s="848"/>
      <c r="C27" s="848"/>
      <c r="D27" s="1862"/>
      <c r="E27" s="848"/>
      <c r="F27" s="1863"/>
      <c r="G27" s="545"/>
      <c r="H27" s="545"/>
      <c r="I27" s="545"/>
      <c r="J27"/>
      <c r="K27"/>
      <c r="L27" s="3350"/>
      <c r="M27"/>
      <c r="N27"/>
      <c r="O27" s="3013"/>
      <c r="P27" s="3013"/>
      <c r="Q27" s="3360"/>
      <c r="R27" s="3544"/>
      <c r="S27"/>
      <c r="T27" s="3360"/>
      <c r="U27" s="3360"/>
      <c r="V27" s="837" t="s">
        <v>1703</v>
      </c>
      <c r="W27" s="1763">
        <v>111489550</v>
      </c>
      <c r="X27" s="1764"/>
      <c r="Y27" s="1764"/>
      <c r="Z27" s="1733">
        <v>20</v>
      </c>
      <c r="AA27" s="1133" t="s">
        <v>128</v>
      </c>
      <c r="AB27"/>
      <c r="AC27" s="3244"/>
      <c r="AD27" s="3243"/>
      <c r="AE27"/>
      <c r="AF27" s="3243"/>
      <c r="AG27"/>
      <c r="AH27"/>
      <c r="AI27"/>
      <c r="AJ27"/>
      <c r="AK27" s="3244"/>
      <c r="AL27"/>
      <c r="AM27"/>
      <c r="AN27"/>
      <c r="AO27"/>
      <c r="AP27"/>
      <c r="AQ27"/>
      <c r="AR27"/>
      <c r="AS27"/>
      <c r="AT27"/>
      <c r="AU27"/>
      <c r="AV27"/>
      <c r="AW27"/>
      <c r="AX27"/>
      <c r="AY27"/>
      <c r="AZ27"/>
      <c r="BA27"/>
      <c r="BB27"/>
      <c r="BC27"/>
      <c r="BD27"/>
      <c r="BE27" s="2950"/>
      <c r="BF27" s="3386"/>
      <c r="BG27" s="2993"/>
      <c r="BH27" s="3386"/>
      <c r="BI27" s="2993"/>
      <c r="BJ27"/>
    </row>
    <row r="28" spans="1:62" s="4" customFormat="1" ht="86.25" customHeight="1">
      <c r="A28" s="1862"/>
      <c r="B28" s="848"/>
      <c r="C28" s="848"/>
      <c r="D28" s="1862"/>
      <c r="E28" s="848"/>
      <c r="F28" s="1863"/>
      <c r="G28" s="545"/>
      <c r="H28" s="545"/>
      <c r="I28" s="545"/>
      <c r="J28" s="3395"/>
      <c r="K28"/>
      <c r="L28" s="3350"/>
      <c r="M28"/>
      <c r="N28"/>
      <c r="O28" s="3013"/>
      <c r="P28" s="3013"/>
      <c r="Q28" s="3360"/>
      <c r="R28" s="3404"/>
      <c r="S28"/>
      <c r="T28" s="3360"/>
      <c r="U28" s="3360"/>
      <c r="V28" s="1765" t="s">
        <v>1704</v>
      </c>
      <c r="W28" s="1766">
        <v>100000000</v>
      </c>
      <c r="X28" s="1884">
        <v>99840243</v>
      </c>
      <c r="Y28" s="1884">
        <v>99840243</v>
      </c>
      <c r="Z28" s="1737">
        <v>20</v>
      </c>
      <c r="AA28" s="1130" t="s">
        <v>128</v>
      </c>
      <c r="AB28" s="3234"/>
      <c r="AC28" s="3244"/>
      <c r="AD28" s="3243"/>
      <c r="AE28" s="3236"/>
      <c r="AF28" s="3243"/>
      <c r="AG28" s="3236"/>
      <c r="AH28" s="3234"/>
      <c r="AI28" s="3236"/>
      <c r="AJ28" s="3234"/>
      <c r="AK28" s="3244"/>
      <c r="AL28" s="3234"/>
      <c r="AM28" s="3236"/>
      <c r="AN28"/>
      <c r="AO28"/>
      <c r="AP28"/>
      <c r="AQ28"/>
      <c r="AR28"/>
      <c r="AS28"/>
      <c r="AT28"/>
      <c r="AU28"/>
      <c r="AV28"/>
      <c r="AW28"/>
      <c r="AX28"/>
      <c r="AY28"/>
      <c r="AZ28"/>
      <c r="BA28"/>
      <c r="BB28"/>
      <c r="BC28"/>
      <c r="BD28"/>
      <c r="BE28" s="2950"/>
      <c r="BF28" s="3386"/>
      <c r="BG28" s="2994"/>
      <c r="BH28" s="3386"/>
      <c r="BI28" s="2994"/>
      <c r="BJ28"/>
    </row>
    <row r="29" spans="1:62" s="4" customFormat="1" ht="85.5" customHeight="1">
      <c r="A29" s="1862"/>
      <c r="B29" s="848"/>
      <c r="C29" s="848"/>
      <c r="D29" s="1862"/>
      <c r="E29" s="848"/>
      <c r="F29" s="1863"/>
      <c r="G29" s="848"/>
      <c r="H29" s="848"/>
      <c r="I29" s="848"/>
      <c r="J29" s="2929">
        <v>15</v>
      </c>
      <c r="K29" s="2931" t="s">
        <v>1705</v>
      </c>
      <c r="L29" t="s">
        <v>37</v>
      </c>
      <c r="M29">
        <v>2</v>
      </c>
      <c r="N29">
        <v>2</v>
      </c>
      <c r="O29" s="2931" t="s">
        <v>1706</v>
      </c>
      <c r="P29" s="3028">
        <v>69</v>
      </c>
      <c r="Q29" t="s">
        <v>1707</v>
      </c>
      <c r="R29" s="3590">
        <f>(W29+W30+W31)/S29</f>
        <v>0.9144104415110841</v>
      </c>
      <c r="S29">
        <v>215876800</v>
      </c>
      <c r="T29" t="s">
        <v>1708</v>
      </c>
      <c r="U29" t="s">
        <v>1709</v>
      </c>
      <c r="V29" s="1296" t="s">
        <v>1710</v>
      </c>
      <c r="W29" s="1767">
        <v>20000000</v>
      </c>
      <c r="X29" s="1883">
        <v>0</v>
      </c>
      <c r="Y29" s="707">
        <v>0</v>
      </c>
      <c r="Z29" s="1768">
        <v>20</v>
      </c>
      <c r="AA29" s="839" t="s">
        <v>128</v>
      </c>
      <c r="AB29">
        <v>8419</v>
      </c>
      <c r="AC29"/>
      <c r="AD29">
        <v>8371</v>
      </c>
      <c r="AE29"/>
      <c r="AF29">
        <v>8871</v>
      </c>
      <c r="AG29"/>
      <c r="AH29">
        <v>10240</v>
      </c>
      <c r="AI29"/>
      <c r="AJ29">
        <v>36000</v>
      </c>
      <c r="AK29"/>
      <c r="AL29">
        <v>10814</v>
      </c>
      <c r="AM29"/>
      <c r="AN29"/>
      <c r="AO29"/>
      <c r="AP29"/>
      <c r="AQ29"/>
      <c r="AR29"/>
      <c r="AS29"/>
      <c r="AT29"/>
      <c r="AU29"/>
      <c r="AV29"/>
      <c r="AW29"/>
      <c r="AX29"/>
      <c r="AY29"/>
      <c r="AZ29">
        <v>12</v>
      </c>
      <c r="BA29">
        <v>33373332</v>
      </c>
      <c r="BB29">
        <v>33373332</v>
      </c>
      <c r="BC29">
        <f>(BB29/BA29)</f>
        <v>1</v>
      </c>
      <c r="BD29">
        <v>20</v>
      </c>
      <c r="BE29" t="s">
        <v>1669</v>
      </c>
      <c r="BF29">
        <v>42663</v>
      </c>
      <c r="BG29">
        <v>42663</v>
      </c>
      <c r="BH29">
        <v>42723</v>
      </c>
      <c r="BI29">
        <v>42723</v>
      </c>
      <c r="BJ29" t="s">
        <v>1661</v>
      </c>
    </row>
    <row r="30" spans="1:62" s="4" customFormat="1" ht="85.5" customHeight="1">
      <c r="A30" s="1862"/>
      <c r="B30" s="848"/>
      <c r="C30" s="848"/>
      <c r="D30" s="1862"/>
      <c r="E30" s="848"/>
      <c r="F30" s="1863"/>
      <c r="G30" s="848"/>
      <c r="H30" s="848"/>
      <c r="I30" s="848"/>
      <c r="J30" s="2929"/>
      <c r="K30" s="2931"/>
      <c r="L30"/>
      <c r="M30"/>
      <c r="N30"/>
      <c r="O30" s="2931"/>
      <c r="P30" s="3028"/>
      <c r="Q30"/>
      <c r="R30" s="3591"/>
      <c r="S30"/>
      <c r="T30"/>
      <c r="U30"/>
      <c r="V30" s="1296" t="s">
        <v>1711</v>
      </c>
      <c r="W30" s="1767">
        <v>61610000</v>
      </c>
      <c r="X30" s="1883">
        <v>19929999</v>
      </c>
      <c r="Y30" s="707">
        <v>19929999</v>
      </c>
      <c r="Z30" s="1768"/>
      <c r="AA30" s="839"/>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row>
    <row r="31" spans="1:62" s="4" customFormat="1" ht="85.5" customHeight="1">
      <c r="A31" s="1862"/>
      <c r="B31" s="848"/>
      <c r="C31" s="848"/>
      <c r="D31" s="1862"/>
      <c r="E31" s="848"/>
      <c r="F31" s="1863"/>
      <c r="G31" s="848"/>
      <c r="H31" s="848"/>
      <c r="I31" s="848"/>
      <c r="J31" s="2929"/>
      <c r="K31" s="2931"/>
      <c r="L31"/>
      <c r="M31"/>
      <c r="N31"/>
      <c r="O31" s="2931"/>
      <c r="P31" s="3028"/>
      <c r="Q31"/>
      <c r="R31" s="3592"/>
      <c r="S31"/>
      <c r="T31"/>
      <c r="U31"/>
      <c r="V31" s="1296" t="s">
        <v>1712</v>
      </c>
      <c r="W31" s="1358">
        <v>115790000</v>
      </c>
      <c r="X31" s="1883">
        <v>0</v>
      </c>
      <c r="Y31" s="707"/>
      <c r="Z31" s="1768"/>
      <c r="AA31" s="839"/>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row>
    <row r="32" spans="1:62" s="4" customFormat="1" ht="137.25" customHeight="1">
      <c r="A32" s="1862"/>
      <c r="B32" s="848"/>
      <c r="C32" s="848"/>
      <c r="D32" s="1862"/>
      <c r="E32" s="848"/>
      <c r="F32" s="1863"/>
      <c r="G32" s="848"/>
      <c r="H32" s="848"/>
      <c r="I32" s="848"/>
      <c r="J32" s="1280">
        <v>19</v>
      </c>
      <c r="K32" s="1119" t="s">
        <v>1713</v>
      </c>
      <c r="L32" s="839" t="s">
        <v>37</v>
      </c>
      <c r="M32" s="1269">
        <v>5</v>
      </c>
      <c r="N32" s="1805">
        <v>5</v>
      </c>
      <c r="O32" s="2931"/>
      <c r="P32" s="3028"/>
      <c r="Q32"/>
      <c r="R32" s="1660">
        <f>W32/S29</f>
        <v>0.042616900009635125</v>
      </c>
      <c r="S32"/>
      <c r="T32"/>
      <c r="U32" s="1731" t="s">
        <v>1714</v>
      </c>
      <c r="V32" s="1769" t="s">
        <v>1715</v>
      </c>
      <c r="W32" s="1767">
        <v>9200000</v>
      </c>
      <c r="X32" s="1883">
        <v>8549166</v>
      </c>
      <c r="Y32" s="707">
        <v>8549166</v>
      </c>
      <c r="Z32" s="1768">
        <v>20</v>
      </c>
      <c r="AA32" s="839" t="s">
        <v>128</v>
      </c>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row>
    <row r="33" spans="1:62" s="4" customFormat="1" ht="78" customHeight="1">
      <c r="A33" s="1862"/>
      <c r="B33" s="848"/>
      <c r="C33" s="848"/>
      <c r="D33" s="1862"/>
      <c r="E33" s="848"/>
      <c r="F33" s="1863"/>
      <c r="G33" s="848"/>
      <c r="H33" s="848"/>
      <c r="I33" s="848"/>
      <c r="J33" s="1121">
        <v>20</v>
      </c>
      <c r="K33" s="1119" t="s">
        <v>1716</v>
      </c>
      <c r="L33" s="839" t="s">
        <v>37</v>
      </c>
      <c r="M33" s="1269">
        <v>50</v>
      </c>
      <c r="N33" s="1805">
        <v>100</v>
      </c>
      <c r="O33" s="2931"/>
      <c r="P33" s="3028"/>
      <c r="Q33"/>
      <c r="R33" s="1770">
        <v>0.05</v>
      </c>
      <c r="S33"/>
      <c r="T33"/>
      <c r="U33" s="1296" t="s">
        <v>1717</v>
      </c>
      <c r="V33" s="1769" t="s">
        <v>1718</v>
      </c>
      <c r="W33" s="1767">
        <v>9276800</v>
      </c>
      <c r="X33" s="1883">
        <v>4894167</v>
      </c>
      <c r="Y33" s="707">
        <v>4894167</v>
      </c>
      <c r="Z33" s="1768">
        <v>20</v>
      </c>
      <c r="AA33" s="839" t="s">
        <v>128</v>
      </c>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row>
    <row r="34" spans="1:62" s="4" customFormat="1" ht="147" customHeight="1">
      <c r="A34" s="1864"/>
      <c r="B34" s="851"/>
      <c r="C34" s="851"/>
      <c r="D34" s="1864"/>
      <c r="E34" s="851"/>
      <c r="F34" s="1865"/>
      <c r="G34" s="851"/>
      <c r="H34" s="851"/>
      <c r="I34" s="851"/>
      <c r="J34" s="1280">
        <v>15</v>
      </c>
      <c r="K34" s="1119" t="s">
        <v>1705</v>
      </c>
      <c r="L34" s="839" t="s">
        <v>37</v>
      </c>
      <c r="M34" s="1269">
        <v>2</v>
      </c>
      <c r="N34" s="1880">
        <v>2</v>
      </c>
      <c r="O34" s="721" t="s">
        <v>1719</v>
      </c>
      <c r="P34" s="839">
        <v>71</v>
      </c>
      <c r="Q34" s="1296" t="s">
        <v>1720</v>
      </c>
      <c r="R34" s="1770">
        <v>1</v>
      </c>
      <c r="S34" s="1354">
        <v>5000000</v>
      </c>
      <c r="T34" s="1296" t="s">
        <v>1721</v>
      </c>
      <c r="U34" s="1296" t="s">
        <v>1722</v>
      </c>
      <c r="V34" s="1296" t="s">
        <v>1723</v>
      </c>
      <c r="W34" s="1767">
        <v>5000000</v>
      </c>
      <c r="X34" s="1883">
        <v>5000000</v>
      </c>
      <c r="Y34" s="707">
        <v>5000000</v>
      </c>
      <c r="Z34" s="1768">
        <v>20</v>
      </c>
      <c r="AA34" s="839" t="s">
        <v>128</v>
      </c>
      <c r="AB34" s="1771">
        <v>36783.2</v>
      </c>
      <c r="AC34" s="1938">
        <v>36783.2</v>
      </c>
      <c r="AD34" s="1771">
        <v>97717</v>
      </c>
      <c r="AE34" s="1938">
        <v>97717</v>
      </c>
      <c r="AF34" s="1771">
        <v>50353</v>
      </c>
      <c r="AG34" s="1938">
        <v>50353</v>
      </c>
      <c r="AH34" s="1771">
        <v>78430</v>
      </c>
      <c r="AI34" s="1938">
        <v>78430</v>
      </c>
      <c r="AJ34" s="1771">
        <v>221366</v>
      </c>
      <c r="AK34" s="1938">
        <v>221366</v>
      </c>
      <c r="AL34" s="1771">
        <v>71187</v>
      </c>
      <c r="AM34" s="1938">
        <v>71187</v>
      </c>
      <c r="AN34" s="1772"/>
      <c r="AO34" s="841"/>
      <c r="AP34" s="840"/>
      <c r="AQ34" s="841"/>
      <c r="AR34" s="840"/>
      <c r="AS34" s="841"/>
      <c r="AT34" s="840"/>
      <c r="AU34" s="841"/>
      <c r="AV34" s="840"/>
      <c r="AW34" s="841"/>
      <c r="AX34" s="840"/>
      <c r="AY34" s="841"/>
      <c r="AZ34" s="1773">
        <v>1</v>
      </c>
      <c r="BA34" s="1902">
        <v>5000000</v>
      </c>
      <c r="BB34" s="1903">
        <f>+Y34</f>
        <v>5000000</v>
      </c>
      <c r="BC34" s="1774">
        <f>+X34/W34</f>
        <v>1</v>
      </c>
      <c r="BD34" s="1775">
        <v>20</v>
      </c>
      <c r="BE34" s="1776" t="s">
        <v>1669</v>
      </c>
      <c r="BF34" s="1339">
        <v>41192</v>
      </c>
      <c r="BG34" s="1744">
        <v>41192</v>
      </c>
      <c r="BH34" s="1339">
        <v>42724</v>
      </c>
      <c r="BI34" s="1777">
        <v>42724</v>
      </c>
      <c r="BJ34" s="1778" t="s">
        <v>1691</v>
      </c>
    </row>
    <row r="35" spans="1:62" s="4" customFormat="1" ht="220.5" customHeight="1" thickBot="1">
      <c r="A35" s="1866"/>
      <c r="B35" s="849"/>
      <c r="C35" s="849"/>
      <c r="D35" s="1866"/>
      <c r="E35" s="849"/>
      <c r="F35" s="1867"/>
      <c r="G35" s="851"/>
      <c r="H35" s="849"/>
      <c r="I35" s="849"/>
      <c r="J35" s="1172">
        <v>15</v>
      </c>
      <c r="K35" s="1779" t="s">
        <v>1705</v>
      </c>
      <c r="L35" s="1780" t="s">
        <v>37</v>
      </c>
      <c r="M35" s="1781">
        <v>2</v>
      </c>
      <c r="N35" s="1181">
        <v>2</v>
      </c>
      <c r="O35" s="1782" t="s">
        <v>1724</v>
      </c>
      <c r="P35" s="1780">
        <v>70</v>
      </c>
      <c r="Q35" s="1170" t="s">
        <v>1725</v>
      </c>
      <c r="R35" s="1783">
        <v>1</v>
      </c>
      <c r="S35" s="1352">
        <v>5000000</v>
      </c>
      <c r="T35" s="1170" t="s">
        <v>1726</v>
      </c>
      <c r="U35" s="1170" t="s">
        <v>1727</v>
      </c>
      <c r="V35" s="1180" t="s">
        <v>1723</v>
      </c>
      <c r="W35" s="1784">
        <v>5000000</v>
      </c>
      <c r="X35" s="1885">
        <v>5000000</v>
      </c>
      <c r="Y35" s="717">
        <v>5000000</v>
      </c>
      <c r="Z35" s="1785">
        <v>20</v>
      </c>
      <c r="AA35" s="1780" t="s">
        <v>128</v>
      </c>
      <c r="AB35" s="1786">
        <v>36783.2</v>
      </c>
      <c r="AC35" s="1939">
        <v>36783.2</v>
      </c>
      <c r="AD35" s="1786">
        <v>97717</v>
      </c>
      <c r="AE35" s="1939">
        <v>97717</v>
      </c>
      <c r="AF35" s="1786">
        <v>78430</v>
      </c>
      <c r="AG35" s="1939">
        <v>78430</v>
      </c>
      <c r="AH35" s="1786">
        <v>78430</v>
      </c>
      <c r="AI35" s="1939">
        <v>78430</v>
      </c>
      <c r="AJ35" s="1786">
        <v>221366</v>
      </c>
      <c r="AK35" s="1939">
        <v>221366</v>
      </c>
      <c r="AL35" s="1786">
        <v>71187</v>
      </c>
      <c r="AM35" s="1939">
        <v>71187</v>
      </c>
      <c r="AN35" s="1787"/>
      <c r="AO35" s="1788"/>
      <c r="AP35" s="710"/>
      <c r="AQ35" s="1788"/>
      <c r="AR35" s="710"/>
      <c r="AS35" s="1788"/>
      <c r="AT35" s="710"/>
      <c r="AU35" s="1788"/>
      <c r="AV35" s="710"/>
      <c r="AW35" s="1788"/>
      <c r="AX35" s="710"/>
      <c r="AY35" s="1788"/>
      <c r="AZ35" s="1789">
        <v>1</v>
      </c>
      <c r="BA35" s="1904">
        <v>5000000</v>
      </c>
      <c r="BB35" s="1905">
        <f>+Y35</f>
        <v>5000000</v>
      </c>
      <c r="BC35" s="1790">
        <f>+X35/W35</f>
        <v>1</v>
      </c>
      <c r="BD35" s="1791">
        <v>20</v>
      </c>
      <c r="BE35" s="1792" t="s">
        <v>1669</v>
      </c>
      <c r="BF35" s="1793">
        <v>41192</v>
      </c>
      <c r="BG35" s="1794">
        <v>41192</v>
      </c>
      <c r="BH35" s="1793">
        <v>42724</v>
      </c>
      <c r="BI35" s="1795">
        <v>42724</v>
      </c>
      <c r="BJ35" s="1796" t="s">
        <v>1691</v>
      </c>
    </row>
    <row r="36" spans="1:62" s="4" customFormat="1" ht="25.5" customHeight="1" thickTop="1">
      <c r="A36" s="1862"/>
      <c r="B36" s="848"/>
      <c r="C36" s="848"/>
      <c r="D36" s="1862"/>
      <c r="E36" s="848"/>
      <c r="F36" s="1863"/>
      <c r="G36" s="1869">
        <v>4</v>
      </c>
      <c r="H36" s="819" t="s">
        <v>1728</v>
      </c>
      <c r="I36" s="663"/>
      <c r="J36" s="819"/>
      <c r="K36" s="1797"/>
      <c r="L36" s="819"/>
      <c r="M36" s="663"/>
      <c r="N36" s="475"/>
      <c r="O36" s="1759"/>
      <c r="P36" s="1759"/>
      <c r="Q36" s="476"/>
      <c r="R36" s="51"/>
      <c r="S36" s="1215"/>
      <c r="T36" s="476"/>
      <c r="U36" s="476"/>
      <c r="V36" s="476"/>
      <c r="W36" s="1215"/>
      <c r="X36" s="799"/>
      <c r="Y36" s="799"/>
      <c r="Z36" s="800"/>
      <c r="AA36" s="51"/>
      <c r="AB36" s="51"/>
      <c r="AC36" s="475"/>
      <c r="AD36" s="51"/>
      <c r="AE36" s="475"/>
      <c r="AF36" s="51"/>
      <c r="AG36" s="475"/>
      <c r="AH36" s="51"/>
      <c r="AI36" s="475"/>
      <c r="AJ36" s="51"/>
      <c r="AK36" s="475"/>
      <c r="AL36" s="51"/>
      <c r="AM36" s="475"/>
      <c r="AN36" s="51"/>
      <c r="AO36" s="475"/>
      <c r="AP36" s="51"/>
      <c r="AQ36" s="475"/>
      <c r="AR36" s="51"/>
      <c r="AS36" s="475"/>
      <c r="AT36" s="51"/>
      <c r="AU36" s="475"/>
      <c r="AV36" s="51"/>
      <c r="AW36" s="475"/>
      <c r="AX36" s="51"/>
      <c r="AY36" s="475"/>
      <c r="AZ36" s="1760"/>
      <c r="BA36" s="1900"/>
      <c r="BB36" s="1901"/>
      <c r="BC36" s="51"/>
      <c r="BD36" s="51"/>
      <c r="BE36" s="1760"/>
      <c r="BF36" s="51"/>
      <c r="BG36" s="475"/>
      <c r="BH36" s="51"/>
      <c r="BI36" s="475"/>
      <c r="BJ36" s="801"/>
    </row>
    <row r="37" spans="1:62" s="4" customFormat="1" ht="110.25" customHeight="1">
      <c r="A37" s="1864"/>
      <c r="B37" s="851"/>
      <c r="C37" s="851"/>
      <c r="D37" s="1864"/>
      <c r="E37" s="851"/>
      <c r="F37" s="1865"/>
      <c r="G37" s="851"/>
      <c r="H37" s="851"/>
      <c r="I37" s="851"/>
      <c r="J37">
        <v>21</v>
      </c>
      <c r="K37" t="s">
        <v>1729</v>
      </c>
      <c r="L37" t="s">
        <v>37</v>
      </c>
      <c r="M37">
        <v>100</v>
      </c>
      <c r="N37" s="3203">
        <v>100</v>
      </c>
      <c r="O37" t="s">
        <v>1730</v>
      </c>
      <c r="P37">
        <v>72</v>
      </c>
      <c r="Q37" s="3360" t="s">
        <v>2136</v>
      </c>
      <c r="R37" s="3590">
        <v>1</v>
      </c>
      <c r="S37">
        <v>195000000</v>
      </c>
      <c r="T37" s="3360" t="s">
        <v>1731</v>
      </c>
      <c r="U37" s="1798" t="s">
        <v>1732</v>
      </c>
      <c r="V37" s="1799" t="s">
        <v>1733</v>
      </c>
      <c r="W37" s="1356">
        <v>95000000</v>
      </c>
      <c r="X37" s="1886">
        <v>62536616</v>
      </c>
      <c r="Y37" s="2435">
        <v>62536616</v>
      </c>
      <c r="Z37" s="1800">
        <v>20</v>
      </c>
      <c r="AA37" s="1801" t="s">
        <v>128</v>
      </c>
      <c r="AB37"/>
      <c r="AC37"/>
      <c r="AD37"/>
      <c r="AE37">
        <v>10</v>
      </c>
      <c r="AF37"/>
      <c r="AG37">
        <v>20</v>
      </c>
      <c r="AH37"/>
      <c r="AI37"/>
      <c r="AJ37" s="3124">
        <v>350</v>
      </c>
      <c r="AK37" s="3195">
        <v>30</v>
      </c>
      <c r="AL37" s="3197">
        <v>250</v>
      </c>
      <c r="AM37" s="3195">
        <v>40</v>
      </c>
      <c r="AN37"/>
      <c r="AO37"/>
      <c r="AP37"/>
      <c r="AQ37">
        <v>5</v>
      </c>
      <c r="AR37"/>
      <c r="AS37"/>
      <c r="AT37"/>
      <c r="AU37"/>
      <c r="AV37"/>
      <c r="AW37"/>
      <c r="AX37"/>
      <c r="AY37"/>
      <c r="AZ37" s="3122">
        <v>11</v>
      </c>
      <c r="BA37">
        <v>162536440</v>
      </c>
      <c r="BB37">
        <v>96536440</v>
      </c>
      <c r="BC37">
        <f>BB37/BA37</f>
        <v>0.5939372118646132</v>
      </c>
      <c r="BD37">
        <v>20</v>
      </c>
      <c r="BE37" t="s">
        <v>1734</v>
      </c>
      <c r="BF37" s="3760">
        <v>42622</v>
      </c>
      <c r="BG37" s="3760">
        <v>42622</v>
      </c>
      <c r="BH37">
        <v>42724</v>
      </c>
      <c r="BI37">
        <v>42724</v>
      </c>
      <c r="BJ37" t="s">
        <v>1691</v>
      </c>
    </row>
    <row r="38" spans="1:62" s="4" customFormat="1" ht="126.75" customHeight="1">
      <c r="A38" s="1864"/>
      <c r="B38" s="851"/>
      <c r="C38" s="851"/>
      <c r="D38" s="1864"/>
      <c r="E38" s="851"/>
      <c r="F38" s="1865"/>
      <c r="G38" s="851"/>
      <c r="H38" s="851"/>
      <c r="I38" s="851"/>
      <c r="J38" s="3395"/>
      <c r="K38"/>
      <c r="L38"/>
      <c r="M38"/>
      <c r="N38" s="3195"/>
      <c r="O38"/>
      <c r="P38"/>
      <c r="Q38" s="3360"/>
      <c r="R38" s="3592"/>
      <c r="S38"/>
      <c r="T38" s="3360"/>
      <c r="U38" s="1802" t="s">
        <v>1735</v>
      </c>
      <c r="V38" s="1169" t="s">
        <v>1736</v>
      </c>
      <c r="W38" s="1349">
        <v>100000000</v>
      </c>
      <c r="X38" s="1884">
        <v>99999824</v>
      </c>
      <c r="Y38" s="2436">
        <v>33999824</v>
      </c>
      <c r="Z38" s="1803">
        <v>20</v>
      </c>
      <c r="AA38" s="1804" t="s">
        <v>128</v>
      </c>
      <c r="AB38"/>
      <c r="AC38"/>
      <c r="AD38"/>
      <c r="AE38"/>
      <c r="AF38"/>
      <c r="AG38"/>
      <c r="AH38"/>
      <c r="AI38"/>
      <c r="AJ38" s="3125"/>
      <c r="AK38" s="3195"/>
      <c r="AL38" s="3198"/>
      <c r="AM38" s="3195"/>
      <c r="AN38"/>
      <c r="AO38"/>
      <c r="AP38"/>
      <c r="AQ38"/>
      <c r="AR38"/>
      <c r="AS38"/>
      <c r="AT38"/>
      <c r="AU38"/>
      <c r="AV38"/>
      <c r="AW38"/>
      <c r="AX38"/>
      <c r="AY38"/>
      <c r="AZ38" s="3123"/>
      <c r="BA38"/>
      <c r="BB38"/>
      <c r="BC38"/>
      <c r="BD38"/>
      <c r="BE38"/>
      <c r="BF38"/>
      <c r="BG38"/>
      <c r="BH38"/>
      <c r="BI38"/>
      <c r="BJ38"/>
    </row>
    <row r="39" spans="1:62" s="4" customFormat="1" ht="180.75" customHeight="1">
      <c r="A39" s="1866"/>
      <c r="B39" s="849"/>
      <c r="C39" s="849"/>
      <c r="D39" s="1866"/>
      <c r="E39" s="849"/>
      <c r="F39" s="1867"/>
      <c r="G39" s="849"/>
      <c r="H39" s="849"/>
      <c r="I39" s="849"/>
      <c r="J39" s="1280">
        <v>21</v>
      </c>
      <c r="K39" s="1178" t="s">
        <v>1729</v>
      </c>
      <c r="L39" s="839" t="s">
        <v>37</v>
      </c>
      <c r="M39" s="1269">
        <v>100</v>
      </c>
      <c r="N39" s="1805">
        <v>100</v>
      </c>
      <c r="O39" s="839" t="s">
        <v>1737</v>
      </c>
      <c r="P39" s="839">
        <v>73</v>
      </c>
      <c r="Q39" s="1296" t="s">
        <v>1738</v>
      </c>
      <c r="R39" s="1770">
        <v>1</v>
      </c>
      <c r="S39" s="1354">
        <v>5000000</v>
      </c>
      <c r="T39" s="1296" t="s">
        <v>1739</v>
      </c>
      <c r="U39" s="1806" t="s">
        <v>1740</v>
      </c>
      <c r="V39" s="1178" t="s">
        <v>1683</v>
      </c>
      <c r="W39" s="1354">
        <v>5000000</v>
      </c>
      <c r="X39" s="1886">
        <v>5000000</v>
      </c>
      <c r="Y39" s="2435">
        <v>5000000</v>
      </c>
      <c r="Z39" s="1807">
        <v>20</v>
      </c>
      <c r="AA39" s="839" t="s">
        <v>128</v>
      </c>
      <c r="AB39" s="1772">
        <v>7824</v>
      </c>
      <c r="AC39" s="1940">
        <v>7824</v>
      </c>
      <c r="AD39" s="1772">
        <v>8808</v>
      </c>
      <c r="AE39" s="1940">
        <v>8808</v>
      </c>
      <c r="AF39" s="1772">
        <v>3361</v>
      </c>
      <c r="AG39" s="1940">
        <v>3361</v>
      </c>
      <c r="AH39" s="1772">
        <v>9933</v>
      </c>
      <c r="AI39" s="1941">
        <v>9933</v>
      </c>
      <c r="AJ39" s="1808">
        <v>29499</v>
      </c>
      <c r="AK39" s="1941">
        <v>29499</v>
      </c>
      <c r="AL39" s="1772">
        <v>9933</v>
      </c>
      <c r="AM39" s="1940">
        <v>9933</v>
      </c>
      <c r="AN39" s="1772"/>
      <c r="AO39" s="841"/>
      <c r="AP39" s="838"/>
      <c r="AQ39" s="841"/>
      <c r="AR39" s="840"/>
      <c r="AS39" s="841"/>
      <c r="AT39" s="840"/>
      <c r="AU39" s="841"/>
      <c r="AV39" s="840"/>
      <c r="AW39" s="841"/>
      <c r="AX39" s="840"/>
      <c r="AY39" s="841"/>
      <c r="AZ39" s="1162">
        <v>1</v>
      </c>
      <c r="BA39" s="1906">
        <v>5000000</v>
      </c>
      <c r="BB39" s="1907">
        <f>+Y39</f>
        <v>5000000</v>
      </c>
      <c r="BC39" s="1810">
        <f>+X39/W39</f>
        <v>1</v>
      </c>
      <c r="BD39" s="1809">
        <v>20</v>
      </c>
      <c r="BE39" s="1776" t="s">
        <v>1734</v>
      </c>
      <c r="BF39" s="1339">
        <v>41192</v>
      </c>
      <c r="BG39" s="1744">
        <v>41192</v>
      </c>
      <c r="BH39" s="1339">
        <v>42724</v>
      </c>
      <c r="BI39" s="1777">
        <v>42724</v>
      </c>
      <c r="BJ39" s="1778" t="s">
        <v>1691</v>
      </c>
    </row>
    <row r="40" spans="1:62" s="4" customFormat="1" ht="15">
      <c r="A40" s="1862"/>
      <c r="B40" s="848"/>
      <c r="C40" s="848"/>
      <c r="D40" s="1862"/>
      <c r="E40" s="848"/>
      <c r="F40" s="1863"/>
      <c r="G40" s="1869">
        <v>6</v>
      </c>
      <c r="H40" s="819" t="s">
        <v>1741</v>
      </c>
      <c r="I40" s="663"/>
      <c r="J40" s="1811"/>
      <c r="K40" s="1365"/>
      <c r="L40" s="1364"/>
      <c r="M40" s="1364"/>
      <c r="N40" s="1748"/>
      <c r="O40" s="1749"/>
      <c r="P40" s="1749"/>
      <c r="Q40" s="1365"/>
      <c r="R40" s="1364"/>
      <c r="S40" s="1366"/>
      <c r="T40" s="1365"/>
      <c r="U40" s="1365"/>
      <c r="V40" s="1365"/>
      <c r="W40" s="1366"/>
      <c r="X40" s="1367"/>
      <c r="Y40" s="1367"/>
      <c r="Z40" s="1750"/>
      <c r="AA40" s="1364"/>
      <c r="AB40" s="1364"/>
      <c r="AC40" s="1748"/>
      <c r="AD40" s="1364"/>
      <c r="AE40" s="1748"/>
      <c r="AF40" s="1364"/>
      <c r="AG40" s="1748"/>
      <c r="AH40" s="1364"/>
      <c r="AI40" s="1748"/>
      <c r="AJ40" s="1364"/>
      <c r="AK40" s="1748"/>
      <c r="AL40" s="1364"/>
      <c r="AM40" s="1748"/>
      <c r="AN40" s="1364"/>
      <c r="AO40" s="1748"/>
      <c r="AP40" s="1364"/>
      <c r="AQ40" s="1748"/>
      <c r="AR40" s="1364"/>
      <c r="AS40" s="1748"/>
      <c r="AT40" s="1364"/>
      <c r="AU40" s="1748"/>
      <c r="AV40" s="1364"/>
      <c r="AW40" s="1748"/>
      <c r="AX40" s="1364"/>
      <c r="AY40" s="1748"/>
      <c r="AZ40" s="1751"/>
      <c r="BA40" s="1898"/>
      <c r="BB40" s="1899"/>
      <c r="BC40" s="1364"/>
      <c r="BD40" s="1364"/>
      <c r="BE40" s="1751"/>
      <c r="BF40" s="1364"/>
      <c r="BG40" s="1748"/>
      <c r="BH40" s="1364"/>
      <c r="BI40" s="1748"/>
      <c r="BJ40" s="1752"/>
    </row>
    <row r="41" spans="1:62" s="20" customFormat="1" ht="128.25">
      <c r="A41" s="1862"/>
      <c r="B41" s="848"/>
      <c r="C41" s="848"/>
      <c r="D41" s="1862"/>
      <c r="E41" s="848"/>
      <c r="F41" s="1863"/>
      <c r="G41" s="848"/>
      <c r="H41" s="848"/>
      <c r="I41" s="848"/>
      <c r="J41" s="2818">
        <v>31</v>
      </c>
      <c r="K41" s="1734" t="s">
        <v>1742</v>
      </c>
      <c r="L41" s="721" t="s">
        <v>37</v>
      </c>
      <c r="M41" s="1812">
        <v>4</v>
      </c>
      <c r="N41" s="1881">
        <v>4</v>
      </c>
      <c r="O41" s="2905" t="s">
        <v>1743</v>
      </c>
      <c r="P41" s="3012">
        <v>75</v>
      </c>
      <c r="Q41" s="3359" t="s">
        <v>2137</v>
      </c>
      <c r="R41" s="1813">
        <f>W41/$S$41</f>
        <v>0.10526315789473684</v>
      </c>
      <c r="S41">
        <v>190000000</v>
      </c>
      <c r="T41" s="2910" t="s">
        <v>1744</v>
      </c>
      <c r="U41" s="1814" t="s">
        <v>1745</v>
      </c>
      <c r="V41" s="1815" t="s">
        <v>1746</v>
      </c>
      <c r="W41" s="1354">
        <v>20000000</v>
      </c>
      <c r="X41" s="2439">
        <v>20000000</v>
      </c>
      <c r="Y41" s="2435">
        <v>20000000</v>
      </c>
      <c r="Z41" s="1816">
        <v>20</v>
      </c>
      <c r="AA41" s="721" t="s">
        <v>128</v>
      </c>
      <c r="AB41"/>
      <c r="AC41"/>
      <c r="AD41"/>
      <c r="AE41"/>
      <c r="AF41"/>
      <c r="AG41"/>
      <c r="AH41" s="3190">
        <v>300</v>
      </c>
      <c r="AI41">
        <v>300</v>
      </c>
      <c r="AJ41" s="3190">
        <v>1638</v>
      </c>
      <c r="AK41">
        <v>1638</v>
      </c>
      <c r="AL41" s="3197">
        <v>100</v>
      </c>
      <c r="AM41" s="3203">
        <v>107</v>
      </c>
      <c r="AN41"/>
      <c r="AO41" s="3232"/>
      <c r="AP41"/>
      <c r="AQ41"/>
      <c r="AR41"/>
      <c r="AS41"/>
      <c r="AT41"/>
      <c r="AU41"/>
      <c r="AV41"/>
      <c r="AW41"/>
      <c r="AX41"/>
      <c r="AY41"/>
      <c r="AZ41" s="3122">
        <v>9</v>
      </c>
      <c r="BA41">
        <f>SUM(X41:X44)</f>
        <v>151270386</v>
      </c>
      <c r="BB41">
        <f>SUM(Y41:Y44)</f>
        <v>151270386</v>
      </c>
      <c r="BC41" s="3665">
        <f>BB41/BA41</f>
        <v>1</v>
      </c>
      <c r="BD41">
        <v>20</v>
      </c>
      <c r="BE41" s="2886" t="s">
        <v>1747</v>
      </c>
      <c r="BF41" s="3760">
        <v>42629</v>
      </c>
      <c r="BG41" s="3760">
        <v>42629</v>
      </c>
      <c r="BH41">
        <v>42724</v>
      </c>
      <c r="BI41">
        <v>42724</v>
      </c>
      <c r="BJ41" s="2905" t="s">
        <v>1691</v>
      </c>
    </row>
    <row r="42" spans="1:62" s="20" customFormat="1" ht="72.75" customHeight="1">
      <c r="A42" s="1862"/>
      <c r="B42" s="848"/>
      <c r="C42" s="848"/>
      <c r="D42" s="1862"/>
      <c r="E42" s="848"/>
      <c r="F42" s="1863"/>
      <c r="G42" s="848"/>
      <c r="H42" s="848"/>
      <c r="I42" s="848"/>
      <c r="J42" s="2818">
        <v>32</v>
      </c>
      <c r="K42" s="1734" t="s">
        <v>1748</v>
      </c>
      <c r="L42" s="721" t="s">
        <v>37</v>
      </c>
      <c r="M42" s="1812">
        <v>15</v>
      </c>
      <c r="N42" s="1805">
        <v>15</v>
      </c>
      <c r="O42" s="2906"/>
      <c r="P42" s="3013"/>
      <c r="Q42" s="3360"/>
      <c r="R42" s="2812">
        <f>W42/$S$41</f>
        <v>0.7894736842105263</v>
      </c>
      <c r="S42"/>
      <c r="T42" s="3292"/>
      <c r="U42" t="s">
        <v>1749</v>
      </c>
      <c r="V42" s="1119" t="s">
        <v>1750</v>
      </c>
      <c r="W42" s="1354">
        <v>150000000</v>
      </c>
      <c r="X42" s="2439">
        <v>111270386</v>
      </c>
      <c r="Y42" s="2435">
        <v>111270386</v>
      </c>
      <c r="Z42" s="1816">
        <v>20</v>
      </c>
      <c r="AA42" s="721" t="s">
        <v>128</v>
      </c>
      <c r="AB42"/>
      <c r="AC42"/>
      <c r="AD42"/>
      <c r="AE42"/>
      <c r="AF42"/>
      <c r="AG42"/>
      <c r="AH42" s="3190"/>
      <c r="AI42"/>
      <c r="AJ42" s="3190"/>
      <c r="AK42"/>
      <c r="AL42" s="3198"/>
      <c r="AM42" s="3195"/>
      <c r="AN42"/>
      <c r="AO42"/>
      <c r="AP42"/>
      <c r="AQ42"/>
      <c r="AR42"/>
      <c r="AS42"/>
      <c r="AT42"/>
      <c r="AU42"/>
      <c r="AV42"/>
      <c r="AW42"/>
      <c r="AX42"/>
      <c r="AY42"/>
      <c r="AZ42" s="3123"/>
      <c r="BA42"/>
      <c r="BB42"/>
      <c r="BC42" s="3666"/>
      <c r="BD42"/>
      <c r="BE42" s="2887"/>
      <c r="BF42"/>
      <c r="BG42"/>
      <c r="BH42"/>
      <c r="BI42"/>
      <c r="BJ42" s="2906"/>
    </row>
    <row r="43" spans="1:62" s="20" customFormat="1" ht="96.75" customHeight="1">
      <c r="A43" s="1862"/>
      <c r="B43" s="848"/>
      <c r="C43" s="848"/>
      <c r="D43" s="1862"/>
      <c r="E43" s="848"/>
      <c r="F43" s="1863"/>
      <c r="G43" s="848"/>
      <c r="H43" s="848"/>
      <c r="I43" s="848"/>
      <c r="J43" s="2818">
        <v>33</v>
      </c>
      <c r="K43" s="1734" t="s">
        <v>1751</v>
      </c>
      <c r="L43" s="721" t="s">
        <v>37</v>
      </c>
      <c r="M43" s="1812">
        <v>200</v>
      </c>
      <c r="N43" s="1805">
        <v>200</v>
      </c>
      <c r="O43" s="2906"/>
      <c r="P43" s="3013"/>
      <c r="Q43" s="3360"/>
      <c r="R43" s="2812">
        <f>W43/$S$41</f>
        <v>0.05263157894736842</v>
      </c>
      <c r="S43"/>
      <c r="T43" s="3292"/>
      <c r="U43"/>
      <c r="V43" s="1119" t="s">
        <v>1752</v>
      </c>
      <c r="W43" s="1354">
        <v>10000000</v>
      </c>
      <c r="X43" s="2439">
        <v>10000000</v>
      </c>
      <c r="Y43" s="2435">
        <v>10000000</v>
      </c>
      <c r="Z43" s="1816">
        <v>20</v>
      </c>
      <c r="AA43" s="721" t="s">
        <v>128</v>
      </c>
      <c r="AB43"/>
      <c r="AC43"/>
      <c r="AD43"/>
      <c r="AE43"/>
      <c r="AF43"/>
      <c r="AG43"/>
      <c r="AH43" s="3190"/>
      <c r="AI43"/>
      <c r="AJ43" s="3190"/>
      <c r="AK43"/>
      <c r="AL43" s="3198"/>
      <c r="AM43" s="3195"/>
      <c r="AN43"/>
      <c r="AO43"/>
      <c r="AP43"/>
      <c r="AQ43"/>
      <c r="AR43"/>
      <c r="AS43"/>
      <c r="AT43"/>
      <c r="AU43"/>
      <c r="AV43"/>
      <c r="AW43"/>
      <c r="AX43"/>
      <c r="AY43"/>
      <c r="AZ43" s="3123"/>
      <c r="BA43"/>
      <c r="BB43"/>
      <c r="BC43" s="3666"/>
      <c r="BD43"/>
      <c r="BE43" s="2887"/>
      <c r="BF43"/>
      <c r="BG43"/>
      <c r="BH43"/>
      <c r="BI43"/>
      <c r="BJ43" s="2906"/>
    </row>
    <row r="44" spans="1:62" s="20" customFormat="1" ht="159" customHeight="1">
      <c r="A44" s="1862"/>
      <c r="B44" s="848"/>
      <c r="C44" s="848"/>
      <c r="D44" s="1862"/>
      <c r="E44" s="848"/>
      <c r="F44" s="1863"/>
      <c r="G44" s="848"/>
      <c r="H44" s="848"/>
      <c r="I44" s="848"/>
      <c r="J44" s="2816">
        <v>34</v>
      </c>
      <c r="K44" s="1736" t="s">
        <v>1753</v>
      </c>
      <c r="L44" s="1818" t="s">
        <v>37</v>
      </c>
      <c r="M44" s="1295">
        <v>400</v>
      </c>
      <c r="N44" s="1160">
        <v>400</v>
      </c>
      <c r="O44" s="2906"/>
      <c r="P44" s="3013"/>
      <c r="Q44" s="3360"/>
      <c r="R44" s="2812">
        <f>W44/$S$41</f>
        <v>0.05263157894736842</v>
      </c>
      <c r="S44"/>
      <c r="T44" s="3292"/>
      <c r="U44" s="1819" t="s">
        <v>1754</v>
      </c>
      <c r="V44" s="1120" t="s">
        <v>1755</v>
      </c>
      <c r="W44" s="1349">
        <v>10000000</v>
      </c>
      <c r="X44" s="2440">
        <v>10000000</v>
      </c>
      <c r="Y44" s="2441">
        <v>10000000</v>
      </c>
      <c r="Z44" s="1820">
        <v>20</v>
      </c>
      <c r="AA44" s="1818" t="s">
        <v>128</v>
      </c>
      <c r="AB44"/>
      <c r="AC44"/>
      <c r="AD44"/>
      <c r="AE44"/>
      <c r="AF44"/>
      <c r="AG44"/>
      <c r="AH44" s="3197"/>
      <c r="AI44" s="3203"/>
      <c r="AJ44" s="3197"/>
      <c r="AK44" s="3203"/>
      <c r="AL44" s="3198"/>
      <c r="AM44" s="3195"/>
      <c r="AN44"/>
      <c r="AO44"/>
      <c r="AP44"/>
      <c r="AQ44"/>
      <c r="AR44"/>
      <c r="AS44"/>
      <c r="AT44"/>
      <c r="AU44"/>
      <c r="AV44"/>
      <c r="AW44"/>
      <c r="AX44"/>
      <c r="AY44"/>
      <c r="AZ44" s="3123"/>
      <c r="BA44"/>
      <c r="BB44"/>
      <c r="BC44" s="3666"/>
      <c r="BD44"/>
      <c r="BE44" s="2887"/>
      <c r="BF44"/>
      <c r="BG44"/>
      <c r="BH44"/>
      <c r="BI44"/>
      <c r="BJ44" s="2906"/>
    </row>
    <row r="45" spans="1:62" s="4" customFormat="1" ht="163.5" customHeight="1">
      <c r="A45" s="1862"/>
      <c r="B45" s="848"/>
      <c r="C45" s="848"/>
      <c r="D45" s="1862"/>
      <c r="E45" s="848"/>
      <c r="F45" s="1863"/>
      <c r="G45" s="848"/>
      <c r="H45" s="848"/>
      <c r="I45" s="848"/>
      <c r="J45" s="2815">
        <v>31</v>
      </c>
      <c r="K45" s="1178" t="s">
        <v>1742</v>
      </c>
      <c r="L45" s="839" t="s">
        <v>37</v>
      </c>
      <c r="M45" s="1269">
        <v>4</v>
      </c>
      <c r="N45" s="425">
        <v>4</v>
      </c>
      <c r="O45" s="1133" t="s">
        <v>1756</v>
      </c>
      <c r="P45" s="1133">
        <v>74</v>
      </c>
      <c r="Q45" s="1296" t="s">
        <v>1757</v>
      </c>
      <c r="R45" s="1770">
        <v>1</v>
      </c>
      <c r="S45" s="1354">
        <v>90000000</v>
      </c>
      <c r="T45" s="1296" t="s">
        <v>1758</v>
      </c>
      <c r="U45" s="1296" t="s">
        <v>1759</v>
      </c>
      <c r="V45" s="1296" t="s">
        <v>1683</v>
      </c>
      <c r="W45" s="1354">
        <v>90000000</v>
      </c>
      <c r="X45" s="2439">
        <v>90000000</v>
      </c>
      <c r="Y45" s="2435">
        <v>90000000</v>
      </c>
      <c r="Z45" s="1807">
        <v>20</v>
      </c>
      <c r="AA45" s="839" t="s">
        <v>128</v>
      </c>
      <c r="AB45" s="1772">
        <v>7824</v>
      </c>
      <c r="AC45" s="1940">
        <v>6963</v>
      </c>
      <c r="AD45" s="1159">
        <v>8808</v>
      </c>
      <c r="AE45" s="1805">
        <v>7839</v>
      </c>
      <c r="AF45" s="1772">
        <v>3361</v>
      </c>
      <c r="AG45" s="1940">
        <v>2991</v>
      </c>
      <c r="AH45" s="1772">
        <v>12320</v>
      </c>
      <c r="AI45" s="1942">
        <v>11854</v>
      </c>
      <c r="AJ45" s="1821">
        <v>27112</v>
      </c>
      <c r="AK45" s="1942">
        <v>24129</v>
      </c>
      <c r="AL45" s="1772">
        <v>9933</v>
      </c>
      <c r="AM45" s="1940">
        <v>8840</v>
      </c>
      <c r="AN45" s="1822"/>
      <c r="AO45" s="1823"/>
      <c r="AP45" s="840"/>
      <c r="AQ45" s="841"/>
      <c r="AR45" s="840"/>
      <c r="AS45" s="841"/>
      <c r="AT45" s="840"/>
      <c r="AU45" s="841"/>
      <c r="AV45" s="840"/>
      <c r="AW45" s="841"/>
      <c r="AX45" s="840"/>
      <c r="AY45" s="841"/>
      <c r="AZ45" s="1162">
        <v>0</v>
      </c>
      <c r="BA45" s="1906">
        <v>90000000</v>
      </c>
      <c r="BB45" s="1907">
        <v>90000000</v>
      </c>
      <c r="BC45" s="1824">
        <f>+X45/W45</f>
        <v>1</v>
      </c>
      <c r="BD45" s="1809">
        <v>20</v>
      </c>
      <c r="BE45" s="1776" t="s">
        <v>1747</v>
      </c>
      <c r="BF45" s="1339"/>
      <c r="BG45" s="1744"/>
      <c r="BH45" s="1339"/>
      <c r="BI45" s="1777"/>
      <c r="BJ45" s="1778" t="s">
        <v>1691</v>
      </c>
    </row>
    <row r="46" spans="1:62" s="4" customFormat="1" ht="33" customHeight="1">
      <c r="A46" s="1862"/>
      <c r="B46" s="848"/>
      <c r="C46" s="848"/>
      <c r="D46" s="1862"/>
      <c r="E46" s="848"/>
      <c r="F46" s="1871"/>
      <c r="G46" s="1870">
        <v>7</v>
      </c>
      <c r="H46" s="819" t="s">
        <v>1760</v>
      </c>
      <c r="I46" s="663"/>
      <c r="J46" s="2832"/>
      <c r="K46" s="1825"/>
      <c r="L46" s="1746"/>
      <c r="M46" s="1811"/>
      <c r="N46" s="1748"/>
      <c r="O46" s="1749"/>
      <c r="P46" s="1749"/>
      <c r="Q46" s="1365"/>
      <c r="R46" s="1364"/>
      <c r="S46" s="1366"/>
      <c r="T46" s="1365"/>
      <c r="U46" s="1365"/>
      <c r="V46" s="1365"/>
      <c r="W46" s="1366"/>
      <c r="X46" s="1367"/>
      <c r="Y46" s="1367"/>
      <c r="Z46" s="1750"/>
      <c r="AA46" s="1364"/>
      <c r="AB46" s="1364"/>
      <c r="AC46" s="1748"/>
      <c r="AD46" s="1364"/>
      <c r="AE46" s="1748"/>
      <c r="AF46" s="1364"/>
      <c r="AG46" s="1748"/>
      <c r="AH46" s="1364"/>
      <c r="AI46" s="1748"/>
      <c r="AJ46" s="1364"/>
      <c r="AK46" s="1748"/>
      <c r="AL46" s="1364"/>
      <c r="AM46" s="1748"/>
      <c r="AN46" s="1364"/>
      <c r="AO46" s="1748"/>
      <c r="AP46" s="1364"/>
      <c r="AQ46" s="1748"/>
      <c r="AR46" s="1364"/>
      <c r="AS46" s="1748"/>
      <c r="AT46" s="1364"/>
      <c r="AU46" s="1748"/>
      <c r="AV46" s="1364"/>
      <c r="AW46" s="1748"/>
      <c r="AX46" s="1364"/>
      <c r="AY46" s="1748"/>
      <c r="AZ46" s="1751"/>
      <c r="BA46" s="1898"/>
      <c r="BB46" s="1899"/>
      <c r="BC46" s="1364"/>
      <c r="BD46" s="1364"/>
      <c r="BE46" s="1751"/>
      <c r="BF46" s="1364"/>
      <c r="BG46" s="1748"/>
      <c r="BH46" s="1364"/>
      <c r="BI46" s="1748"/>
      <c r="BJ46" s="1752"/>
    </row>
    <row r="47" spans="1:62" s="20" customFormat="1" ht="119.25" customHeight="1">
      <c r="A47" s="1862"/>
      <c r="B47" s="848"/>
      <c r="C47" s="848"/>
      <c r="D47" s="1862"/>
      <c r="E47" s="848"/>
      <c r="F47" s="1863"/>
      <c r="G47" s="1860"/>
      <c r="H47" s="1860"/>
      <c r="I47" s="1861"/>
      <c r="J47" s="2810">
        <v>35</v>
      </c>
      <c r="K47" s="1729" t="s">
        <v>1761</v>
      </c>
      <c r="L47" s="721" t="s">
        <v>37</v>
      </c>
      <c r="M47" s="2798">
        <v>5</v>
      </c>
      <c r="N47" s="2797">
        <v>5</v>
      </c>
      <c r="O47" s="2905" t="s">
        <v>1762</v>
      </c>
      <c r="P47" s="2905">
        <v>78</v>
      </c>
      <c r="Q47" s="3360" t="s">
        <v>2150</v>
      </c>
      <c r="R47" s="1826">
        <f>W47/S47</f>
        <v>0.5</v>
      </c>
      <c r="S47">
        <v>56000000</v>
      </c>
      <c r="T47" s="3292" t="s">
        <v>1763</v>
      </c>
      <c r="U47" s="1827" t="s">
        <v>1764</v>
      </c>
      <c r="V47" s="1828" t="s">
        <v>1765</v>
      </c>
      <c r="W47" s="1350">
        <v>28000000</v>
      </c>
      <c r="X47" s="2437">
        <v>26310834</v>
      </c>
      <c r="Y47" s="2437">
        <v>26310834</v>
      </c>
      <c r="Z47" t="s">
        <v>1766</v>
      </c>
      <c r="AA47" s="1829" t="s">
        <v>128</v>
      </c>
      <c r="AB47">
        <v>0</v>
      </c>
      <c r="AC47" s="3232"/>
      <c r="AD47">
        <v>0</v>
      </c>
      <c r="AE47"/>
      <c r="AF47">
        <v>0</v>
      </c>
      <c r="AG47"/>
      <c r="AH47">
        <v>16</v>
      </c>
      <c r="AI47"/>
      <c r="AJ47">
        <v>46</v>
      </c>
      <c r="AK47"/>
      <c r="AL47">
        <v>3</v>
      </c>
      <c r="AM47" s="3146"/>
      <c r="AN47"/>
      <c r="AO47"/>
      <c r="AP47"/>
      <c r="AQ47"/>
      <c r="AR47"/>
      <c r="AS47"/>
      <c r="AT47"/>
      <c r="AU47"/>
      <c r="AV47"/>
      <c r="AW47"/>
      <c r="AX47"/>
      <c r="AY47"/>
      <c r="AZ47" s="3122">
        <v>7</v>
      </c>
      <c r="BA47">
        <v>52621667</v>
      </c>
      <c r="BB47">
        <f>+Y47+Y48</f>
        <v>52621667</v>
      </c>
      <c r="BC47" s="3665">
        <f>BB47/BA47</f>
        <v>1</v>
      </c>
      <c r="BD47">
        <v>20</v>
      </c>
      <c r="BE47" s="2886" t="s">
        <v>1747</v>
      </c>
      <c r="BF47" s="3123" t="s">
        <v>1767</v>
      </c>
      <c r="BG47" s="3123" t="s">
        <v>1767</v>
      </c>
      <c r="BH47">
        <v>42724</v>
      </c>
      <c r="BI47">
        <v>42724</v>
      </c>
      <c r="BJ47" s="2906" t="s">
        <v>1691</v>
      </c>
    </row>
    <row r="48" spans="1:62" s="20" customFormat="1" ht="70.5" customHeight="1">
      <c r="A48" s="1862"/>
      <c r="B48" s="848"/>
      <c r="C48" s="848"/>
      <c r="D48" s="1862"/>
      <c r="E48" s="848"/>
      <c r="F48" s="1863"/>
      <c r="G48" s="848"/>
      <c r="H48" s="848"/>
      <c r="I48" s="1863"/>
      <c r="J48" s="2811">
        <v>36</v>
      </c>
      <c r="K48" s="1736" t="s">
        <v>1768</v>
      </c>
      <c r="L48" s="1818" t="s">
        <v>37</v>
      </c>
      <c r="M48" s="1830">
        <v>1</v>
      </c>
      <c r="N48" s="1151">
        <v>1</v>
      </c>
      <c r="O48" s="2941"/>
      <c r="P48" s="2906"/>
      <c r="Q48" s="3360"/>
      <c r="R48" s="2813">
        <f>W48/S47</f>
        <v>0.5</v>
      </c>
      <c r="S48"/>
      <c r="T48"/>
      <c r="U48" s="1831" t="s">
        <v>1769</v>
      </c>
      <c r="V48" s="1832" t="s">
        <v>1770</v>
      </c>
      <c r="W48" s="1350">
        <v>28000000</v>
      </c>
      <c r="X48" s="2438">
        <v>26310833</v>
      </c>
      <c r="Y48" s="2438">
        <v>26310833</v>
      </c>
      <c r="Z48"/>
      <c r="AA48" s="1818" t="s">
        <v>128</v>
      </c>
      <c r="AB48"/>
      <c r="AC48"/>
      <c r="AD48"/>
      <c r="AE48"/>
      <c r="AF48"/>
      <c r="AG48"/>
      <c r="AH48"/>
      <c r="AI48" s="3145"/>
      <c r="AJ48"/>
      <c r="AK48" s="3145"/>
      <c r="AL48"/>
      <c r="AM48" s="3146"/>
      <c r="AN48"/>
      <c r="AO48"/>
      <c r="AP48"/>
      <c r="AQ48"/>
      <c r="AR48"/>
      <c r="AS48"/>
      <c r="AT48"/>
      <c r="AU48"/>
      <c r="AV48"/>
      <c r="AW48"/>
      <c r="AX48"/>
      <c r="AY48"/>
      <c r="AZ48" s="3123"/>
      <c r="BA48"/>
      <c r="BB48"/>
      <c r="BC48" s="3666"/>
      <c r="BD48"/>
      <c r="BE48" s="2887"/>
      <c r="BF48" s="3123"/>
      <c r="BG48" s="3123"/>
      <c r="BH48"/>
      <c r="BI48"/>
      <c r="BJ48" s="2906"/>
    </row>
    <row r="49" spans="1:62" s="4" customFormat="1" ht="409.5" customHeight="1">
      <c r="A49" s="1862"/>
      <c r="B49" s="848"/>
      <c r="C49" s="848"/>
      <c r="D49" s="1862"/>
      <c r="E49" s="848"/>
      <c r="F49" s="1863"/>
      <c r="G49" s="848"/>
      <c r="H49" s="848"/>
      <c r="I49" s="1863"/>
      <c r="J49" s="2814">
        <v>35</v>
      </c>
      <c r="K49" s="1178" t="s">
        <v>1761</v>
      </c>
      <c r="L49" s="839" t="s">
        <v>37</v>
      </c>
      <c r="M49" s="2798">
        <v>5</v>
      </c>
      <c r="N49" s="2797">
        <v>5</v>
      </c>
      <c r="O49" s="1133" t="s">
        <v>1771</v>
      </c>
      <c r="P49" s="1133">
        <v>76</v>
      </c>
      <c r="Q49" s="1296" t="s">
        <v>1772</v>
      </c>
      <c r="R49" s="1770">
        <v>1</v>
      </c>
      <c r="S49" s="1833">
        <v>79000000</v>
      </c>
      <c r="T49" s="1296" t="s">
        <v>1739</v>
      </c>
      <c r="U49" s="1178" t="s">
        <v>1773</v>
      </c>
      <c r="V49" s="1178" t="s">
        <v>1683</v>
      </c>
      <c r="W49" s="1354">
        <v>79000000</v>
      </c>
      <c r="X49" s="2439">
        <v>75266667</v>
      </c>
      <c r="Y49" s="2439">
        <v>75266667</v>
      </c>
      <c r="Z49" s="1807" t="s">
        <v>1774</v>
      </c>
      <c r="AA49" s="839" t="s">
        <v>128</v>
      </c>
      <c r="AB49" s="1772">
        <v>7824</v>
      </c>
      <c r="AC49" s="1940">
        <v>5942</v>
      </c>
      <c r="AD49" s="1772">
        <v>8808</v>
      </c>
      <c r="AE49" s="1940">
        <v>6680</v>
      </c>
      <c r="AF49" s="1772">
        <v>3361</v>
      </c>
      <c r="AG49" s="1940">
        <v>2552</v>
      </c>
      <c r="AH49" s="1772">
        <v>9621</v>
      </c>
      <c r="AI49" s="1941">
        <v>7307</v>
      </c>
      <c r="AJ49" s="1808">
        <v>29811</v>
      </c>
      <c r="AK49" s="1941">
        <v>22641</v>
      </c>
      <c r="AL49" s="1772">
        <v>9933</v>
      </c>
      <c r="AM49" s="1940">
        <v>7544</v>
      </c>
      <c r="AN49" s="1822"/>
      <c r="AO49" s="841"/>
      <c r="AP49" s="840"/>
      <c r="AQ49" s="841"/>
      <c r="AR49" s="840"/>
      <c r="AS49" s="841"/>
      <c r="AT49" s="840"/>
      <c r="AU49" s="841"/>
      <c r="AV49" s="840"/>
      <c r="AW49" s="841"/>
      <c r="AX49" s="840"/>
      <c r="AY49" s="841"/>
      <c r="AZ49" s="1162">
        <v>10</v>
      </c>
      <c r="BA49" s="1908">
        <v>75266667</v>
      </c>
      <c r="BB49" s="1909">
        <f>+Y49</f>
        <v>75266667</v>
      </c>
      <c r="BC49" s="1660">
        <f>BB49/BA49</f>
        <v>1</v>
      </c>
      <c r="BD49" s="839" t="s">
        <v>1775</v>
      </c>
      <c r="BE49" s="1776" t="s">
        <v>1747</v>
      </c>
      <c r="BF49" s="1339">
        <v>41192</v>
      </c>
      <c r="BG49" s="1744">
        <v>41192</v>
      </c>
      <c r="BH49" s="1744">
        <v>42724</v>
      </c>
      <c r="BI49" s="1777">
        <v>42724</v>
      </c>
      <c r="BJ49" s="1778" t="s">
        <v>1691</v>
      </c>
    </row>
    <row r="50" spans="1:62" s="4" customFormat="1" ht="150.75" customHeight="1">
      <c r="A50" s="1862"/>
      <c r="B50" s="848"/>
      <c r="C50" s="848"/>
      <c r="D50" s="1862"/>
      <c r="E50" s="848"/>
      <c r="F50" s="1863"/>
      <c r="G50" s="868"/>
      <c r="H50" s="868"/>
      <c r="I50" s="869"/>
      <c r="J50" s="2814">
        <v>35</v>
      </c>
      <c r="K50" s="1178" t="s">
        <v>1761</v>
      </c>
      <c r="L50" s="839" t="s">
        <v>37</v>
      </c>
      <c r="M50" s="1269">
        <v>5</v>
      </c>
      <c r="N50" s="1880">
        <v>5</v>
      </c>
      <c r="O50" s="1133" t="s">
        <v>1776</v>
      </c>
      <c r="P50" s="1133">
        <v>77</v>
      </c>
      <c r="Q50" s="1296" t="s">
        <v>1777</v>
      </c>
      <c r="R50" s="1770">
        <v>1</v>
      </c>
      <c r="S50" s="1833">
        <v>5000000</v>
      </c>
      <c r="T50" s="1296" t="s">
        <v>1739</v>
      </c>
      <c r="U50" s="1296" t="s">
        <v>1773</v>
      </c>
      <c r="V50" s="1178" t="s">
        <v>1683</v>
      </c>
      <c r="W50" s="1354">
        <v>5000000</v>
      </c>
      <c r="X50" s="2439">
        <v>5000000</v>
      </c>
      <c r="Y50" s="2435">
        <v>5000000</v>
      </c>
      <c r="Z50" s="1807">
        <v>20</v>
      </c>
      <c r="AA50" s="839" t="s">
        <v>128</v>
      </c>
      <c r="AB50" s="1772">
        <v>7824</v>
      </c>
      <c r="AC50" s="1940"/>
      <c r="AD50" s="1772">
        <v>8080</v>
      </c>
      <c r="AE50" s="2808">
        <v>8808</v>
      </c>
      <c r="AF50" s="1772">
        <v>3361</v>
      </c>
      <c r="AG50" s="2808">
        <v>3361</v>
      </c>
      <c r="AH50" s="1772">
        <v>39432</v>
      </c>
      <c r="AI50" s="2809">
        <v>39432</v>
      </c>
      <c r="AJ50" s="1808"/>
      <c r="AK50" s="1941"/>
      <c r="AL50" s="1772">
        <v>9933</v>
      </c>
      <c r="AM50" s="2808">
        <v>9933</v>
      </c>
      <c r="AN50" s="1772"/>
      <c r="AO50" s="841"/>
      <c r="AP50" s="840"/>
      <c r="AQ50" s="841"/>
      <c r="AR50" s="840"/>
      <c r="AS50" s="841"/>
      <c r="AT50" s="840"/>
      <c r="AU50" s="841"/>
      <c r="AV50" s="840"/>
      <c r="AW50" s="841"/>
      <c r="AX50" s="840"/>
      <c r="AY50" s="841"/>
      <c r="AZ50" s="1162">
        <v>1</v>
      </c>
      <c r="BA50" s="1906">
        <v>5000000</v>
      </c>
      <c r="BB50" s="1907">
        <f>+Y50</f>
        <v>5000000</v>
      </c>
      <c r="BC50" s="1834">
        <f>+X50/W50</f>
        <v>1</v>
      </c>
      <c r="BD50" s="1809">
        <v>20</v>
      </c>
      <c r="BE50" s="1776" t="s">
        <v>1747</v>
      </c>
      <c r="BF50" s="1339">
        <v>41192</v>
      </c>
      <c r="BG50" s="1744">
        <v>41192</v>
      </c>
      <c r="BH50" s="1339">
        <v>42724</v>
      </c>
      <c r="BI50" s="1777">
        <v>42724</v>
      </c>
      <c r="BJ50" s="1778" t="s">
        <v>1691</v>
      </c>
    </row>
    <row r="51" spans="1:62" s="4" customFormat="1" ht="24" customHeight="1">
      <c r="A51" s="1864"/>
      <c r="B51" s="851"/>
      <c r="C51" s="851"/>
      <c r="D51" s="1864"/>
      <c r="E51" s="851"/>
      <c r="F51" s="1865"/>
      <c r="G51" s="1872">
        <v>34</v>
      </c>
      <c r="H51" s="1835" t="s">
        <v>1778</v>
      </c>
      <c r="I51" s="1836"/>
      <c r="J51" s="2833"/>
      <c r="K51" s="1365"/>
      <c r="L51" s="1364"/>
      <c r="M51" s="1364"/>
      <c r="N51" s="1748"/>
      <c r="O51" s="1749"/>
      <c r="P51" s="1749"/>
      <c r="Q51" s="1365"/>
      <c r="R51" s="1364"/>
      <c r="S51" s="1366"/>
      <c r="T51" s="1365"/>
      <c r="U51" s="1365"/>
      <c r="V51" s="1365"/>
      <c r="W51" s="1366"/>
      <c r="X51" s="1367"/>
      <c r="Y51" s="1367"/>
      <c r="Z51" s="1750"/>
      <c r="AA51" s="1364"/>
      <c r="AB51" s="1364"/>
      <c r="AC51" s="1748"/>
      <c r="AD51" s="1364"/>
      <c r="AE51" s="1748"/>
      <c r="AF51" s="1364"/>
      <c r="AG51" s="1748"/>
      <c r="AH51" s="1364"/>
      <c r="AI51" s="1748"/>
      <c r="AJ51" s="1364"/>
      <c r="AK51" s="1748"/>
      <c r="AL51" s="1364"/>
      <c r="AM51" s="1748"/>
      <c r="AN51" s="1364"/>
      <c r="AO51" s="1748"/>
      <c r="AP51" s="1364"/>
      <c r="AQ51" s="1748"/>
      <c r="AR51" s="1364"/>
      <c r="AS51" s="1748"/>
      <c r="AT51" s="1364"/>
      <c r="AU51" s="1748"/>
      <c r="AV51" s="1364"/>
      <c r="AW51" s="1748"/>
      <c r="AX51" s="1364"/>
      <c r="AY51" s="1748"/>
      <c r="AZ51" s="1751"/>
      <c r="BA51" s="1898"/>
      <c r="BB51" s="1899"/>
      <c r="BC51" s="1364"/>
      <c r="BD51" s="1364"/>
      <c r="BE51" s="1751"/>
      <c r="BF51" s="1364"/>
      <c r="BG51" s="1748"/>
      <c r="BH51" s="1364"/>
      <c r="BI51" s="1748"/>
      <c r="BJ51" s="1752"/>
    </row>
    <row r="52" spans="1:62" s="20" customFormat="1" ht="121.5" customHeight="1">
      <c r="A52" s="1864"/>
      <c r="B52" s="851"/>
      <c r="C52" s="851"/>
      <c r="D52" s="1864"/>
      <c r="E52" s="851"/>
      <c r="F52" s="851"/>
      <c r="G52" s="1873"/>
      <c r="H52" s="1874"/>
      <c r="I52" s="1875"/>
      <c r="J52">
        <v>122</v>
      </c>
      <c r="K52" s="2910" t="s">
        <v>1779</v>
      </c>
      <c r="L52" t="s">
        <v>37</v>
      </c>
      <c r="M52">
        <v>1</v>
      </c>
      <c r="N52" s="3203">
        <v>1</v>
      </c>
      <c r="O52" s="2905" t="s">
        <v>1780</v>
      </c>
      <c r="P52" s="2905">
        <v>79</v>
      </c>
      <c r="Q52" s="3359" t="s">
        <v>2138</v>
      </c>
      <c r="R52" s="1817">
        <f>W52/$S$52</f>
        <v>0.11918021978021978</v>
      </c>
      <c r="S52">
        <v>455000000</v>
      </c>
      <c r="T52" s="2910" t="s">
        <v>1781</v>
      </c>
      <c r="U52" s="1814" t="s">
        <v>1782</v>
      </c>
      <c r="V52" s="1119" t="s">
        <v>1783</v>
      </c>
      <c r="W52" s="1354">
        <v>54227000</v>
      </c>
      <c r="X52">
        <f>77451815+10903417</f>
        <v>88355232</v>
      </c>
      <c r="Y52">
        <f>77451815+10903417</f>
        <v>88355232</v>
      </c>
      <c r="Z52" s="1816">
        <v>20</v>
      </c>
      <c r="AA52" s="721" t="s">
        <v>128</v>
      </c>
      <c r="AB52">
        <v>20</v>
      </c>
      <c r="AC52">
        <v>1975</v>
      </c>
      <c r="AD52" s="3190">
        <v>20</v>
      </c>
      <c r="AE52">
        <v>766</v>
      </c>
      <c r="AF52" s="3190">
        <v>20</v>
      </c>
      <c r="AG52">
        <v>765</v>
      </c>
      <c r="AH52" s="3190"/>
      <c r="AI52">
        <v>0</v>
      </c>
      <c r="AJ52" s="3190">
        <v>20</v>
      </c>
      <c r="AK52">
        <v>5500</v>
      </c>
      <c r="AL52" s="3190">
        <v>20</v>
      </c>
      <c r="AM52">
        <v>594</v>
      </c>
      <c r="AN52"/>
      <c r="AO52"/>
      <c r="AP52"/>
      <c r="AQ52"/>
      <c r="AR52"/>
      <c r="AS52"/>
      <c r="AT52"/>
      <c r="AU52"/>
      <c r="AV52"/>
      <c r="AW52"/>
      <c r="AX52"/>
      <c r="AY52"/>
      <c r="AZ52" s="3214">
        <v>8</v>
      </c>
      <c r="BA52">
        <f>X52+X54+X55</f>
        <v>448355232</v>
      </c>
      <c r="BB52">
        <f>Y52+Y54+Y55</f>
        <v>257997576</v>
      </c>
      <c r="BC52">
        <f>BB52/BA52</f>
        <v>0.5754311706125022</v>
      </c>
      <c r="BD52">
        <v>20</v>
      </c>
      <c r="BE52" s="2988" t="s">
        <v>1734</v>
      </c>
      <c r="BF52">
        <v>42656</v>
      </c>
      <c r="BG52">
        <v>42656</v>
      </c>
      <c r="BH52">
        <v>42724</v>
      </c>
      <c r="BI52">
        <v>42724</v>
      </c>
      <c r="BJ52" s="2931" t="s">
        <v>1784</v>
      </c>
    </row>
    <row r="53" spans="1:62" s="20" customFormat="1" ht="80.25" customHeight="1">
      <c r="A53" s="1864"/>
      <c r="B53" s="851"/>
      <c r="C53" s="851"/>
      <c r="D53" s="1864"/>
      <c r="E53" s="851"/>
      <c r="F53" s="851"/>
      <c r="G53" s="1864"/>
      <c r="H53" s="851"/>
      <c r="I53" s="1865"/>
      <c r="J53"/>
      <c r="K53" s="3292"/>
      <c r="L53"/>
      <c r="M53"/>
      <c r="N53" s="3195"/>
      <c r="O53" s="2906"/>
      <c r="P53" s="2906"/>
      <c r="Q53" s="3360"/>
      <c r="R53" s="2819">
        <f>W53/$S$52</f>
        <v>0.08791208791208792</v>
      </c>
      <c r="S53"/>
      <c r="T53" s="3292"/>
      <c r="U53" s="1769" t="s">
        <v>1785</v>
      </c>
      <c r="V53" s="1837" t="s">
        <v>1786</v>
      </c>
      <c r="W53" s="1354">
        <v>40000000</v>
      </c>
      <c r="X53"/>
      <c r="Y53"/>
      <c r="Z53" s="1816">
        <v>20</v>
      </c>
      <c r="AA53" s="721" t="s">
        <v>128</v>
      </c>
      <c r="AB53"/>
      <c r="AC53"/>
      <c r="AD53" s="3190"/>
      <c r="AE53"/>
      <c r="AF53" s="3190"/>
      <c r="AG53"/>
      <c r="AH53" s="3190"/>
      <c r="AI53"/>
      <c r="AJ53" s="3190"/>
      <c r="AK53"/>
      <c r="AL53" s="3190"/>
      <c r="AM53"/>
      <c r="AN53"/>
      <c r="AO53"/>
      <c r="AP53"/>
      <c r="AQ53"/>
      <c r="AR53"/>
      <c r="AS53"/>
      <c r="AT53"/>
      <c r="AU53"/>
      <c r="AV53"/>
      <c r="AW53"/>
      <c r="AX53"/>
      <c r="AY53"/>
      <c r="AZ53" s="3214"/>
      <c r="BA53"/>
      <c r="BB53"/>
      <c r="BC53"/>
      <c r="BD53"/>
      <c r="BE53" s="2988"/>
      <c r="BF53"/>
      <c r="BG53"/>
      <c r="BH53"/>
      <c r="BI53"/>
      <c r="BJ53" s="2931"/>
    </row>
    <row r="54" spans="1:62" s="20" customFormat="1" ht="108" customHeight="1">
      <c r="A54" s="1864"/>
      <c r="B54" s="851"/>
      <c r="C54" s="851"/>
      <c r="D54" s="1864"/>
      <c r="E54" s="851"/>
      <c r="F54" s="851"/>
      <c r="G54" s="1864"/>
      <c r="H54" s="851"/>
      <c r="I54" s="1865"/>
      <c r="J54"/>
      <c r="K54" s="3293"/>
      <c r="L54"/>
      <c r="M54"/>
      <c r="N54" s="3196"/>
      <c r="O54" s="2906"/>
      <c r="P54" s="2906"/>
      <c r="Q54" s="3360"/>
      <c r="R54" s="2819">
        <f>W54/$S$52</f>
        <v>0.001698901098901099</v>
      </c>
      <c r="S54"/>
      <c r="T54" s="3292"/>
      <c r="U54" s="1769" t="s">
        <v>1787</v>
      </c>
      <c r="V54" s="1814" t="s">
        <v>1788</v>
      </c>
      <c r="W54" s="1354">
        <v>773000</v>
      </c>
      <c r="X54" s="1360">
        <v>0</v>
      </c>
      <c r="Y54" s="1360">
        <v>0</v>
      </c>
      <c r="Z54" s="1816"/>
      <c r="AA54" s="721"/>
      <c r="AB54"/>
      <c r="AC54"/>
      <c r="AD54" s="3190"/>
      <c r="AE54"/>
      <c r="AF54" s="3190"/>
      <c r="AG54"/>
      <c r="AH54" s="3190"/>
      <c r="AI54"/>
      <c r="AJ54" s="3190"/>
      <c r="AK54"/>
      <c r="AL54" s="3190"/>
      <c r="AM54"/>
      <c r="AN54"/>
      <c r="AO54"/>
      <c r="AP54"/>
      <c r="AQ54"/>
      <c r="AR54"/>
      <c r="AS54"/>
      <c r="AT54"/>
      <c r="AU54"/>
      <c r="AV54"/>
      <c r="AW54"/>
      <c r="AX54"/>
      <c r="AY54"/>
      <c r="AZ54" s="3214"/>
      <c r="BA54"/>
      <c r="BB54"/>
      <c r="BC54"/>
      <c r="BD54"/>
      <c r="BE54" s="2988"/>
      <c r="BF54"/>
      <c r="BG54"/>
      <c r="BH54"/>
      <c r="BI54"/>
      <c r="BJ54" s="2931"/>
    </row>
    <row r="55" spans="1:62" s="20" customFormat="1" ht="111" customHeight="1">
      <c r="A55" s="1864"/>
      <c r="B55" s="851"/>
      <c r="C55" s="851"/>
      <c r="D55" s="1864"/>
      <c r="E55" s="851"/>
      <c r="F55" s="851"/>
      <c r="G55" s="1864"/>
      <c r="H55" s="851"/>
      <c r="I55" s="1865"/>
      <c r="J55" s="2817">
        <v>123</v>
      </c>
      <c r="K55" s="672" t="s">
        <v>1789</v>
      </c>
      <c r="L55"/>
      <c r="M55" s="2630">
        <v>4</v>
      </c>
      <c r="N55" s="2626">
        <v>6</v>
      </c>
      <c r="O55" s="2906"/>
      <c r="P55" s="2906"/>
      <c r="Q55" s="3360"/>
      <c r="R55" s="2819">
        <f>W55/$S$52</f>
        <v>0.7912087912087912</v>
      </c>
      <c r="S55"/>
      <c r="T55" s="3292"/>
      <c r="U55" s="1876" t="s">
        <v>1787</v>
      </c>
      <c r="V55" s="1877" t="s">
        <v>1790</v>
      </c>
      <c r="W55" s="1349">
        <v>360000000</v>
      </c>
      <c r="X55" s="1887">
        <v>360000000</v>
      </c>
      <c r="Y55" s="1887">
        <v>169642344</v>
      </c>
      <c r="Z55" s="1820">
        <v>20</v>
      </c>
      <c r="AA55" s="1818" t="s">
        <v>128</v>
      </c>
      <c r="AB55"/>
      <c r="AC55" s="3203"/>
      <c r="AD55" s="3197"/>
      <c r="AE55" s="3203"/>
      <c r="AF55" s="3197"/>
      <c r="AG55" s="3203"/>
      <c r="AH55" s="3197"/>
      <c r="AI55" s="3203"/>
      <c r="AJ55" s="3197"/>
      <c r="AK55" s="3203"/>
      <c r="AL55" s="3197"/>
      <c r="AM55" s="3203"/>
      <c r="AN55"/>
      <c r="AO55"/>
      <c r="AP55"/>
      <c r="AQ55"/>
      <c r="AR55"/>
      <c r="AS55"/>
      <c r="AT55"/>
      <c r="AU55"/>
      <c r="AV55"/>
      <c r="AW55"/>
      <c r="AX55"/>
      <c r="AY55"/>
      <c r="AZ55" s="3122"/>
      <c r="BA55"/>
      <c r="BB55"/>
      <c r="BC55"/>
      <c r="BD55"/>
      <c r="BE55" s="2886"/>
      <c r="BF55"/>
      <c r="BG55"/>
      <c r="BH55"/>
      <c r="BI55"/>
      <c r="BJ55" s="2905"/>
    </row>
    <row r="56" spans="1:62" s="4" customFormat="1" ht="322.5" customHeight="1">
      <c r="A56" s="867"/>
      <c r="B56" s="868"/>
      <c r="C56" s="868"/>
      <c r="D56" s="867"/>
      <c r="E56" s="868"/>
      <c r="F56" s="868"/>
      <c r="G56" s="867"/>
      <c r="H56" s="868"/>
      <c r="I56" s="869"/>
      <c r="J56" s="1878">
        <v>125</v>
      </c>
      <c r="K56" s="1178" t="s">
        <v>1791</v>
      </c>
      <c r="L56" s="839" t="s">
        <v>37</v>
      </c>
      <c r="M56" s="2629">
        <v>150</v>
      </c>
      <c r="N56" s="2628">
        <v>129</v>
      </c>
      <c r="O56" s="1133" t="s">
        <v>1792</v>
      </c>
      <c r="P56" s="1133">
        <v>80</v>
      </c>
      <c r="Q56" s="1296" t="s">
        <v>1793</v>
      </c>
      <c r="R56" s="1660">
        <v>1</v>
      </c>
      <c r="S56" s="1354">
        <v>5000000</v>
      </c>
      <c r="T56" s="1296" t="s">
        <v>1794</v>
      </c>
      <c r="U56" s="1337" t="s">
        <v>1795</v>
      </c>
      <c r="V56" s="837" t="s">
        <v>1683</v>
      </c>
      <c r="W56" s="1354">
        <v>5000000</v>
      </c>
      <c r="X56" s="1883">
        <v>5000000</v>
      </c>
      <c r="Y56" s="707">
        <v>5000000</v>
      </c>
      <c r="Z56" s="1807">
        <v>20</v>
      </c>
      <c r="AA56" s="839" t="s">
        <v>128</v>
      </c>
      <c r="AB56" s="1838">
        <v>42</v>
      </c>
      <c r="AC56" s="1839"/>
      <c r="AD56" s="1838">
        <v>56</v>
      </c>
      <c r="AE56" s="1839">
        <v>56</v>
      </c>
      <c r="AF56" s="1840"/>
      <c r="AG56" s="2045"/>
      <c r="AH56" s="2046"/>
      <c r="AI56" s="2045"/>
      <c r="AJ56" s="2799">
        <v>1067</v>
      </c>
      <c r="AK56" s="1839">
        <v>1067</v>
      </c>
      <c r="AL56" s="1840">
        <v>35</v>
      </c>
      <c r="AM56" s="1839">
        <v>35</v>
      </c>
      <c r="AN56" s="1838"/>
      <c r="AO56" s="841"/>
      <c r="AP56" s="840"/>
      <c r="AQ56" s="841"/>
      <c r="AR56" s="840"/>
      <c r="AS56" s="841"/>
      <c r="AT56" s="840"/>
      <c r="AU56" s="841"/>
      <c r="AV56" s="840"/>
      <c r="AW56" s="841"/>
      <c r="AX56" s="840"/>
      <c r="AY56" s="841"/>
      <c r="AZ56" s="1841">
        <v>1</v>
      </c>
      <c r="BA56" s="1896">
        <v>5000000</v>
      </c>
      <c r="BB56" s="1897">
        <v>5000000</v>
      </c>
      <c r="BC56" s="1842">
        <f>+X56/W56</f>
        <v>1</v>
      </c>
      <c r="BD56" s="1809">
        <v>20</v>
      </c>
      <c r="BE56" s="1776" t="s">
        <v>1734</v>
      </c>
      <c r="BF56" s="1339">
        <v>41192</v>
      </c>
      <c r="BG56" s="1744">
        <v>41192</v>
      </c>
      <c r="BH56" s="1744">
        <v>42724</v>
      </c>
      <c r="BI56" s="1777">
        <v>42724</v>
      </c>
      <c r="BJ56" s="1778" t="s">
        <v>1691</v>
      </c>
    </row>
    <row r="57" spans="1:62" s="4" customFormat="1" ht="34.5" customHeight="1" thickBot="1">
      <c r="A57" t="s">
        <v>96</v>
      </c>
      <c r="B57"/>
      <c r="C57"/>
      <c r="D57"/>
      <c r="E57"/>
      <c r="F57"/>
      <c r="G57"/>
      <c r="H57"/>
      <c r="I57"/>
      <c r="J57"/>
      <c r="K57"/>
      <c r="L57"/>
      <c r="M57"/>
      <c r="N57"/>
      <c r="O57"/>
      <c r="P57"/>
      <c r="Q57"/>
      <c r="R57"/>
      <c r="S57" s="1879">
        <f>SUM(S14:S56)</f>
        <v>1929366350</v>
      </c>
      <c r="T57" s="1843"/>
      <c r="U57" s="1844"/>
      <c r="V57" s="1845"/>
      <c r="W57" s="1846">
        <f>SUM(W14:W56)</f>
        <v>1929366350</v>
      </c>
      <c r="X57" s="1847">
        <f>SUM(X14:X56)</f>
        <v>1384903722</v>
      </c>
      <c r="Y57" s="1847">
        <f>SUM(Y14:Y56)</f>
        <v>1128546066</v>
      </c>
      <c r="Z57" s="1848"/>
      <c r="AA57" s="1849"/>
      <c r="AB57" s="883"/>
      <c r="AC57" s="1850"/>
      <c r="AD57" s="883"/>
      <c r="AE57" s="1850"/>
      <c r="AF57" s="883"/>
      <c r="AG57" s="1850"/>
      <c r="AH57" s="883"/>
      <c r="AI57" s="1850"/>
      <c r="AJ57" s="883"/>
      <c r="AK57" s="1850"/>
      <c r="AL57" s="883"/>
      <c r="AM57" s="1850"/>
      <c r="AN57" s="883"/>
      <c r="AO57" s="1850"/>
      <c r="AP57" s="883"/>
      <c r="AQ57" s="1850"/>
      <c r="AR57" s="883"/>
      <c r="AS57" s="1850"/>
      <c r="AT57" s="883"/>
      <c r="AU57" s="1850"/>
      <c r="AV57" s="883"/>
      <c r="AW57" s="1850"/>
      <c r="AX57" s="883"/>
      <c r="AY57" s="1850"/>
      <c r="AZ57" s="1851"/>
      <c r="BA57" s="1910">
        <f>SUM(BA14:BA56)</f>
        <v>1384903722</v>
      </c>
      <c r="BB57" s="1911">
        <f>SUM(BB14:BB56)</f>
        <v>1128546066</v>
      </c>
      <c r="BC57" s="883"/>
      <c r="BD57" s="883"/>
      <c r="BE57" s="1851"/>
      <c r="BF57" s="1852"/>
      <c r="BG57" s="1853"/>
      <c r="BH57" s="884"/>
      <c r="BI57" s="890"/>
      <c r="BJ57" s="895"/>
    </row>
    <row r="58" spans="19:57" ht="81.75" customHeight="1">
      <c r="S58" s="1857"/>
      <c r="W58" s="1854"/>
      <c r="X58" s="1855"/>
      <c r="Y58" s="1855"/>
      <c r="BA58" s="1912"/>
      <c r="BB58" s="1913"/>
      <c r="BD58" s="23"/>
      <c r="BE58" s="459"/>
    </row>
    <row r="59" spans="6:57" ht="21.75" customHeight="1">
      <c r="F59" t="s">
        <v>1796</v>
      </c>
      <c r="G59"/>
      <c r="H59"/>
      <c r="I59"/>
      <c r="J59"/>
      <c r="K59"/>
      <c r="L59"/>
      <c r="S59" s="845"/>
      <c r="BD59" s="23"/>
      <c r="BE59" s="459"/>
    </row>
    <row r="60" spans="6:19" ht="20.25" customHeight="1">
      <c r="F60" t="s">
        <v>1797</v>
      </c>
      <c r="G60"/>
      <c r="H60"/>
      <c r="I60"/>
      <c r="J60"/>
      <c r="K60"/>
      <c r="L60"/>
      <c r="S60" s="1856"/>
    </row>
    <row r="61" ht="34.5" customHeight="1"/>
  </sheetData>
  <sheetProtection/>
  <mergeCells count="403">
    <mergeCell ref="A1:BF4"/>
    <mergeCell ref="A5:M6"/>
    <mergeCell ref="Q5:BJ5"/>
    <mergeCell ref="Q6:AA6"/>
    <mergeCell ref="AB6:AY6"/>
    <mergeCell ref="BF6:BJ6"/>
    <mergeCell ref="J7:J9"/>
    <mergeCell ref="K7:K9"/>
    <mergeCell ref="L7:L9"/>
    <mergeCell ref="M7:N8"/>
    <mergeCell ref="O7:O9"/>
    <mergeCell ref="P7:P10"/>
    <mergeCell ref="M9:M10"/>
    <mergeCell ref="N9:N10"/>
    <mergeCell ref="A7:A9"/>
    <mergeCell ref="B7:C9"/>
    <mergeCell ref="D7:D9"/>
    <mergeCell ref="E7:F9"/>
    <mergeCell ref="G7:G9"/>
    <mergeCell ref="H7:I9"/>
    <mergeCell ref="BC8:BC9"/>
    <mergeCell ref="BD8:BD9"/>
    <mergeCell ref="BE8:BE9"/>
    <mergeCell ref="BF7:BG8"/>
    <mergeCell ref="BH7:BI8"/>
    <mergeCell ref="AB8:AC8"/>
    <mergeCell ref="AD8:AE8"/>
    <mergeCell ref="AF8:AG8"/>
    <mergeCell ref="AH8:AI8"/>
    <mergeCell ref="AJ8:AK8"/>
    <mergeCell ref="AL8:AM8"/>
    <mergeCell ref="AN8:AO8"/>
    <mergeCell ref="AP8:AQ8"/>
    <mergeCell ref="AB7:AM7"/>
    <mergeCell ref="AN7:AY7"/>
    <mergeCell ref="AZ7:BE7"/>
    <mergeCell ref="AR8:AS8"/>
    <mergeCell ref="AT8:AU8"/>
    <mergeCell ref="AV8:AW8"/>
    <mergeCell ref="AX8:AY8"/>
    <mergeCell ref="O14:O17"/>
    <mergeCell ref="P14:P17"/>
    <mergeCell ref="Q14:Q17"/>
    <mergeCell ref="S14:S17"/>
    <mergeCell ref="T14:T17"/>
    <mergeCell ref="AB14:AB17"/>
    <mergeCell ref="AZ8:AZ9"/>
    <mergeCell ref="BA8:BA9"/>
    <mergeCell ref="BB8:BB9"/>
    <mergeCell ref="W7:Y8"/>
    <mergeCell ref="Z7:Z9"/>
    <mergeCell ref="AA7:AA9"/>
    <mergeCell ref="Q7:Q9"/>
    <mergeCell ref="R7:R9"/>
    <mergeCell ref="S7:S9"/>
    <mergeCell ref="T7:T9"/>
    <mergeCell ref="U7:U9"/>
    <mergeCell ref="V7:V9"/>
    <mergeCell ref="AI14:AI17"/>
    <mergeCell ref="AJ14:AJ17"/>
    <mergeCell ref="AL14:AL17"/>
    <mergeCell ref="AM14:AM17"/>
    <mergeCell ref="AN14:AN17"/>
    <mergeCell ref="AO14:AO17"/>
    <mergeCell ref="AC14:AC17"/>
    <mergeCell ref="AD14:AD17"/>
    <mergeCell ref="AE14:AE17"/>
    <mergeCell ref="AF14:AF17"/>
    <mergeCell ref="AG14:AG17"/>
    <mergeCell ref="AH14:AH17"/>
    <mergeCell ref="AX14:AX17"/>
    <mergeCell ref="AY14:AY17"/>
    <mergeCell ref="AZ14:AZ17"/>
    <mergeCell ref="BA14:BA17"/>
    <mergeCell ref="AP14:AP17"/>
    <mergeCell ref="AQ14:AQ17"/>
    <mergeCell ref="AR14:AR17"/>
    <mergeCell ref="AS14:AS17"/>
    <mergeCell ref="AT14:AT17"/>
    <mergeCell ref="AU14:AU17"/>
    <mergeCell ref="AF21:AF22"/>
    <mergeCell ref="AG21:AG22"/>
    <mergeCell ref="AH21:AH22"/>
    <mergeCell ref="AI21:AI22"/>
    <mergeCell ref="AJ21:AJ22"/>
    <mergeCell ref="AK21:AK22"/>
    <mergeCell ref="AW21:AW22"/>
    <mergeCell ref="AL21:AL22"/>
    <mergeCell ref="AM21:AM22"/>
    <mergeCell ref="AN21:AN22"/>
    <mergeCell ref="AO21:AO22"/>
    <mergeCell ref="AP21:AP22"/>
    <mergeCell ref="AQ21:AQ22"/>
    <mergeCell ref="BI14:BI17"/>
    <mergeCell ref="BJ14:BJ17"/>
    <mergeCell ref="O21:O22"/>
    <mergeCell ref="P21:P22"/>
    <mergeCell ref="Q21:Q22"/>
    <mergeCell ref="T21:T22"/>
    <mergeCell ref="AB21:AB22"/>
    <mergeCell ref="AC21:AC22"/>
    <mergeCell ref="AD21:AD22"/>
    <mergeCell ref="AE21:AE22"/>
    <mergeCell ref="BB14:BB17"/>
    <mergeCell ref="BC14:BC17"/>
    <mergeCell ref="BD14:BD17"/>
    <mergeCell ref="BF14:BF17"/>
    <mergeCell ref="BG14:BG17"/>
    <mergeCell ref="BH14:BH17"/>
    <mergeCell ref="AV14:AV17"/>
    <mergeCell ref="AW14:AW17"/>
    <mergeCell ref="BC21:BC22"/>
    <mergeCell ref="AR21:AR22"/>
    <mergeCell ref="AS21:AS22"/>
    <mergeCell ref="AT21:AT22"/>
    <mergeCell ref="AU21:AU22"/>
    <mergeCell ref="AV21:AV22"/>
    <mergeCell ref="T24:T28"/>
    <mergeCell ref="U24:U28"/>
    <mergeCell ref="X24:X25"/>
    <mergeCell ref="Y24:Y25"/>
    <mergeCell ref="BJ21:BJ22"/>
    <mergeCell ref="J24:J28"/>
    <mergeCell ref="K24:K28"/>
    <mergeCell ref="L24:L28"/>
    <mergeCell ref="M24:M28"/>
    <mergeCell ref="N24:N28"/>
    <mergeCell ref="O24:O28"/>
    <mergeCell ref="P24:P28"/>
    <mergeCell ref="Q24:Q28"/>
    <mergeCell ref="BD21:BD22"/>
    <mergeCell ref="BE21:BE22"/>
    <mergeCell ref="BF21:BF22"/>
    <mergeCell ref="BG21:BG22"/>
    <mergeCell ref="BH21:BH22"/>
    <mergeCell ref="BI21:BI22"/>
    <mergeCell ref="AX21:AX22"/>
    <mergeCell ref="AY21:AY22"/>
    <mergeCell ref="AZ21:AZ22"/>
    <mergeCell ref="BA21:BA22"/>
    <mergeCell ref="BB21:BB22"/>
    <mergeCell ref="BI24:BI28"/>
    <mergeCell ref="BJ24:BJ28"/>
    <mergeCell ref="J29:J31"/>
    <mergeCell ref="K29:K31"/>
    <mergeCell ref="L29:L31"/>
    <mergeCell ref="M29:M31"/>
    <mergeCell ref="N29:N31"/>
    <mergeCell ref="AZ24:AZ28"/>
    <mergeCell ref="BA24:BA28"/>
    <mergeCell ref="BB24:BB28"/>
    <mergeCell ref="BC24:BC28"/>
    <mergeCell ref="BD24:BD28"/>
    <mergeCell ref="BE24:BE28"/>
    <mergeCell ref="AT24:AT28"/>
    <mergeCell ref="AU24:AU28"/>
    <mergeCell ref="AV24:AV28"/>
    <mergeCell ref="AW24:AW28"/>
    <mergeCell ref="AX24:AX28"/>
    <mergeCell ref="AY24:AY28"/>
    <mergeCell ref="AN24:AN28"/>
    <mergeCell ref="AO24:AO28"/>
    <mergeCell ref="AP24:AP28"/>
    <mergeCell ref="AQ24:AQ28"/>
    <mergeCell ref="AR24:AR28"/>
    <mergeCell ref="O29:O33"/>
    <mergeCell ref="P29:P33"/>
    <mergeCell ref="Q29:Q33"/>
    <mergeCell ref="R29:R31"/>
    <mergeCell ref="S29:S33"/>
    <mergeCell ref="T29:T33"/>
    <mergeCell ref="BF24:BF28"/>
    <mergeCell ref="BG24:BG28"/>
    <mergeCell ref="BH24:BH28"/>
    <mergeCell ref="AS24:AS28"/>
    <mergeCell ref="AH24:AH28"/>
    <mergeCell ref="AI24:AI28"/>
    <mergeCell ref="AJ24:AJ28"/>
    <mergeCell ref="AK24:AK28"/>
    <mergeCell ref="AL24:AL28"/>
    <mergeCell ref="AM24:AM28"/>
    <mergeCell ref="AB24:AB28"/>
    <mergeCell ref="AC24:AC28"/>
    <mergeCell ref="AD24:AD28"/>
    <mergeCell ref="AE24:AE28"/>
    <mergeCell ref="AF24:AF28"/>
    <mergeCell ref="AG24:AG28"/>
    <mergeCell ref="R24:R28"/>
    <mergeCell ref="S24:S28"/>
    <mergeCell ref="AJ29:AJ33"/>
    <mergeCell ref="AK29:AK33"/>
    <mergeCell ref="AL29:AL33"/>
    <mergeCell ref="U29:U31"/>
    <mergeCell ref="AB29:AB33"/>
    <mergeCell ref="AC29:AC33"/>
    <mergeCell ref="AD29:AD33"/>
    <mergeCell ref="AE29:AE33"/>
    <mergeCell ref="AF29:AF33"/>
    <mergeCell ref="BH29:BH33"/>
    <mergeCell ref="BI29:BI33"/>
    <mergeCell ref="BJ29:BJ33"/>
    <mergeCell ref="AY29:AY33"/>
    <mergeCell ref="AZ29:AZ33"/>
    <mergeCell ref="BA29:BA33"/>
    <mergeCell ref="BB29:BB33"/>
    <mergeCell ref="BC29:BC33"/>
    <mergeCell ref="BD29:BD33"/>
    <mergeCell ref="J37:J38"/>
    <mergeCell ref="K37:K38"/>
    <mergeCell ref="L37:L38"/>
    <mergeCell ref="M37:M38"/>
    <mergeCell ref="N37:N38"/>
    <mergeCell ref="O37:O38"/>
    <mergeCell ref="BE29:BE33"/>
    <mergeCell ref="BF29:BF33"/>
    <mergeCell ref="BG29:BG33"/>
    <mergeCell ref="AS29:AS33"/>
    <mergeCell ref="AT29:AT33"/>
    <mergeCell ref="AU29:AU33"/>
    <mergeCell ref="AV29:AV33"/>
    <mergeCell ref="AW29:AW33"/>
    <mergeCell ref="AX29:AX33"/>
    <mergeCell ref="AM29:AM33"/>
    <mergeCell ref="AN29:AN33"/>
    <mergeCell ref="AO29:AO33"/>
    <mergeCell ref="AP29:AP33"/>
    <mergeCell ref="AQ29:AQ33"/>
    <mergeCell ref="AR29:AR33"/>
    <mergeCell ref="AG29:AG33"/>
    <mergeCell ref="AH29:AH33"/>
    <mergeCell ref="AI29:AI33"/>
    <mergeCell ref="AD37:AD38"/>
    <mergeCell ref="AE37:AE38"/>
    <mergeCell ref="AF37:AF38"/>
    <mergeCell ref="AG37:AG38"/>
    <mergeCell ref="AH37:AH38"/>
    <mergeCell ref="AI37:AI38"/>
    <mergeCell ref="P37:P38"/>
    <mergeCell ref="Q37:Q38"/>
    <mergeCell ref="S37:S38"/>
    <mergeCell ref="T37:T38"/>
    <mergeCell ref="AB37:AB38"/>
    <mergeCell ref="AC37:AC38"/>
    <mergeCell ref="AR37:AR38"/>
    <mergeCell ref="AS37:AS38"/>
    <mergeCell ref="AT37:AT38"/>
    <mergeCell ref="AU37:AU38"/>
    <mergeCell ref="AJ37:AJ38"/>
    <mergeCell ref="AK37:AK38"/>
    <mergeCell ref="AL37:AL38"/>
    <mergeCell ref="AM37:AM38"/>
    <mergeCell ref="AN37:AN38"/>
    <mergeCell ref="AO37:AO38"/>
    <mergeCell ref="BH37:BH38"/>
    <mergeCell ref="BI37:BI38"/>
    <mergeCell ref="BJ37:BJ38"/>
    <mergeCell ref="O41:O44"/>
    <mergeCell ref="P41:P44"/>
    <mergeCell ref="Q41:Q44"/>
    <mergeCell ref="S41:S44"/>
    <mergeCell ref="T41:T44"/>
    <mergeCell ref="AB41:AB44"/>
    <mergeCell ref="AC41:AC44"/>
    <mergeCell ref="BB37:BB38"/>
    <mergeCell ref="BC37:BC38"/>
    <mergeCell ref="BD37:BD38"/>
    <mergeCell ref="BE37:BE38"/>
    <mergeCell ref="BF37:BF38"/>
    <mergeCell ref="BG37:BG38"/>
    <mergeCell ref="AV37:AV38"/>
    <mergeCell ref="AW37:AW38"/>
    <mergeCell ref="AX37:AX38"/>
    <mergeCell ref="AY37:AY38"/>
    <mergeCell ref="AZ37:AZ38"/>
    <mergeCell ref="BA37:BA38"/>
    <mergeCell ref="AP37:AP38"/>
    <mergeCell ref="AQ37:AQ38"/>
    <mergeCell ref="U42:U43"/>
    <mergeCell ref="O47:O48"/>
    <mergeCell ref="P47:P48"/>
    <mergeCell ref="Q47:Q48"/>
    <mergeCell ref="S47:S48"/>
    <mergeCell ref="T47:T48"/>
    <mergeCell ref="BB41:BB44"/>
    <mergeCell ref="BC41:BC44"/>
    <mergeCell ref="BD41:BD44"/>
    <mergeCell ref="AV41:AV44"/>
    <mergeCell ref="AW41:AW44"/>
    <mergeCell ref="AX41:AX44"/>
    <mergeCell ref="AY41:AY44"/>
    <mergeCell ref="AZ41:AZ44"/>
    <mergeCell ref="BA41:BA44"/>
    <mergeCell ref="AP41:AP44"/>
    <mergeCell ref="AQ41:AQ44"/>
    <mergeCell ref="AR41:AR44"/>
    <mergeCell ref="AS41:AS44"/>
    <mergeCell ref="AT41:AT44"/>
    <mergeCell ref="AU41:AU44"/>
    <mergeCell ref="AJ41:AJ44"/>
    <mergeCell ref="AK41:AK44"/>
    <mergeCell ref="AL41:AL44"/>
    <mergeCell ref="AD41:AD44"/>
    <mergeCell ref="AE41:AE44"/>
    <mergeCell ref="AF41:AF44"/>
    <mergeCell ref="AG41:AG44"/>
    <mergeCell ref="AH41:AH44"/>
    <mergeCell ref="AI41:AI44"/>
    <mergeCell ref="AV47:AV48"/>
    <mergeCell ref="AK47:AK48"/>
    <mergeCell ref="AL47:AL48"/>
    <mergeCell ref="AM47:AM48"/>
    <mergeCell ref="AN47:AN48"/>
    <mergeCell ref="BH41:BH44"/>
    <mergeCell ref="BI41:BI44"/>
    <mergeCell ref="BJ41:BJ44"/>
    <mergeCell ref="BE41:BE44"/>
    <mergeCell ref="BF41:BF44"/>
    <mergeCell ref="BG41:BG44"/>
    <mergeCell ref="AM41:AM44"/>
    <mergeCell ref="AN41:AN44"/>
    <mergeCell ref="AO41:AO44"/>
    <mergeCell ref="J52:J54"/>
    <mergeCell ref="K52:K54"/>
    <mergeCell ref="L52:L55"/>
    <mergeCell ref="M52:M54"/>
    <mergeCell ref="N52:N54"/>
    <mergeCell ref="BC47:BC48"/>
    <mergeCell ref="BD47:BD48"/>
    <mergeCell ref="BE47:BE48"/>
    <mergeCell ref="BF47:BF48"/>
    <mergeCell ref="AW47:AW48"/>
    <mergeCell ref="AX47:AX48"/>
    <mergeCell ref="AY47:AY48"/>
    <mergeCell ref="AZ47:AZ48"/>
    <mergeCell ref="BA47:BA48"/>
    <mergeCell ref="BB47:BB48"/>
    <mergeCell ref="AQ47:AQ48"/>
    <mergeCell ref="AR47:AR48"/>
    <mergeCell ref="AS47:AS48"/>
    <mergeCell ref="AT47:AT48"/>
    <mergeCell ref="AU47:AU48"/>
    <mergeCell ref="Y52:Y53"/>
    <mergeCell ref="AO47:AO48"/>
    <mergeCell ref="AP47:AP48"/>
    <mergeCell ref="AE47:AE48"/>
    <mergeCell ref="AE52:AE55"/>
    <mergeCell ref="AF52:AF55"/>
    <mergeCell ref="O52:O55"/>
    <mergeCell ref="P52:P55"/>
    <mergeCell ref="Q52:Q55"/>
    <mergeCell ref="S52:S55"/>
    <mergeCell ref="T52:T55"/>
    <mergeCell ref="X52:X53"/>
    <mergeCell ref="BJ47:BJ48"/>
    <mergeCell ref="BG47:BG48"/>
    <mergeCell ref="BH47:BH48"/>
    <mergeCell ref="AF47:AF48"/>
    <mergeCell ref="AG47:AG48"/>
    <mergeCell ref="AH47:AH48"/>
    <mergeCell ref="AI47:AI48"/>
    <mergeCell ref="AJ47:AJ48"/>
    <mergeCell ref="BI47:BI48"/>
    <mergeCell ref="Z47:Z48"/>
    <mergeCell ref="AB47:AB48"/>
    <mergeCell ref="AC47:AC48"/>
    <mergeCell ref="AD47:AD48"/>
    <mergeCell ref="BJ52:BJ55"/>
    <mergeCell ref="AY52:AY55"/>
    <mergeCell ref="AZ52:AZ55"/>
    <mergeCell ref="BA52:BA55"/>
    <mergeCell ref="BB52:BB55"/>
    <mergeCell ref="BC52:BC55"/>
    <mergeCell ref="BD52:BD55"/>
    <mergeCell ref="AS52:AS55"/>
    <mergeCell ref="AT52:AT55"/>
    <mergeCell ref="AU52:AU55"/>
    <mergeCell ref="AV52:AV55"/>
    <mergeCell ref="AW52:AW55"/>
    <mergeCell ref="AX52:AX55"/>
    <mergeCell ref="F59:L59"/>
    <mergeCell ref="F60:L60"/>
    <mergeCell ref="A57:R57"/>
    <mergeCell ref="R37:R38"/>
    <mergeCell ref="BE52:BE55"/>
    <mergeCell ref="BF52:BF55"/>
    <mergeCell ref="BG52:BG55"/>
    <mergeCell ref="BH52:BH55"/>
    <mergeCell ref="BI52:BI55"/>
    <mergeCell ref="AM52:AM55"/>
    <mergeCell ref="AN52:AN55"/>
    <mergeCell ref="AO52:AO55"/>
    <mergeCell ref="AP52:AP55"/>
    <mergeCell ref="AQ52:AQ55"/>
    <mergeCell ref="AR52:AR55"/>
    <mergeCell ref="AG52:AG55"/>
    <mergeCell ref="AH52:AH55"/>
    <mergeCell ref="AI52:AI55"/>
    <mergeCell ref="AJ52:AJ55"/>
    <mergeCell ref="AK52:AK55"/>
    <mergeCell ref="AL52:AL55"/>
    <mergeCell ref="AB52:AB55"/>
    <mergeCell ref="AC52:AC55"/>
    <mergeCell ref="AD52:AD55"/>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BL30"/>
  <sheetViews>
    <sheetView zoomScale="55" zoomScaleNormal="55" zoomScalePageLayoutView="0" workbookViewId="0" topLeftCell="AQ1">
      <selection activeCell="BK1" sqref="BK1"/>
    </sheetView>
  </sheetViews>
  <sheetFormatPr defaultColWidth="11.421875" defaultRowHeight="15"/>
  <cols>
    <col min="1" max="1" width="12.28125" style="27" customWidth="1"/>
    <col min="2" max="2" width="4.00390625" style="27" customWidth="1"/>
    <col min="3" max="3" width="14.57421875" style="27" customWidth="1"/>
    <col min="4" max="4" width="12.00390625" style="27" customWidth="1"/>
    <col min="5" max="5" width="7.421875" style="27" customWidth="1"/>
    <col min="6" max="6" width="14.421875" style="27" customWidth="1"/>
    <col min="7" max="7" width="14.28125" style="27" customWidth="1"/>
    <col min="8" max="8" width="11.7109375" style="27" customWidth="1"/>
    <col min="9" max="9" width="13.28125" style="27" customWidth="1"/>
    <col min="10" max="10" width="15.140625" style="27" customWidth="1"/>
    <col min="11" max="11" width="32.140625" style="27" customWidth="1"/>
    <col min="12" max="12" width="19.00390625" style="27" customWidth="1"/>
    <col min="13" max="13" width="12.7109375" style="27" customWidth="1"/>
    <col min="14" max="14" width="12.7109375" style="184" customWidth="1"/>
    <col min="15" max="15" width="28.140625" style="27" customWidth="1"/>
    <col min="16" max="16" width="13.00390625" style="32" customWidth="1"/>
    <col min="17" max="17" width="27.7109375" style="28" customWidth="1"/>
    <col min="18" max="18" width="16.00390625" style="29" customWidth="1"/>
    <col min="19" max="19" width="20.8515625" style="27" customWidth="1"/>
    <col min="20" max="20" width="33.140625" style="27" customWidth="1"/>
    <col min="21" max="21" width="33.57421875" style="27" customWidth="1"/>
    <col min="22" max="22" width="31.8515625" style="30" customWidth="1"/>
    <col min="23" max="23" width="32.00390625" style="30" customWidth="1"/>
    <col min="24" max="24" width="33.140625" style="190" customWidth="1"/>
    <col min="25" max="25" width="32.57421875" style="190" customWidth="1"/>
    <col min="26" max="26" width="14.421875" style="30" customWidth="1"/>
    <col min="27" max="27" width="20.57421875" style="30" customWidth="1"/>
    <col min="28" max="28" width="7.28125" style="27" customWidth="1"/>
    <col min="29" max="29" width="7.28125" style="184" customWidth="1"/>
    <col min="30" max="30" width="7.28125" style="27" customWidth="1"/>
    <col min="31" max="31" width="7.28125" style="184" customWidth="1"/>
    <col min="32" max="32" width="7.28125" style="27" customWidth="1"/>
    <col min="33" max="33" width="7.28125" style="184" customWidth="1"/>
    <col min="34" max="34" width="7.28125" style="27" customWidth="1"/>
    <col min="35" max="35" width="7.28125" style="184" customWidth="1"/>
    <col min="36" max="36" width="7.28125" style="27" customWidth="1"/>
    <col min="37" max="37" width="7.28125" style="184" customWidth="1"/>
    <col min="38" max="38" width="7.28125" style="27" customWidth="1"/>
    <col min="39" max="39" width="7.28125" style="184" customWidth="1"/>
    <col min="40" max="40" width="11.28125" style="27" customWidth="1"/>
    <col min="41" max="41" width="11.28125" style="184" customWidth="1"/>
    <col min="42" max="42" width="11.140625" style="27" customWidth="1"/>
    <col min="43" max="43" width="11.140625" style="184" customWidth="1"/>
    <col min="44" max="44" width="10.8515625" style="27" customWidth="1"/>
    <col min="45" max="45" width="10.8515625" style="184" customWidth="1"/>
    <col min="46" max="46" width="7.28125" style="27" customWidth="1"/>
    <col min="47" max="47" width="7.28125" style="184" customWidth="1"/>
    <col min="48" max="48" width="7.28125" style="27" customWidth="1"/>
    <col min="49" max="49" width="7.28125" style="184" customWidth="1"/>
    <col min="50" max="50" width="7.28125" style="27" customWidth="1"/>
    <col min="51" max="51" width="7.28125" style="184" customWidth="1"/>
    <col min="52" max="57" width="20.140625" style="28" customWidth="1"/>
    <col min="58" max="58" width="22.7109375" style="1920" customWidth="1"/>
    <col min="59" max="59" width="22.7109375" style="1921" customWidth="1"/>
    <col min="60" max="60" width="22.7109375" style="1922" customWidth="1"/>
    <col min="61" max="61" width="22.7109375" style="1923" customWidth="1"/>
    <col min="62" max="62" width="28.7109375" style="1924" customWidth="1"/>
    <col min="63" max="63" width="21.421875" style="27" customWidth="1"/>
    <col min="64" max="64" width="15.7109375" style="27" bestFit="1" customWidth="1"/>
    <col min="65" max="16384" width="11.421875" style="27" customWidth="1"/>
  </cols>
  <sheetData>
    <row r="1" spans="1:64" s="26" customFormat="1" ht="21" customHeight="1">
      <c r="A1" t="s">
        <v>111</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s="196"/>
      <c r="BI1" s="2633" t="s">
        <v>97</v>
      </c>
      <c r="BJ1" s="2633" t="s">
        <v>112</v>
      </c>
      <c r="BK1" s="25"/>
      <c r="BL1" s="25"/>
    </row>
    <row r="2" spans="1:64" s="26" customFormat="1" ht="21"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s="196"/>
      <c r="BI2" s="2634" t="s">
        <v>98</v>
      </c>
      <c r="BJ2" s="2635">
        <v>5</v>
      </c>
      <c r="BK2" s="25"/>
      <c r="BL2" s="25"/>
    </row>
    <row r="3" spans="1:64" s="26" customFormat="1" ht="21"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s="196"/>
      <c r="BI3" s="2633" t="s">
        <v>99</v>
      </c>
      <c r="BJ3" s="2636" t="s">
        <v>2149</v>
      </c>
      <c r="BK3" s="25"/>
      <c r="BL3" s="25"/>
    </row>
    <row r="4" spans="1:64" s="26" customFormat="1" ht="21"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s="196"/>
      <c r="BI4" s="842" t="s">
        <v>100</v>
      </c>
      <c r="BJ4" s="2637" t="s">
        <v>113</v>
      </c>
      <c r="BK4" s="25"/>
      <c r="BL4" s="25"/>
    </row>
    <row r="5" spans="1:62" s="4" customFormat="1" ht="15">
      <c r="A5" s="3049" t="s">
        <v>0</v>
      </c>
      <c r="B5" s="3049"/>
      <c r="C5" s="3049"/>
      <c r="D5" s="3049"/>
      <c r="E5" s="3049"/>
      <c r="F5" s="3049"/>
      <c r="G5" s="3049"/>
      <c r="H5" s="3049"/>
      <c r="I5" s="3049"/>
      <c r="J5" s="3049"/>
      <c r="K5" s="3049"/>
      <c r="L5" s="3049"/>
      <c r="M5" s="3049"/>
      <c r="N5" s="2834"/>
      <c r="O5" s="2834"/>
      <c r="P5" s="2834"/>
      <c r="Q5" s="3049" t="s">
        <v>1</v>
      </c>
      <c r="R5" s="3049"/>
      <c r="S5" s="3049"/>
      <c r="T5" s="3049"/>
      <c r="U5" s="3049"/>
      <c r="V5" s="3049"/>
      <c r="W5" s="3049"/>
      <c r="X5" s="3049"/>
      <c r="Y5" s="3049"/>
      <c r="Z5" s="3049"/>
      <c r="AA5" s="3049"/>
      <c r="AB5" s="3049"/>
      <c r="AC5" s="3049"/>
      <c r="AD5" s="3049"/>
      <c r="AE5" s="3049"/>
      <c r="AF5" s="3049"/>
      <c r="AG5" s="3049"/>
      <c r="AH5" s="3049"/>
      <c r="AI5" s="3049"/>
      <c r="AJ5" s="3049"/>
      <c r="AK5" s="3049"/>
      <c r="AL5" s="3049"/>
      <c r="AM5" s="3049"/>
      <c r="AN5" s="3049"/>
      <c r="AO5" s="3049"/>
      <c r="AP5" s="3049"/>
      <c r="AQ5" s="3049"/>
      <c r="AR5" s="3049"/>
      <c r="AS5" s="3049"/>
      <c r="AT5" s="3049"/>
      <c r="AU5" s="3049"/>
      <c r="AV5" s="3049"/>
      <c r="AW5" s="3049"/>
      <c r="AX5" s="3049"/>
      <c r="AY5" s="3049"/>
      <c r="AZ5" s="3049"/>
      <c r="BA5" s="3049"/>
      <c r="BB5" s="3049"/>
      <c r="BC5" s="3049"/>
      <c r="BD5" s="3049"/>
      <c r="BE5" s="3049"/>
      <c r="BF5" s="3049"/>
      <c r="BG5" s="3049"/>
      <c r="BH5" s="3049"/>
      <c r="BI5" s="3049"/>
      <c r="BJ5" s="3049"/>
    </row>
    <row r="6" spans="1:62" s="4" customFormat="1" ht="14.25" customHeight="1" thickBot="1">
      <c r="A6" s="3049"/>
      <c r="B6" s="3049"/>
      <c r="C6" s="3049"/>
      <c r="D6" s="3049"/>
      <c r="E6" s="3049"/>
      <c r="F6" s="3049"/>
      <c r="G6" s="3049"/>
      <c r="H6" s="3049"/>
      <c r="I6" s="3049"/>
      <c r="J6" s="3049"/>
      <c r="K6" s="3049"/>
      <c r="L6" s="3049"/>
      <c r="M6" s="3049"/>
      <c r="N6" s="2834"/>
      <c r="O6" s="2834"/>
      <c r="P6" s="2835"/>
      <c r="Q6" s="3050"/>
      <c r="R6" s="3051"/>
      <c r="S6" s="3051"/>
      <c r="T6" s="3051"/>
      <c r="U6" s="3051"/>
      <c r="V6" s="3051"/>
      <c r="W6" s="3051"/>
      <c r="X6" s="3051"/>
      <c r="Y6" s="3051"/>
      <c r="Z6" s="3051"/>
      <c r="AA6" s="3052"/>
      <c r="AB6" s="3050" t="s">
        <v>2</v>
      </c>
      <c r="AC6" s="3051"/>
      <c r="AD6" s="3051"/>
      <c r="AE6" s="3051"/>
      <c r="AF6" s="3051"/>
      <c r="AG6" s="3051"/>
      <c r="AH6" s="3051"/>
      <c r="AI6" s="3051"/>
      <c r="AJ6" s="3051"/>
      <c r="AK6" s="3051"/>
      <c r="AL6" s="3051"/>
      <c r="AM6" s="3051"/>
      <c r="AN6" s="3051"/>
      <c r="AO6" s="3051"/>
      <c r="AP6" s="3051"/>
      <c r="AQ6" s="3051"/>
      <c r="AR6" s="3051"/>
      <c r="AS6" s="3051"/>
      <c r="AT6" s="3051"/>
      <c r="AU6" s="3051"/>
      <c r="AV6" s="3051"/>
      <c r="AW6" s="3051"/>
      <c r="AX6" s="3051"/>
      <c r="AY6" s="3052"/>
      <c r="AZ6" s="2836"/>
      <c r="BA6" s="2836"/>
      <c r="BB6" s="2836"/>
      <c r="BC6" s="2836"/>
      <c r="BD6" s="2836"/>
      <c r="BE6" s="2836"/>
      <c r="BF6" s="3050"/>
      <c r="BG6" s="3051"/>
      <c r="BH6" s="3051"/>
      <c r="BI6" s="3051"/>
      <c r="BJ6" s="3052"/>
    </row>
    <row r="7" spans="1:64" s="26" customFormat="1" ht="24.75" customHeight="1">
      <c r="A7" t="s">
        <v>3</v>
      </c>
      <c r="B7" t="s">
        <v>4</v>
      </c>
      <c r="C7"/>
      <c r="D7" t="s">
        <v>3</v>
      </c>
      <c r="E7" t="s">
        <v>5</v>
      </c>
      <c r="F7"/>
      <c r="G7" t="s">
        <v>3</v>
      </c>
      <c r="H7" t="s">
        <v>6</v>
      </c>
      <c r="I7"/>
      <c r="J7" t="s">
        <v>3</v>
      </c>
      <c r="K7" t="s">
        <v>7</v>
      </c>
      <c r="L7" t="s">
        <v>8</v>
      </c>
      <c r="M7" t="s">
        <v>9</v>
      </c>
      <c r="N7"/>
      <c r="O7" t="s">
        <v>10</v>
      </c>
      <c r="P7" t="s">
        <v>37</v>
      </c>
      <c r="Q7" t="s">
        <v>1</v>
      </c>
      <c r="R7" t="s">
        <v>11</v>
      </c>
      <c r="S7" t="s">
        <v>12</v>
      </c>
      <c r="T7" t="s">
        <v>13</v>
      </c>
      <c r="U7" t="s">
        <v>14</v>
      </c>
      <c r="V7" t="s">
        <v>15</v>
      </c>
      <c r="W7" t="s">
        <v>12</v>
      </c>
      <c r="X7"/>
      <c r="Y7"/>
      <c r="Z7" t="s">
        <v>3</v>
      </c>
      <c r="AA7" t="s">
        <v>16</v>
      </c>
      <c r="AB7" t="s">
        <v>17</v>
      </c>
      <c r="AC7"/>
      <c r="AD7"/>
      <c r="AE7"/>
      <c r="AF7"/>
      <c r="AG7"/>
      <c r="AH7"/>
      <c r="AI7"/>
      <c r="AJ7"/>
      <c r="AK7"/>
      <c r="AL7"/>
      <c r="AM7"/>
      <c r="AN7" t="s">
        <v>18</v>
      </c>
      <c r="AO7"/>
      <c r="AP7"/>
      <c r="AQ7"/>
      <c r="AR7"/>
      <c r="AS7"/>
      <c r="AT7"/>
      <c r="AU7"/>
      <c r="AV7"/>
      <c r="AW7"/>
      <c r="AX7"/>
      <c r="AY7"/>
      <c r="AZ7" s="3314" t="s">
        <v>119</v>
      </c>
      <c r="BA7" s="3315"/>
      <c r="BB7" s="3315"/>
      <c r="BC7" s="3315"/>
      <c r="BD7" s="3315"/>
      <c r="BE7" s="3316"/>
      <c r="BF7" t="s">
        <v>19</v>
      </c>
      <c r="BG7"/>
      <c r="BH7" t="s">
        <v>20</v>
      </c>
      <c r="BI7"/>
      <c r="BJ7" t="s">
        <v>21</v>
      </c>
      <c r="BK7" s="25"/>
      <c r="BL7" s="25"/>
    </row>
    <row r="8" spans="1:64" s="26" customFormat="1" ht="57" customHeight="1">
      <c r="A8"/>
      <c r="B8"/>
      <c r="C8"/>
      <c r="D8"/>
      <c r="E8"/>
      <c r="F8"/>
      <c r="G8"/>
      <c r="H8"/>
      <c r="I8"/>
      <c r="J8"/>
      <c r="K8"/>
      <c r="L8"/>
      <c r="M8"/>
      <c r="N8"/>
      <c r="O8"/>
      <c r="P8"/>
      <c r="Q8"/>
      <c r="R8"/>
      <c r="S8"/>
      <c r="T8"/>
      <c r="U8"/>
      <c r="V8"/>
      <c r="W8"/>
      <c r="X8"/>
      <c r="Y8"/>
      <c r="Z8"/>
      <c r="AA8"/>
      <c r="AB8" t="s">
        <v>22</v>
      </c>
      <c r="AC8"/>
      <c r="AD8" t="s">
        <v>23</v>
      </c>
      <c r="AE8"/>
      <c r="AF8" t="s">
        <v>24</v>
      </c>
      <c r="AG8"/>
      <c r="AH8" t="s">
        <v>25</v>
      </c>
      <c r="AI8"/>
      <c r="AJ8" t="s">
        <v>26</v>
      </c>
      <c r="AK8"/>
      <c r="AL8" t="s">
        <v>27</v>
      </c>
      <c r="AM8"/>
      <c r="AN8" t="s">
        <v>28</v>
      </c>
      <c r="AO8"/>
      <c r="AP8" t="s">
        <v>29</v>
      </c>
      <c r="AQ8"/>
      <c r="AR8" t="s">
        <v>30</v>
      </c>
      <c r="AS8"/>
      <c r="AT8" t="s">
        <v>31</v>
      </c>
      <c r="AU8"/>
      <c r="AV8" t="s">
        <v>32</v>
      </c>
      <c r="AW8"/>
      <c r="AX8" t="s">
        <v>33</v>
      </c>
      <c r="AY8"/>
      <c r="AZ8" s="3031" t="s">
        <v>116</v>
      </c>
      <c r="BA8" s="3032" t="s">
        <v>120</v>
      </c>
      <c r="BB8" s="3031" t="s">
        <v>121</v>
      </c>
      <c r="BC8" s="3033" t="s">
        <v>117</v>
      </c>
      <c r="BD8" s="3031" t="s">
        <v>118</v>
      </c>
      <c r="BE8" s="3026" t="s">
        <v>122</v>
      </c>
      <c r="BF8"/>
      <c r="BG8"/>
      <c r="BH8"/>
      <c r="BI8"/>
      <c r="BJ8"/>
      <c r="BK8" s="25"/>
      <c r="BL8" s="25"/>
    </row>
    <row r="9" spans="1:64" s="26" customFormat="1" ht="21.75" customHeight="1">
      <c r="A9"/>
      <c r="B9"/>
      <c r="C9"/>
      <c r="D9"/>
      <c r="E9"/>
      <c r="F9"/>
      <c r="G9"/>
      <c r="H9"/>
      <c r="I9"/>
      <c r="J9"/>
      <c r="K9"/>
      <c r="L9"/>
      <c r="M9" s="129" t="s">
        <v>106</v>
      </c>
      <c r="N9" s="96" t="s">
        <v>107</v>
      </c>
      <c r="O9"/>
      <c r="P9"/>
      <c r="Q9"/>
      <c r="R9"/>
      <c r="S9"/>
      <c r="T9"/>
      <c r="U9"/>
      <c r="V9"/>
      <c r="W9" s="127" t="s">
        <v>105</v>
      </c>
      <c r="X9" s="92" t="s">
        <v>115</v>
      </c>
      <c r="Y9" s="92" t="s">
        <v>114</v>
      </c>
      <c r="Z9"/>
      <c r="AA9"/>
      <c r="AB9" s="129" t="s">
        <v>109</v>
      </c>
      <c r="AC9" s="96" t="s">
        <v>107</v>
      </c>
      <c r="AD9" s="129" t="s">
        <v>109</v>
      </c>
      <c r="AE9" s="96" t="s">
        <v>107</v>
      </c>
      <c r="AF9" s="129" t="s">
        <v>109</v>
      </c>
      <c r="AG9" s="96" t="s">
        <v>107</v>
      </c>
      <c r="AH9" s="129" t="s">
        <v>109</v>
      </c>
      <c r="AI9" s="96" t="s">
        <v>107</v>
      </c>
      <c r="AJ9" s="129" t="s">
        <v>109</v>
      </c>
      <c r="AK9" s="96" t="s">
        <v>107</v>
      </c>
      <c r="AL9" s="129" t="s">
        <v>109</v>
      </c>
      <c r="AM9" s="96" t="s">
        <v>107</v>
      </c>
      <c r="AN9" s="129" t="s">
        <v>109</v>
      </c>
      <c r="AO9" s="96" t="s">
        <v>107</v>
      </c>
      <c r="AP9" s="129" t="s">
        <v>109</v>
      </c>
      <c r="AQ9" s="96" t="s">
        <v>107</v>
      </c>
      <c r="AR9" s="129" t="s">
        <v>109</v>
      </c>
      <c r="AS9" s="96" t="s">
        <v>107</v>
      </c>
      <c r="AT9" s="129" t="s">
        <v>109</v>
      </c>
      <c r="AU9" s="96" t="s">
        <v>107</v>
      </c>
      <c r="AV9" s="129" t="s">
        <v>109</v>
      </c>
      <c r="AW9" s="96" t="s">
        <v>107</v>
      </c>
      <c r="AX9" s="129" t="s">
        <v>109</v>
      </c>
      <c r="AY9" s="96" t="s">
        <v>107</v>
      </c>
      <c r="AZ9" s="3031"/>
      <c r="BA9" s="3032"/>
      <c r="BB9" s="3031"/>
      <c r="BC9" s="3033"/>
      <c r="BD9" s="3031"/>
      <c r="BE9" s="3027"/>
      <c r="BF9" s="128" t="s">
        <v>108</v>
      </c>
      <c r="BG9" s="118" t="s">
        <v>107</v>
      </c>
      <c r="BH9" s="128" t="s">
        <v>106</v>
      </c>
      <c r="BI9" s="119" t="s">
        <v>107</v>
      </c>
      <c r="BJ9" s="98"/>
      <c r="BK9" s="25"/>
      <c r="BL9" s="25"/>
    </row>
    <row r="10" spans="1:64" s="26" customFormat="1" ht="16.5" customHeight="1" hidden="1">
      <c r="A10" s="99"/>
      <c r="B10" s="129"/>
      <c r="C10" s="129"/>
      <c r="D10" s="129"/>
      <c r="E10" s="129"/>
      <c r="F10" s="129"/>
      <c r="G10" s="129"/>
      <c r="H10" s="129"/>
      <c r="I10" s="129"/>
      <c r="J10" s="129"/>
      <c r="K10" s="129"/>
      <c r="L10" s="129"/>
      <c r="M10" s="129"/>
      <c r="N10" s="96"/>
      <c r="O10" s="129"/>
      <c r="P10" s="129"/>
      <c r="Q10" s="129"/>
      <c r="R10" s="129"/>
      <c r="S10" s="129"/>
      <c r="T10" s="129"/>
      <c r="U10" s="129"/>
      <c r="V10" s="129"/>
      <c r="W10" s="129"/>
      <c r="X10" s="96"/>
      <c r="Y10" s="96"/>
      <c r="Z10" s="129"/>
      <c r="AA10" s="129"/>
      <c r="AB10" s="85"/>
      <c r="AC10" s="191"/>
      <c r="AD10" s="86"/>
      <c r="AE10" s="195"/>
      <c r="AF10" s="85"/>
      <c r="AG10" s="191"/>
      <c r="AH10" s="85"/>
      <c r="AI10" s="191"/>
      <c r="AJ10" s="85"/>
      <c r="AK10" s="191"/>
      <c r="AL10" s="85"/>
      <c r="AM10" s="191"/>
      <c r="AN10" s="85"/>
      <c r="AO10" s="191"/>
      <c r="AP10" s="85"/>
      <c r="AQ10" s="191"/>
      <c r="AR10" s="85"/>
      <c r="AS10" s="191"/>
      <c r="AT10" s="85"/>
      <c r="AU10" s="191"/>
      <c r="AV10" s="85"/>
      <c r="AW10" s="191"/>
      <c r="AX10" s="85"/>
      <c r="AY10" s="191"/>
      <c r="AZ10" s="129"/>
      <c r="BA10" s="129"/>
      <c r="BB10" s="129"/>
      <c r="BC10" s="129"/>
      <c r="BD10" s="129"/>
      <c r="BE10" s="129"/>
      <c r="BF10" s="128"/>
      <c r="BG10" s="118"/>
      <c r="BH10" s="128"/>
      <c r="BI10" s="119"/>
      <c r="BJ10" s="98"/>
      <c r="BK10" s="25"/>
      <c r="BL10" s="25"/>
    </row>
    <row r="11" spans="1:62" s="25" customFormat="1" ht="26.25" customHeight="1">
      <c r="A11" s="100">
        <v>5</v>
      </c>
      <c r="B11" s="75" t="s">
        <v>34</v>
      </c>
      <c r="C11" s="76"/>
      <c r="D11" s="76"/>
      <c r="E11" s="76"/>
      <c r="F11" s="76"/>
      <c r="G11" s="76"/>
      <c r="H11" s="76"/>
      <c r="I11" s="76"/>
      <c r="J11" s="76"/>
      <c r="K11" s="76"/>
      <c r="L11" s="76"/>
      <c r="M11" s="76"/>
      <c r="N11" s="179"/>
      <c r="O11" s="76"/>
      <c r="P11" s="76"/>
      <c r="Q11" s="76"/>
      <c r="R11" s="76"/>
      <c r="S11" s="76"/>
      <c r="T11" s="76"/>
      <c r="U11" s="76"/>
      <c r="V11" s="76"/>
      <c r="W11" s="76"/>
      <c r="X11" s="179"/>
      <c r="Y11" s="179"/>
      <c r="Z11" s="76"/>
      <c r="AA11" s="76"/>
      <c r="AB11" s="76"/>
      <c r="AC11" s="179"/>
      <c r="AD11" s="76"/>
      <c r="AE11" s="179"/>
      <c r="AF11" s="76"/>
      <c r="AG11" s="179"/>
      <c r="AH11" s="76"/>
      <c r="AI11" s="179"/>
      <c r="AJ11" s="76"/>
      <c r="AK11" s="179"/>
      <c r="AL11" s="76"/>
      <c r="AM11" s="179"/>
      <c r="AN11" s="76"/>
      <c r="AO11" s="179"/>
      <c r="AP11" s="76"/>
      <c r="AQ11" s="179"/>
      <c r="AR11" s="76"/>
      <c r="AS11" s="179"/>
      <c r="AT11" s="76"/>
      <c r="AU11" s="179"/>
      <c r="AV11" s="76"/>
      <c r="AW11" s="179"/>
      <c r="AX11" s="76"/>
      <c r="AY11" s="179"/>
      <c r="AZ11" s="76"/>
      <c r="BA11" s="76"/>
      <c r="BB11" s="76"/>
      <c r="BC11" s="76"/>
      <c r="BD11" s="76"/>
      <c r="BE11" s="76"/>
      <c r="BF11" s="76"/>
      <c r="BG11" s="179"/>
      <c r="BH11" s="76"/>
      <c r="BI11" s="179"/>
      <c r="BJ11" s="101"/>
    </row>
    <row r="12" spans="1:62" s="25" customFormat="1" ht="26.25" customHeight="1">
      <c r="A12"/>
      <c r="B12"/>
      <c r="C12"/>
      <c r="D12" s="43">
        <v>26</v>
      </c>
      <c r="E12" s="73" t="s">
        <v>35</v>
      </c>
      <c r="F12" s="74"/>
      <c r="G12" s="74"/>
      <c r="H12" s="74"/>
      <c r="I12" s="74"/>
      <c r="J12" s="74"/>
      <c r="K12" s="74"/>
      <c r="L12" s="74"/>
      <c r="M12" s="74"/>
      <c r="N12" s="180"/>
      <c r="O12" s="74"/>
      <c r="P12" s="74"/>
      <c r="Q12" s="74"/>
      <c r="R12" s="74"/>
      <c r="S12" s="74"/>
      <c r="T12" s="74"/>
      <c r="U12" s="74"/>
      <c r="V12" s="74"/>
      <c r="W12" s="74"/>
      <c r="X12" s="180"/>
      <c r="Y12" s="180"/>
      <c r="Z12" s="74"/>
      <c r="AA12" s="74"/>
      <c r="AB12" s="74"/>
      <c r="AC12" s="180"/>
      <c r="AD12" s="74"/>
      <c r="AE12" s="180"/>
      <c r="AF12" s="74"/>
      <c r="AG12" s="180"/>
      <c r="AH12" s="74"/>
      <c r="AI12" s="180"/>
      <c r="AJ12" s="74"/>
      <c r="AK12" s="180"/>
      <c r="AL12" s="74"/>
      <c r="AM12" s="180"/>
      <c r="AN12" s="74"/>
      <c r="AO12" s="180"/>
      <c r="AP12" s="74"/>
      <c r="AQ12" s="180"/>
      <c r="AR12" s="74"/>
      <c r="AS12" s="180"/>
      <c r="AT12" s="74"/>
      <c r="AU12" s="180"/>
      <c r="AV12" s="74"/>
      <c r="AW12" s="180"/>
      <c r="AX12" s="74"/>
      <c r="AY12" s="180"/>
      <c r="AZ12" s="74"/>
      <c r="BA12" s="74"/>
      <c r="BB12" s="74"/>
      <c r="BC12" s="74"/>
      <c r="BD12" s="74"/>
      <c r="BE12" s="74"/>
      <c r="BF12" s="74"/>
      <c r="BG12" s="180"/>
      <c r="BH12" s="74"/>
      <c r="BI12" s="180"/>
      <c r="BJ12" s="102"/>
    </row>
    <row r="13" spans="1:62" s="25" customFormat="1" ht="26.25" customHeight="1">
      <c r="A13"/>
      <c r="B13"/>
      <c r="C13"/>
      <c r="D13"/>
      <c r="E13"/>
      <c r="F13"/>
      <c r="G13" s="42">
        <v>83</v>
      </c>
      <c r="H13" s="71" t="s">
        <v>36</v>
      </c>
      <c r="I13" s="72"/>
      <c r="J13" s="72"/>
      <c r="K13" s="72"/>
      <c r="L13" s="72"/>
      <c r="M13" s="72"/>
      <c r="N13" s="181"/>
      <c r="O13" s="72"/>
      <c r="P13" s="72"/>
      <c r="Q13" s="72"/>
      <c r="R13" s="72"/>
      <c r="S13" s="72"/>
      <c r="T13" s="72"/>
      <c r="U13" s="72"/>
      <c r="V13" s="72"/>
      <c r="W13" s="72"/>
      <c r="X13" s="181"/>
      <c r="Y13" s="181"/>
      <c r="Z13" s="72"/>
      <c r="AA13" s="72"/>
      <c r="AB13" s="72"/>
      <c r="AC13" s="181"/>
      <c r="AD13" s="72"/>
      <c r="AE13" s="181"/>
      <c r="AF13" s="72"/>
      <c r="AG13" s="181"/>
      <c r="AH13" s="72"/>
      <c r="AI13" s="181"/>
      <c r="AJ13" s="72"/>
      <c r="AK13" s="181"/>
      <c r="AL13" s="72"/>
      <c r="AM13" s="181"/>
      <c r="AN13" s="72"/>
      <c r="AO13" s="181"/>
      <c r="AP13" s="72"/>
      <c r="AQ13" s="181"/>
      <c r="AR13" s="72"/>
      <c r="AS13" s="181"/>
      <c r="AT13" s="72"/>
      <c r="AU13" s="181"/>
      <c r="AV13" s="72"/>
      <c r="AW13" s="181"/>
      <c r="AX13" s="72"/>
      <c r="AY13" s="181"/>
      <c r="AZ13" s="72"/>
      <c r="BA13" s="72"/>
      <c r="BB13" s="72"/>
      <c r="BC13" s="72"/>
      <c r="BD13" s="72"/>
      <c r="BE13" s="72"/>
      <c r="BF13" s="72"/>
      <c r="BG13" s="181"/>
      <c r="BH13" s="72"/>
      <c r="BI13" s="181"/>
      <c r="BJ13" s="103"/>
    </row>
    <row r="14" spans="1:62" s="141" customFormat="1" ht="232.5" customHeight="1">
      <c r="A14"/>
      <c r="B14"/>
      <c r="C14"/>
      <c r="D14"/>
      <c r="E14"/>
      <c r="F14"/>
      <c r="G14"/>
      <c r="H14"/>
      <c r="I14"/>
      <c r="J14" s="151">
        <v>244</v>
      </c>
      <c r="K14" s="156" t="s">
        <v>66</v>
      </c>
      <c r="L14" s="158" t="s">
        <v>37</v>
      </c>
      <c r="M14" s="151">
        <v>4</v>
      </c>
      <c r="N14" s="313">
        <v>4</v>
      </c>
      <c r="O14" s="165" t="s">
        <v>67</v>
      </c>
      <c r="P14" s="166">
        <v>82</v>
      </c>
      <c r="Q14" s="156" t="s">
        <v>86</v>
      </c>
      <c r="R14" s="151">
        <v>100</v>
      </c>
      <c r="S14" s="136">
        <v>140000000</v>
      </c>
      <c r="T14" s="156" t="s">
        <v>89</v>
      </c>
      <c r="U14" s="40" t="s">
        <v>68</v>
      </c>
      <c r="V14" s="137" t="s">
        <v>90</v>
      </c>
      <c r="W14" s="136">
        <v>140000000</v>
      </c>
      <c r="X14" s="185">
        <v>6400000</v>
      </c>
      <c r="Y14" s="185">
        <v>6400000</v>
      </c>
      <c r="Z14" s="157">
        <v>20</v>
      </c>
      <c r="AA14" s="158" t="s">
        <v>91</v>
      </c>
      <c r="AB14" s="138"/>
      <c r="AC14" s="192"/>
      <c r="AD14" s="138"/>
      <c r="AE14" s="192"/>
      <c r="AF14" s="138"/>
      <c r="AG14" s="192"/>
      <c r="AH14" s="138">
        <v>30</v>
      </c>
      <c r="AI14" s="192">
        <v>30</v>
      </c>
      <c r="AJ14" s="138">
        <v>150</v>
      </c>
      <c r="AK14" s="192">
        <v>150</v>
      </c>
      <c r="AL14" s="138"/>
      <c r="AM14" s="192"/>
      <c r="AN14" s="138"/>
      <c r="AO14" s="192"/>
      <c r="AP14" s="138"/>
      <c r="AQ14" s="192"/>
      <c r="AR14" s="138"/>
      <c r="AS14" s="192"/>
      <c r="AT14" s="138"/>
      <c r="AU14" s="192"/>
      <c r="AV14" s="138"/>
      <c r="AW14" s="192"/>
      <c r="AX14" s="138"/>
      <c r="AY14" s="192"/>
      <c r="AZ14" s="139">
        <v>0</v>
      </c>
      <c r="BA14" s="314">
        <f>+X14</f>
        <v>6400000</v>
      </c>
      <c r="BB14" s="314">
        <f>+Y14</f>
        <v>6400000</v>
      </c>
      <c r="BC14" s="139">
        <v>0</v>
      </c>
      <c r="BD14" s="139">
        <v>20</v>
      </c>
      <c r="BE14" s="139"/>
      <c r="BF14" s="140">
        <v>42591</v>
      </c>
      <c r="BG14" s="197">
        <v>42678</v>
      </c>
      <c r="BH14" s="140">
        <v>42714</v>
      </c>
      <c r="BI14" s="197">
        <v>42734</v>
      </c>
      <c r="BJ14" s="159" t="s">
        <v>124</v>
      </c>
    </row>
    <row r="15" spans="1:62" s="141" customFormat="1" ht="165.75" customHeight="1">
      <c r="A15"/>
      <c r="B15"/>
      <c r="C15"/>
      <c r="D15"/>
      <c r="E15"/>
      <c r="F15"/>
      <c r="G15"/>
      <c r="H15"/>
      <c r="I15"/>
      <c r="J15" s="151">
        <v>245</v>
      </c>
      <c r="K15" s="156" t="s">
        <v>69</v>
      </c>
      <c r="L15" s="158" t="s">
        <v>37</v>
      </c>
      <c r="M15" s="151">
        <v>1</v>
      </c>
      <c r="N15" s="182">
        <v>0</v>
      </c>
      <c r="O15" s="165" t="s">
        <v>70</v>
      </c>
      <c r="P15" s="166">
        <v>83</v>
      </c>
      <c r="Q15" s="156" t="s">
        <v>87</v>
      </c>
      <c r="R15" s="151">
        <v>100</v>
      </c>
      <c r="S15" s="136">
        <v>180000000</v>
      </c>
      <c r="T15" s="156" t="s">
        <v>71</v>
      </c>
      <c r="U15" s="142" t="s">
        <v>72</v>
      </c>
      <c r="V15" s="143" t="s">
        <v>92</v>
      </c>
      <c r="W15" s="144">
        <v>180000000</v>
      </c>
      <c r="X15" s="186">
        <v>0</v>
      </c>
      <c r="Y15" s="186">
        <v>0</v>
      </c>
      <c r="Z15" s="157">
        <v>20</v>
      </c>
      <c r="AA15" s="158" t="s">
        <v>91</v>
      </c>
      <c r="AB15" s="145">
        <v>55079</v>
      </c>
      <c r="AC15" s="193">
        <v>0</v>
      </c>
      <c r="AD15" s="145" t="s">
        <v>73</v>
      </c>
      <c r="AE15" s="193">
        <v>0</v>
      </c>
      <c r="AF15" s="145">
        <v>45607</v>
      </c>
      <c r="AG15" s="193">
        <v>0</v>
      </c>
      <c r="AH15" s="145">
        <v>140912</v>
      </c>
      <c r="AI15" s="193">
        <v>0</v>
      </c>
      <c r="AJ15" s="145">
        <v>365607</v>
      </c>
      <c r="AK15" s="193">
        <v>0</v>
      </c>
      <c r="AL15" s="145">
        <v>75612</v>
      </c>
      <c r="AM15" s="193">
        <v>0</v>
      </c>
      <c r="AN15" s="145">
        <v>12718</v>
      </c>
      <c r="AO15" s="193">
        <v>0</v>
      </c>
      <c r="AP15" s="145">
        <v>2145</v>
      </c>
      <c r="AQ15" s="193"/>
      <c r="AR15" s="145"/>
      <c r="AS15" s="193"/>
      <c r="AT15" s="145"/>
      <c r="AU15" s="193"/>
      <c r="AV15" s="145"/>
      <c r="AW15" s="193"/>
      <c r="AX15" s="145"/>
      <c r="AY15" s="193"/>
      <c r="AZ15" s="146">
        <v>0</v>
      </c>
      <c r="BA15" s="139">
        <f>+X15</f>
        <v>0</v>
      </c>
      <c r="BB15" s="146">
        <v>0</v>
      </c>
      <c r="BC15" s="146">
        <v>0</v>
      </c>
      <c r="BD15" s="146">
        <v>20</v>
      </c>
      <c r="BE15" s="146"/>
      <c r="BF15" s="147">
        <v>42598</v>
      </c>
      <c r="BG15" s="198"/>
      <c r="BH15" s="147">
        <v>42714</v>
      </c>
      <c r="BI15" s="198"/>
      <c r="BJ15" s="148" t="s">
        <v>125</v>
      </c>
    </row>
    <row r="16" spans="1:62" s="141" customFormat="1" ht="26.25" customHeight="1">
      <c r="A16"/>
      <c r="B16"/>
      <c r="C16"/>
      <c r="D16" s="149">
        <v>28</v>
      </c>
      <c r="E16" s="132" t="s">
        <v>39</v>
      </c>
      <c r="F16" s="132"/>
      <c r="G16" s="132"/>
      <c r="H16" s="132"/>
      <c r="I16" s="132"/>
      <c r="J16" s="132"/>
      <c r="K16" s="132"/>
      <c r="L16" s="132"/>
      <c r="M16" s="132"/>
      <c r="N16" s="170"/>
      <c r="O16" s="132"/>
      <c r="P16" s="132"/>
      <c r="Q16" s="132"/>
      <c r="R16" s="132"/>
      <c r="S16" s="132"/>
      <c r="T16" s="132"/>
      <c r="U16" s="132"/>
      <c r="V16" s="132"/>
      <c r="W16" s="132"/>
      <c r="X16" s="170"/>
      <c r="Y16" s="170"/>
      <c r="Z16" s="132"/>
      <c r="AA16" s="132"/>
      <c r="AB16" s="132"/>
      <c r="AC16" s="170"/>
      <c r="AD16" s="132"/>
      <c r="AE16" s="170"/>
      <c r="AF16" s="132"/>
      <c r="AG16" s="170"/>
      <c r="AH16" s="132"/>
      <c r="AI16" s="170"/>
      <c r="AJ16" s="132"/>
      <c r="AK16" s="170"/>
      <c r="AL16" s="132"/>
      <c r="AM16" s="170"/>
      <c r="AN16" s="132"/>
      <c r="AO16" s="170"/>
      <c r="AP16" s="132"/>
      <c r="AQ16" s="170"/>
      <c r="AR16" s="132"/>
      <c r="AS16" s="170"/>
      <c r="AT16" s="132"/>
      <c r="AU16" s="170"/>
      <c r="AV16" s="132"/>
      <c r="AW16" s="170"/>
      <c r="AX16" s="132"/>
      <c r="AY16" s="170"/>
      <c r="AZ16" s="132"/>
      <c r="BA16" s="132"/>
      <c r="BB16" s="132"/>
      <c r="BC16" s="132"/>
      <c r="BD16" s="132"/>
      <c r="BE16" s="132"/>
      <c r="BF16" s="132"/>
      <c r="BG16" s="170"/>
      <c r="BH16" s="132"/>
      <c r="BI16" s="170"/>
      <c r="BJ16" s="150"/>
    </row>
    <row r="17" spans="1:62" s="141" customFormat="1" ht="28.5" customHeight="1">
      <c r="A17"/>
      <c r="B17"/>
      <c r="C17"/>
      <c r="D17"/>
      <c r="E17"/>
      <c r="F17"/>
      <c r="G17" s="152">
        <v>89</v>
      </c>
      <c r="H17" s="153" t="s">
        <v>74</v>
      </c>
      <c r="I17" s="154"/>
      <c r="J17" s="154"/>
      <c r="K17" s="154"/>
      <c r="L17" s="154"/>
      <c r="M17" s="154"/>
      <c r="N17" s="183"/>
      <c r="O17" s="154"/>
      <c r="P17" s="154"/>
      <c r="Q17" s="154"/>
      <c r="R17" s="154"/>
      <c r="S17" s="154"/>
      <c r="T17" s="154"/>
      <c r="U17" s="154"/>
      <c r="V17" s="154"/>
      <c r="W17" s="154"/>
      <c r="X17" s="183"/>
      <c r="Y17" s="183"/>
      <c r="Z17" s="154"/>
      <c r="AA17" s="154"/>
      <c r="AB17" s="154"/>
      <c r="AC17" s="183"/>
      <c r="AD17" s="154"/>
      <c r="AE17" s="183"/>
      <c r="AF17" s="154"/>
      <c r="AG17" s="183"/>
      <c r="AH17" s="154"/>
      <c r="AI17" s="183"/>
      <c r="AJ17" s="154"/>
      <c r="AK17" s="183"/>
      <c r="AL17" s="154"/>
      <c r="AM17" s="183"/>
      <c r="AN17" s="154"/>
      <c r="AO17" s="183"/>
      <c r="AP17" s="154"/>
      <c r="AQ17" s="183"/>
      <c r="AR17" s="154"/>
      <c r="AS17" s="183"/>
      <c r="AT17" s="154"/>
      <c r="AU17" s="183"/>
      <c r="AV17" s="154"/>
      <c r="AW17" s="183"/>
      <c r="AX17" s="154"/>
      <c r="AY17" s="183"/>
      <c r="AZ17" s="154"/>
      <c r="BA17" s="154"/>
      <c r="BB17" s="154"/>
      <c r="BC17" s="154"/>
      <c r="BD17" s="154"/>
      <c r="BE17" s="154"/>
      <c r="BF17" s="154"/>
      <c r="BG17" s="183"/>
      <c r="BH17" s="154"/>
      <c r="BI17" s="183"/>
      <c r="BJ17" s="155"/>
    </row>
    <row r="18" spans="1:62" s="141" customFormat="1" ht="67.5" customHeight="1">
      <c r="A18"/>
      <c r="B18"/>
      <c r="C18"/>
      <c r="D18"/>
      <c r="E18"/>
      <c r="F18"/>
      <c r="G18"/>
      <c r="H18"/>
      <c r="I18"/>
      <c r="J18">
        <v>288</v>
      </c>
      <c r="K18" t="s">
        <v>75</v>
      </c>
      <c r="L18" t="s">
        <v>76</v>
      </c>
      <c r="M18">
        <v>1</v>
      </c>
      <c r="N18">
        <v>1</v>
      </c>
      <c r="O18" t="s">
        <v>77</v>
      </c>
      <c r="P18">
        <v>81</v>
      </c>
      <c r="Q18" s="2971" t="s">
        <v>88</v>
      </c>
      <c r="R18">
        <v>100</v>
      </c>
      <c r="S18">
        <v>529347601</v>
      </c>
      <c r="T18" t="s">
        <v>93</v>
      </c>
      <c r="U18" t="s">
        <v>94</v>
      </c>
      <c r="V18" s="156" t="s">
        <v>101</v>
      </c>
      <c r="W18" s="136">
        <v>48873333</v>
      </c>
      <c r="X18" s="185">
        <f>7786666+14000000</f>
        <v>21786666</v>
      </c>
      <c r="Y18" s="185">
        <f>7786666+14000000</f>
        <v>21786666</v>
      </c>
      <c r="Z18">
        <v>20</v>
      </c>
      <c r="AA18" t="s">
        <v>91</v>
      </c>
      <c r="AB18">
        <v>55079</v>
      </c>
      <c r="AC18">
        <f>+AB18*N18</f>
        <v>55079</v>
      </c>
      <c r="AD18" t="s">
        <v>73</v>
      </c>
      <c r="AE18">
        <f>+AD18*N18</f>
        <v>63164</v>
      </c>
      <c r="AF18">
        <v>45607</v>
      </c>
      <c r="AG18">
        <f>+AF18*N18</f>
        <v>45607</v>
      </c>
      <c r="AH18">
        <v>140912</v>
      </c>
      <c r="AI18">
        <f>+N18*AH18</f>
        <v>140912</v>
      </c>
      <c r="AJ18">
        <v>365607</v>
      </c>
      <c r="AK18">
        <f>+AJ18*N18</f>
        <v>365607</v>
      </c>
      <c r="AL18">
        <v>75612</v>
      </c>
      <c r="AM18">
        <f>+AL18*$N$18</f>
        <v>75612</v>
      </c>
      <c r="AN18">
        <v>12718</v>
      </c>
      <c r="AO18">
        <f>+AN18*$N$18</f>
        <v>12718</v>
      </c>
      <c r="AP18">
        <v>2145</v>
      </c>
      <c r="AQ18">
        <f>+AP18*$N$18</f>
        <v>2145</v>
      </c>
      <c r="AR18"/>
      <c r="AS18"/>
      <c r="AT18"/>
      <c r="AU18"/>
      <c r="AV18"/>
      <c r="AW18"/>
      <c r="AX18"/>
      <c r="AY18"/>
      <c r="AZ18">
        <v>8</v>
      </c>
      <c r="BA18" s="3211">
        <f>+X18+X19+X20+X21</f>
        <v>291703831</v>
      </c>
      <c r="BB18" s="3211">
        <f>+Y18+Y19+Y20+Y21</f>
        <v>291703831</v>
      </c>
      <c r="BC18">
        <f>+BB18/BA18</f>
        <v>1</v>
      </c>
      <c r="BD18">
        <v>20</v>
      </c>
      <c r="BE18" t="s">
        <v>126</v>
      </c>
      <c r="BF18">
        <v>42598</v>
      </c>
      <c r="BG18">
        <v>42629</v>
      </c>
      <c r="BH18" t="s">
        <v>78</v>
      </c>
      <c r="BI18">
        <v>42734</v>
      </c>
      <c r="BJ18" t="s">
        <v>124</v>
      </c>
    </row>
    <row r="19" spans="1:62" s="141" customFormat="1" ht="67.5" customHeight="1">
      <c r="A19"/>
      <c r="B19"/>
      <c r="C19"/>
      <c r="D19"/>
      <c r="E19"/>
      <c r="F19"/>
      <c r="G19"/>
      <c r="H19"/>
      <c r="I19"/>
      <c r="J19"/>
      <c r="K19"/>
      <c r="L19"/>
      <c r="M19"/>
      <c r="N19"/>
      <c r="O19"/>
      <c r="P19"/>
      <c r="Q19" s="2972"/>
      <c r="R19"/>
      <c r="S19"/>
      <c r="T19"/>
      <c r="U19"/>
      <c r="V19" s="156" t="s">
        <v>102</v>
      </c>
      <c r="W19" s="136">
        <v>136050000</v>
      </c>
      <c r="X19" s="185">
        <v>61500000</v>
      </c>
      <c r="Y19" s="185">
        <v>61500000</v>
      </c>
      <c r="Z19"/>
      <c r="AA19"/>
      <c r="AB19"/>
      <c r="AC19"/>
      <c r="AD19"/>
      <c r="AE19"/>
      <c r="AF19"/>
      <c r="AG19"/>
      <c r="AH19"/>
      <c r="AI19"/>
      <c r="AJ19"/>
      <c r="AK19"/>
      <c r="AL19"/>
      <c r="AM19"/>
      <c r="AN19"/>
      <c r="AO19"/>
      <c r="AP19"/>
      <c r="AQ19"/>
      <c r="AR19"/>
      <c r="AS19"/>
      <c r="AT19"/>
      <c r="AU19"/>
      <c r="AV19"/>
      <c r="AW19"/>
      <c r="AX19"/>
      <c r="AY19"/>
      <c r="AZ19"/>
      <c r="BA19" s="3212"/>
      <c r="BB19" s="3212"/>
      <c r="BC19"/>
      <c r="BD19"/>
      <c r="BE19"/>
      <c r="BF19"/>
      <c r="BG19"/>
      <c r="BH19"/>
      <c r="BI19"/>
      <c r="BJ19"/>
    </row>
    <row r="20" spans="1:62" s="141" customFormat="1" ht="86.25" customHeight="1">
      <c r="A20"/>
      <c r="B20"/>
      <c r="C20"/>
      <c r="D20"/>
      <c r="E20"/>
      <c r="F20"/>
      <c r="G20"/>
      <c r="H20"/>
      <c r="I20"/>
      <c r="J20"/>
      <c r="K20"/>
      <c r="L20"/>
      <c r="M20"/>
      <c r="N20"/>
      <c r="O20"/>
      <c r="P20"/>
      <c r="Q20" s="2972"/>
      <c r="R20"/>
      <c r="S20"/>
      <c r="T20"/>
      <c r="U20"/>
      <c r="V20" s="156" t="s">
        <v>103</v>
      </c>
      <c r="W20" s="136">
        <v>24000000</v>
      </c>
      <c r="X20" s="185">
        <v>11990000</v>
      </c>
      <c r="Y20" s="185">
        <v>11990000</v>
      </c>
      <c r="Z20"/>
      <c r="AA20"/>
      <c r="AB20"/>
      <c r="AC20"/>
      <c r="AD20"/>
      <c r="AE20"/>
      <c r="AF20"/>
      <c r="AG20"/>
      <c r="AH20"/>
      <c r="AI20"/>
      <c r="AJ20"/>
      <c r="AK20"/>
      <c r="AL20"/>
      <c r="AM20"/>
      <c r="AN20"/>
      <c r="AO20"/>
      <c r="AP20"/>
      <c r="AQ20"/>
      <c r="AR20"/>
      <c r="AS20"/>
      <c r="AT20"/>
      <c r="AU20"/>
      <c r="AV20"/>
      <c r="AW20"/>
      <c r="AX20"/>
      <c r="AY20"/>
      <c r="AZ20"/>
      <c r="BA20" s="3212"/>
      <c r="BB20" s="3212"/>
      <c r="BC20"/>
      <c r="BD20"/>
      <c r="BE20"/>
      <c r="BF20"/>
      <c r="BG20"/>
      <c r="BH20"/>
      <c r="BI20"/>
      <c r="BJ20"/>
    </row>
    <row r="21" spans="1:62" s="141" customFormat="1" ht="127.5" customHeight="1">
      <c r="A21"/>
      <c r="B21"/>
      <c r="C21"/>
      <c r="D21"/>
      <c r="E21"/>
      <c r="F21"/>
      <c r="G21"/>
      <c r="H21"/>
      <c r="I21"/>
      <c r="J21"/>
      <c r="K21"/>
      <c r="L21"/>
      <c r="M21"/>
      <c r="N21"/>
      <c r="O21"/>
      <c r="P21"/>
      <c r="Q21" s="2972"/>
      <c r="R21"/>
      <c r="S21"/>
      <c r="T21"/>
      <c r="U21"/>
      <c r="V21" s="160" t="s">
        <v>104</v>
      </c>
      <c r="W21" s="161">
        <v>320424268</v>
      </c>
      <c r="X21" s="187">
        <v>196427165</v>
      </c>
      <c r="Y21" s="187">
        <v>196427165</v>
      </c>
      <c r="Z21"/>
      <c r="AA21"/>
      <c r="AB21"/>
      <c r="AC21"/>
      <c r="AD21"/>
      <c r="AE21"/>
      <c r="AF21"/>
      <c r="AG21"/>
      <c r="AH21"/>
      <c r="AI21"/>
      <c r="AJ21"/>
      <c r="AK21"/>
      <c r="AL21"/>
      <c r="AM21"/>
      <c r="AN21"/>
      <c r="AO21"/>
      <c r="AP21"/>
      <c r="AQ21"/>
      <c r="AR21"/>
      <c r="AS21"/>
      <c r="AT21"/>
      <c r="AU21"/>
      <c r="AV21"/>
      <c r="AW21"/>
      <c r="AX21"/>
      <c r="AY21"/>
      <c r="AZ21"/>
      <c r="BA21" s="3213"/>
      <c r="BB21" s="3213"/>
      <c r="BC21"/>
      <c r="BD21"/>
      <c r="BE21"/>
      <c r="BF21"/>
      <c r="BG21"/>
      <c r="BH21"/>
      <c r="BI21"/>
      <c r="BJ21"/>
    </row>
    <row r="22" spans="1:62" s="97" customFormat="1" ht="21.75" customHeight="1" thickBot="1">
      <c r="A22" t="s">
        <v>96</v>
      </c>
      <c r="B22"/>
      <c r="C22"/>
      <c r="D22"/>
      <c r="E22"/>
      <c r="F22"/>
      <c r="G22"/>
      <c r="H22"/>
      <c r="I22"/>
      <c r="J22"/>
      <c r="K22"/>
      <c r="L22"/>
      <c r="M22"/>
      <c r="N22"/>
      <c r="O22"/>
      <c r="P22"/>
      <c r="Q22"/>
      <c r="R22"/>
      <c r="S22" s="105">
        <f>SUM(S14:S18)</f>
        <v>849347601</v>
      </c>
      <c r="T22" s="106"/>
      <c r="U22" s="106"/>
      <c r="V22" s="107"/>
      <c r="W22" s="121">
        <f>SUM(W14:W21)</f>
        <v>849347601</v>
      </c>
      <c r="X22" s="188">
        <f>SUM(X14:X21)</f>
        <v>298103831</v>
      </c>
      <c r="Y22" s="189">
        <f>SUM(Y14:Y21)</f>
        <v>298103831</v>
      </c>
      <c r="Z22" s="108"/>
      <c r="AA22" s="109"/>
      <c r="AB22" s="110"/>
      <c r="AC22" s="194"/>
      <c r="AD22" s="110"/>
      <c r="AE22" s="194"/>
      <c r="AF22" s="110"/>
      <c r="AG22" s="194"/>
      <c r="AH22" s="110"/>
      <c r="AI22" s="194"/>
      <c r="AJ22" s="110"/>
      <c r="AK22" s="194"/>
      <c r="AL22" s="110"/>
      <c r="AM22" s="194"/>
      <c r="AN22" s="110"/>
      <c r="AO22" s="194"/>
      <c r="AP22" s="110"/>
      <c r="AQ22" s="194"/>
      <c r="AR22" s="110"/>
      <c r="AS22" s="194"/>
      <c r="AT22" s="110"/>
      <c r="AU22" s="194"/>
      <c r="AV22" s="110"/>
      <c r="AW22" s="194"/>
      <c r="AX22" s="110"/>
      <c r="AY22" s="194"/>
      <c r="AZ22" s="110"/>
      <c r="BA22" s="121">
        <f>SUM(BA14:BA21)</f>
        <v>298103831</v>
      </c>
      <c r="BB22" s="121">
        <f>SUM(BB14:BB21)</f>
        <v>298103831</v>
      </c>
      <c r="BC22" s="110"/>
      <c r="BD22" s="110"/>
      <c r="BE22" s="110"/>
      <c r="BF22" s="111"/>
      <c r="BG22" s="199"/>
      <c r="BH22" s="111"/>
      <c r="BI22" s="199"/>
      <c r="BJ22" s="112"/>
    </row>
    <row r="23" spans="19:24" ht="14.25">
      <c r="S23" s="1919"/>
      <c r="W23" s="27"/>
      <c r="X23" s="184"/>
    </row>
    <row r="25" spans="19:54" ht="24.75" customHeight="1">
      <c r="S25" s="1925"/>
      <c r="T25" s="1926"/>
      <c r="U25" s="1926"/>
      <c r="V25" s="1925"/>
      <c r="W25" s="1927"/>
      <c r="X25" s="1928"/>
      <c r="Y25" s="1929"/>
      <c r="Z25" s="1925"/>
      <c r="AA25" s="1925"/>
      <c r="AB25" s="1926"/>
      <c r="AC25" s="1930"/>
      <c r="AD25" s="1926"/>
      <c r="AE25" s="1930"/>
      <c r="AF25" s="1926"/>
      <c r="AG25" s="1930"/>
      <c r="AH25" s="1926"/>
      <c r="AI25" s="1930"/>
      <c r="AJ25" s="1926"/>
      <c r="AK25" s="1930"/>
      <c r="AL25" s="1926"/>
      <c r="AM25" s="1930"/>
      <c r="AN25" s="1926"/>
      <c r="AO25" s="1930"/>
      <c r="AP25" s="1926"/>
      <c r="AQ25" s="1930"/>
      <c r="AR25" s="1926"/>
      <c r="AS25" s="1930"/>
      <c r="AT25" s="1926"/>
      <c r="AU25" s="1930"/>
      <c r="AV25" s="1926"/>
      <c r="AW25" s="1930"/>
      <c r="AX25" s="1926"/>
      <c r="AY25" s="1930"/>
      <c r="AZ25" s="1931"/>
      <c r="BA25" s="1925"/>
      <c r="BB25" s="1931"/>
    </row>
    <row r="26" spans="19:54" ht="14.25">
      <c r="S26" s="1926"/>
      <c r="T26" s="1926"/>
      <c r="U26" s="1926"/>
      <c r="V26" s="1925"/>
      <c r="W26" s="1925"/>
      <c r="X26" s="1932"/>
      <c r="Y26" s="1932"/>
      <c r="Z26" s="1925"/>
      <c r="AA26" s="1925"/>
      <c r="AB26" s="1926"/>
      <c r="AC26" s="1930"/>
      <c r="AD26" s="1926"/>
      <c r="AE26" s="1930"/>
      <c r="AF26" s="1926"/>
      <c r="AG26" s="1930"/>
      <c r="AH26" s="1926"/>
      <c r="AI26" s="1930"/>
      <c r="AJ26" s="1926"/>
      <c r="AK26" s="1930"/>
      <c r="AL26" s="1926"/>
      <c r="AM26" s="1930"/>
      <c r="AN26" s="1926"/>
      <c r="AO26" s="1930"/>
      <c r="AP26" s="1926"/>
      <c r="AQ26" s="1930"/>
      <c r="AR26" s="1926"/>
      <c r="AS26" s="1930"/>
      <c r="AT26" s="1926"/>
      <c r="AU26" s="1930"/>
      <c r="AV26" s="1926"/>
      <c r="AW26" s="1930"/>
      <c r="AX26" s="1926"/>
      <c r="AY26" s="1930"/>
      <c r="AZ26" s="1931"/>
      <c r="BA26" s="1931"/>
      <c r="BB26" s="1931"/>
    </row>
    <row r="29" spans="15:16" ht="15">
      <c r="O29" s="1933" t="s">
        <v>127</v>
      </c>
      <c r="P29" s="39"/>
    </row>
    <row r="30" ht="14.25">
      <c r="O30" s="27" t="s">
        <v>95</v>
      </c>
    </row>
  </sheetData>
  <sheetProtection/>
  <mergeCells count="106">
    <mergeCell ref="A1:BF4"/>
    <mergeCell ref="A5:M6"/>
    <mergeCell ref="Q5:BJ5"/>
    <mergeCell ref="Q6:AA6"/>
    <mergeCell ref="AB6:AY6"/>
    <mergeCell ref="BF6:BJ6"/>
    <mergeCell ref="V7:V9"/>
    <mergeCell ref="J7:J9"/>
    <mergeCell ref="K7:K9"/>
    <mergeCell ref="L7:L9"/>
    <mergeCell ref="M7:N8"/>
    <mergeCell ref="O7:O9"/>
    <mergeCell ref="P7:P9"/>
    <mergeCell ref="A7:A9"/>
    <mergeCell ref="B7:C9"/>
    <mergeCell ref="D7:D9"/>
    <mergeCell ref="E7:F9"/>
    <mergeCell ref="G7:G9"/>
    <mergeCell ref="H7:I9"/>
    <mergeCell ref="BF7:BG8"/>
    <mergeCell ref="BH7:BI8"/>
    <mergeCell ref="BJ7:BJ8"/>
    <mergeCell ref="AB8:AC8"/>
    <mergeCell ref="AD8:AE8"/>
    <mergeCell ref="AF8:AG8"/>
    <mergeCell ref="AH8:AI8"/>
    <mergeCell ref="AJ8:AK8"/>
    <mergeCell ref="AL8:AM8"/>
    <mergeCell ref="AN8:AO8"/>
    <mergeCell ref="AB7:AM7"/>
    <mergeCell ref="AN7:AY7"/>
    <mergeCell ref="AZ7:BE7"/>
    <mergeCell ref="AP8:AQ8"/>
    <mergeCell ref="AR8:AS8"/>
    <mergeCell ref="AT8:AU8"/>
    <mergeCell ref="AV8:AW8"/>
    <mergeCell ref="BE8:BE9"/>
    <mergeCell ref="AX8:AY8"/>
    <mergeCell ref="AZ8:AZ9"/>
    <mergeCell ref="BA8:BA9"/>
    <mergeCell ref="BB8:BB9"/>
    <mergeCell ref="BC8:BC9"/>
    <mergeCell ref="BD8:BD9"/>
    <mergeCell ref="A12:C21"/>
    <mergeCell ref="D13:F15"/>
    <mergeCell ref="G14:I15"/>
    <mergeCell ref="D17:F21"/>
    <mergeCell ref="G18:I21"/>
    <mergeCell ref="J18:J21"/>
    <mergeCell ref="K18:K21"/>
    <mergeCell ref="L18:L21"/>
    <mergeCell ref="M18:M21"/>
    <mergeCell ref="W7:Y8"/>
    <mergeCell ref="Z7:Z9"/>
    <mergeCell ref="AA7:AA9"/>
    <mergeCell ref="Q7:Q9"/>
    <mergeCell ref="R7:R9"/>
    <mergeCell ref="S7:S9"/>
    <mergeCell ref="T7:T9"/>
    <mergeCell ref="U7:U9"/>
    <mergeCell ref="T18:T21"/>
    <mergeCell ref="U18:U21"/>
    <mergeCell ref="Z18:Z21"/>
    <mergeCell ref="AA18:AA21"/>
    <mergeCell ref="AB18:AB21"/>
    <mergeCell ref="AC18:AC21"/>
    <mergeCell ref="N18:N21"/>
    <mergeCell ref="O18:O21"/>
    <mergeCell ref="P18:P21"/>
    <mergeCell ref="Q18:Q21"/>
    <mergeCell ref="R18:R21"/>
    <mergeCell ref="S18:S21"/>
    <mergeCell ref="AL18:AL21"/>
    <mergeCell ref="AM18:AM21"/>
    <mergeCell ref="AN18:AN21"/>
    <mergeCell ref="AO18:AO21"/>
    <mergeCell ref="AD18:AD21"/>
    <mergeCell ref="AE18:AE21"/>
    <mergeCell ref="AF18:AF21"/>
    <mergeCell ref="AG18:AG21"/>
    <mergeCell ref="AH18:AH21"/>
    <mergeCell ref="AI18:AI21"/>
    <mergeCell ref="BH18:BH21"/>
    <mergeCell ref="BI18:BI21"/>
    <mergeCell ref="BJ18:BJ21"/>
    <mergeCell ref="A22:R22"/>
    <mergeCell ref="BB18:BB21"/>
    <mergeCell ref="BC18:BC21"/>
    <mergeCell ref="BD18:BD21"/>
    <mergeCell ref="BE18:BE21"/>
    <mergeCell ref="BF18:BF21"/>
    <mergeCell ref="BG18:BG21"/>
    <mergeCell ref="AV18:AV21"/>
    <mergeCell ref="AW18:AW21"/>
    <mergeCell ref="AX18:AX21"/>
    <mergeCell ref="AY18:AY21"/>
    <mergeCell ref="AZ18:AZ21"/>
    <mergeCell ref="BA18:BA21"/>
    <mergeCell ref="AP18:AP21"/>
    <mergeCell ref="AQ18:AQ21"/>
    <mergeCell ref="AR18:AR21"/>
    <mergeCell ref="AS18:AS21"/>
    <mergeCell ref="AT18:AT21"/>
    <mergeCell ref="AU18:AU21"/>
    <mergeCell ref="AJ18:AJ21"/>
    <mergeCell ref="AK18:AK21"/>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Sthepanie</dc:creator>
  <cp:keywords/>
  <dc:description/>
  <cp:lastModifiedBy>AUXPLANEACION08</cp:lastModifiedBy>
  <cp:lastPrinted>2017-01-25T16:24:26Z</cp:lastPrinted>
  <dcterms:created xsi:type="dcterms:W3CDTF">2016-07-05T14:09:25Z</dcterms:created>
  <dcterms:modified xsi:type="dcterms:W3CDTF">2017-04-07T20:31:57Z</dcterms:modified>
  <cp:category/>
  <cp:version/>
  <cp:contentType/>
  <cp:contentStatus/>
</cp:coreProperties>
</file>