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OBERNACION QUINDIO 2018\SISTEMA GENERAL DE REGALIAS\SGR A JUNIO 2018\"/>
    </mc:Choice>
  </mc:AlternateContent>
  <bookViews>
    <workbookView xWindow="0" yWindow="0" windowWidth="24000" windowHeight="9435" firstSheet="7" activeTab="7"/>
  </bookViews>
  <sheets>
    <sheet name="EJE SECRETARIAS" sheetId="23" r:id="rId1"/>
    <sheet name="ADMINISTRATIVA" sheetId="3" r:id="rId2"/>
    <sheet name="PLANEACION" sheetId="2" r:id="rId3"/>
    <sheet name="HACIENDA" sheetId="6" r:id="rId4"/>
    <sheet name="INFRAESTRUCTURA" sheetId="9" r:id="rId5"/>
    <sheet name="INTERIOR" sheetId="10" r:id="rId6"/>
    <sheet name="CULTURA" sheetId="4" r:id="rId7"/>
    <sheet name="PPROYECTOS 2017" sheetId="26" r:id="rId8"/>
  </sheets>
  <definedNames>
    <definedName name="_1._Apoyo_con_equipos_para_la_seguridad_vial_Licenciamiento_de_software_para_comunicaciones" localSheetId="1">#REF!</definedName>
    <definedName name="_1._Apoyo_con_equipos_para_la_seguridad_vial_Licenciamiento_de_software_para_comunicaciones" localSheetId="6">#REF!</definedName>
    <definedName name="_1._Apoyo_con_equipos_para_la_seguridad_vial_Licenciamiento_de_software_para_comunicaciones" localSheetId="0">#REF!</definedName>
    <definedName name="_1._Apoyo_con_equipos_para_la_seguridad_vial_Licenciamiento_de_software_para_comunicaciones" localSheetId="3">#REF!</definedName>
    <definedName name="_1._Apoyo_con_equipos_para_la_seguridad_vial_Licenciamiento_de_software_para_comunicaciones" localSheetId="4">#REF!</definedName>
    <definedName name="_1._Apoyo_con_equipos_para_la_seguridad_vial_Licenciamiento_de_software_para_comunicaciones" localSheetId="5">#REF!</definedName>
    <definedName name="_1._Apoyo_con_equipos_para_la_seguridad_vial_Licenciamiento_de_software_para_comunicaciones" localSheetId="2">#REF!</definedName>
    <definedName name="_1._Apoyo_con_equipos_para_la_seguridad_vial_Licenciamiento_de_software_para_comunicaciones" localSheetId="7">#REF!</definedName>
    <definedName name="_1._Apoyo_con_equipos_para_la_seguridad_vial_Licenciamiento_de_software_para_comunicaciones">#REF!</definedName>
    <definedName name="_xlnm._FilterDatabase" localSheetId="1" hidden="1">ADMINISTRATIVA!$A$14:$U$23</definedName>
    <definedName name="_xlnm._FilterDatabase" localSheetId="6" hidden="1">CULTURA!$A$14:$U$31</definedName>
    <definedName name="_xlnm._FilterDatabase" localSheetId="0" hidden="1">'EJE SECRETARIAS'!$A$2:$O$16</definedName>
    <definedName name="_xlnm._FilterDatabase" localSheetId="3" hidden="1">HACIENDA!$A$14:$T$22</definedName>
    <definedName name="_xlnm._FilterDatabase" localSheetId="4" hidden="1">INFRAESTRUCTURA!$A$14:$Y$38</definedName>
    <definedName name="_xlnm._FilterDatabase" localSheetId="5" hidden="1">INTERIOR!$A$14:$U$32</definedName>
    <definedName name="_xlnm._FilterDatabase" localSheetId="2" hidden="1">PLANEACION!$A$14:$U$29</definedName>
    <definedName name="_xlnm._FilterDatabase" localSheetId="7" hidden="1">'PPROYECTOS 2017'!$A$3:$X$394</definedName>
    <definedName name="_xlnm.Print_Area" localSheetId="0">'EJE SECRETARIAS'!$A$1:$O$121</definedName>
    <definedName name="CODIGO_DIVIPOLA" localSheetId="1">#REF!</definedName>
    <definedName name="CODIGO_DIVIPOLA" localSheetId="0">#REF!</definedName>
    <definedName name="CODIGO_DIVIPOLA" localSheetId="3">#REF!</definedName>
    <definedName name="CODIGO_DIVIPOLA" localSheetId="4">#REF!</definedName>
    <definedName name="CODIGO_DIVIPOLA" localSheetId="2">#REF!</definedName>
    <definedName name="CODIGO_DIVIPOLA" localSheetId="7">#REF!</definedName>
    <definedName name="CODIGO_DIVIPOLA">#REF!</definedName>
    <definedName name="DboREGISTRO_LEY_617" localSheetId="1">#REF!</definedName>
    <definedName name="DboREGISTRO_LEY_617" localSheetId="0">#REF!</definedName>
    <definedName name="DboREGISTRO_LEY_617" localSheetId="3">#REF!</definedName>
    <definedName name="DboREGISTRO_LEY_617" localSheetId="4">#REF!</definedName>
    <definedName name="DboREGISTRO_LEY_617" localSheetId="2">#REF!</definedName>
    <definedName name="DboREGISTRO_LEY_617" localSheetId="7">#REF!</definedName>
    <definedName name="DboREGISTRO_LEY_617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6" i="26" l="1"/>
  <c r="O175" i="26"/>
  <c r="O174" i="26"/>
  <c r="O173" i="26"/>
  <c r="O172" i="26"/>
  <c r="O171" i="26"/>
  <c r="O170" i="26"/>
  <c r="O169" i="26"/>
  <c r="O168" i="26"/>
  <c r="O167" i="26"/>
  <c r="O166" i="26"/>
  <c r="O165" i="26"/>
  <c r="O164" i="26"/>
  <c r="O163" i="26"/>
  <c r="O162" i="26"/>
  <c r="O161" i="26"/>
  <c r="O160" i="26"/>
  <c r="O159" i="26"/>
  <c r="O158" i="26"/>
  <c r="O157" i="26"/>
  <c r="O156" i="26"/>
  <c r="O155" i="26"/>
  <c r="O154" i="26"/>
  <c r="O153" i="26"/>
  <c r="O152" i="26"/>
  <c r="O151" i="26"/>
  <c r="O150" i="26"/>
  <c r="O149" i="26"/>
  <c r="O148" i="26"/>
  <c r="O147" i="26"/>
  <c r="O146" i="26"/>
  <c r="O145" i="26"/>
  <c r="O144" i="26"/>
  <c r="O143" i="26"/>
  <c r="O142" i="26"/>
  <c r="O141" i="26"/>
  <c r="O140" i="26"/>
  <c r="O139" i="26"/>
  <c r="O138" i="26"/>
  <c r="O137" i="26"/>
  <c r="O136" i="26"/>
  <c r="O135" i="26"/>
  <c r="O134" i="26"/>
  <c r="O133" i="26"/>
  <c r="O132" i="26"/>
  <c r="O131" i="26"/>
  <c r="O130" i="26"/>
  <c r="O129" i="26"/>
  <c r="O128" i="26"/>
  <c r="O127" i="26"/>
  <c r="O126" i="26"/>
  <c r="O125" i="26"/>
  <c r="O124" i="26"/>
  <c r="O123" i="26"/>
  <c r="O122" i="26"/>
  <c r="O121" i="26"/>
  <c r="O120" i="26"/>
  <c r="O119" i="26"/>
  <c r="O118" i="26"/>
  <c r="O117" i="26"/>
  <c r="O116" i="26"/>
  <c r="O115" i="26"/>
  <c r="O114" i="26"/>
  <c r="O113" i="26"/>
  <c r="O112" i="26"/>
  <c r="O111" i="26"/>
  <c r="O110" i="26"/>
  <c r="O109" i="26"/>
  <c r="O108" i="26"/>
  <c r="O107" i="26"/>
  <c r="O106" i="26"/>
  <c r="O105" i="26"/>
  <c r="O104" i="26"/>
  <c r="O103" i="26"/>
  <c r="O102" i="26"/>
  <c r="O101" i="26"/>
  <c r="O100" i="26"/>
  <c r="O99" i="26"/>
  <c r="O98" i="26"/>
  <c r="O97" i="26"/>
  <c r="O96" i="26"/>
  <c r="O95" i="26"/>
  <c r="O94" i="26"/>
  <c r="O93" i="26"/>
  <c r="O92" i="26"/>
  <c r="O91" i="26"/>
  <c r="O90" i="26"/>
  <c r="O89" i="26"/>
  <c r="O88" i="26"/>
  <c r="O87" i="26"/>
  <c r="O86" i="26"/>
  <c r="O85" i="26"/>
  <c r="O84" i="26"/>
  <c r="O83" i="26"/>
  <c r="O82" i="26"/>
  <c r="O81" i="26"/>
  <c r="O80" i="26"/>
  <c r="O79" i="26"/>
  <c r="O78" i="26"/>
  <c r="O77" i="26"/>
  <c r="O76" i="26"/>
  <c r="O75" i="26"/>
  <c r="O74" i="26"/>
  <c r="O73" i="26"/>
  <c r="O72" i="26"/>
  <c r="O71" i="26"/>
  <c r="O70" i="26"/>
  <c r="O69" i="26"/>
  <c r="O68" i="26"/>
  <c r="O67" i="26"/>
  <c r="O66" i="26"/>
  <c r="O65" i="26"/>
  <c r="O64" i="26"/>
  <c r="O63" i="26"/>
  <c r="O62" i="26"/>
  <c r="O61" i="26"/>
  <c r="O60" i="26"/>
  <c r="O59" i="26"/>
  <c r="O58" i="26"/>
  <c r="O57" i="26"/>
  <c r="O56" i="26"/>
  <c r="O55" i="26"/>
  <c r="O54" i="26"/>
  <c r="O53" i="26"/>
  <c r="O52" i="26"/>
  <c r="O51" i="26"/>
  <c r="O50" i="26"/>
  <c r="O49" i="26"/>
  <c r="O48" i="26"/>
  <c r="O47" i="26"/>
  <c r="O46" i="26"/>
  <c r="O45" i="26"/>
  <c r="O44" i="26"/>
  <c r="O43" i="26"/>
  <c r="O42" i="26"/>
  <c r="O41" i="26"/>
  <c r="O40" i="26"/>
  <c r="O39" i="26"/>
  <c r="O38" i="26"/>
  <c r="O37" i="26"/>
  <c r="O36" i="26"/>
  <c r="O35" i="26"/>
  <c r="O34" i="26"/>
  <c r="O33" i="26"/>
  <c r="O32" i="26"/>
  <c r="O31" i="26"/>
  <c r="O30" i="26"/>
  <c r="O29" i="26"/>
  <c r="O28" i="26"/>
  <c r="O27" i="26"/>
  <c r="O26" i="26"/>
  <c r="O25" i="26"/>
  <c r="O24" i="26"/>
  <c r="O23" i="26"/>
  <c r="O22" i="26"/>
  <c r="O21" i="26"/>
  <c r="O20" i="26"/>
  <c r="O19" i="26"/>
  <c r="O18" i="26"/>
  <c r="O17" i="26"/>
  <c r="O16" i="26"/>
  <c r="O15" i="26"/>
  <c r="O14" i="26"/>
  <c r="O13" i="26"/>
  <c r="O12" i="26"/>
  <c r="O11" i="26"/>
  <c r="O10" i="26"/>
  <c r="O9" i="26"/>
  <c r="O8" i="26"/>
  <c r="O7" i="26"/>
  <c r="O6" i="26"/>
  <c r="O5" i="26"/>
  <c r="O4" i="26"/>
  <c r="K394" i="26"/>
  <c r="I394" i="26"/>
  <c r="O394" i="26"/>
  <c r="O393" i="26"/>
  <c r="O392" i="26"/>
  <c r="O391" i="26"/>
  <c r="O390" i="26"/>
  <c r="O389" i="26"/>
  <c r="O388" i="26"/>
  <c r="O387" i="26"/>
  <c r="O386" i="26"/>
  <c r="O385" i="26"/>
  <c r="O384" i="26"/>
  <c r="O383" i="26"/>
  <c r="O382" i="26"/>
  <c r="O381" i="26"/>
  <c r="O380" i="26"/>
  <c r="O379" i="26"/>
  <c r="O378" i="26"/>
  <c r="O377" i="26"/>
  <c r="O376" i="26"/>
  <c r="O375" i="26"/>
  <c r="O374" i="26"/>
  <c r="O373" i="26"/>
  <c r="O372" i="26"/>
  <c r="O371" i="26"/>
  <c r="O370" i="26"/>
  <c r="O369" i="26"/>
  <c r="O368" i="26"/>
  <c r="O367" i="26"/>
  <c r="O366" i="26"/>
  <c r="O365" i="26"/>
  <c r="O364" i="26"/>
  <c r="O363" i="26"/>
  <c r="O362" i="26"/>
  <c r="O361" i="26"/>
  <c r="O360" i="26"/>
  <c r="O359" i="26"/>
  <c r="O358" i="26"/>
  <c r="O357" i="26"/>
  <c r="O356" i="26"/>
  <c r="O355" i="26"/>
  <c r="O354" i="26"/>
  <c r="O353" i="26"/>
  <c r="O352" i="26"/>
  <c r="O351" i="26"/>
  <c r="O350" i="26"/>
  <c r="O349" i="26"/>
  <c r="O348" i="26"/>
  <c r="O347" i="26"/>
  <c r="O346" i="26"/>
  <c r="O345" i="26"/>
  <c r="O344" i="26"/>
  <c r="O343" i="26"/>
  <c r="O342" i="26"/>
  <c r="O341" i="26"/>
  <c r="O340" i="26"/>
  <c r="O339" i="26"/>
  <c r="O338" i="26"/>
  <c r="O337" i="26"/>
  <c r="O336" i="26"/>
  <c r="O335" i="26"/>
  <c r="O334" i="26"/>
  <c r="O333" i="26"/>
  <c r="O332" i="26"/>
  <c r="O331" i="26"/>
  <c r="O330" i="26"/>
  <c r="O329" i="26"/>
  <c r="O328" i="26"/>
  <c r="O327" i="26"/>
  <c r="O326" i="26"/>
  <c r="O325" i="26"/>
  <c r="O324" i="26"/>
  <c r="O323" i="26"/>
  <c r="O322" i="26"/>
  <c r="O321" i="26"/>
  <c r="O320" i="26"/>
  <c r="O319" i="26"/>
  <c r="O318" i="26"/>
  <c r="O317" i="26"/>
  <c r="O316" i="26"/>
  <c r="O315" i="26"/>
  <c r="O314" i="26"/>
  <c r="O313" i="26"/>
  <c r="O312" i="26"/>
  <c r="O311" i="26"/>
  <c r="O310" i="26"/>
  <c r="O309" i="26"/>
  <c r="O308" i="26"/>
  <c r="O307" i="26"/>
  <c r="O306" i="26"/>
  <c r="O305" i="26"/>
  <c r="O304" i="26"/>
  <c r="O303" i="26"/>
  <c r="O302" i="26"/>
  <c r="O301" i="26"/>
  <c r="O300" i="26"/>
  <c r="O299" i="26"/>
  <c r="O298" i="26"/>
  <c r="O297" i="26"/>
  <c r="O296" i="26"/>
  <c r="O295" i="26"/>
  <c r="O294" i="26"/>
  <c r="O293" i="26"/>
  <c r="O292" i="26"/>
  <c r="O291" i="26"/>
  <c r="O290" i="26"/>
  <c r="O289" i="26"/>
  <c r="O288" i="26"/>
  <c r="O287" i="26"/>
  <c r="O286" i="26"/>
  <c r="O285" i="26"/>
  <c r="O284" i="26"/>
  <c r="O283" i="26"/>
  <c r="O282" i="26"/>
  <c r="O281" i="26"/>
  <c r="O280" i="26"/>
  <c r="O279" i="26"/>
  <c r="O278" i="26"/>
  <c r="O277" i="26"/>
  <c r="O276" i="26"/>
  <c r="O275" i="26"/>
  <c r="O274" i="26"/>
  <c r="O273" i="26"/>
  <c r="O272" i="26"/>
  <c r="O271" i="26"/>
  <c r="O270" i="26"/>
  <c r="O269" i="26"/>
  <c r="O268" i="26"/>
  <c r="O267" i="26"/>
  <c r="O266" i="26"/>
  <c r="O265" i="26"/>
  <c r="O264" i="26"/>
  <c r="O263" i="26"/>
  <c r="O262" i="26"/>
  <c r="O261" i="26"/>
  <c r="O260" i="26"/>
  <c r="O259" i="26"/>
  <c r="O258" i="26"/>
  <c r="O257" i="26"/>
  <c r="O256" i="26"/>
  <c r="O255" i="26"/>
  <c r="O254" i="26"/>
  <c r="O253" i="26"/>
  <c r="O252" i="26"/>
  <c r="O251" i="26"/>
  <c r="O250" i="26"/>
  <c r="O249" i="26"/>
  <c r="O248" i="26"/>
  <c r="O247" i="26"/>
  <c r="O246" i="26"/>
  <c r="O245" i="26"/>
  <c r="O244" i="26"/>
  <c r="O243" i="26"/>
  <c r="O242" i="26"/>
  <c r="O241" i="26"/>
  <c r="O240" i="26"/>
  <c r="O239" i="26"/>
  <c r="O238" i="26"/>
  <c r="O237" i="26"/>
  <c r="O236" i="26"/>
  <c r="O235" i="26"/>
  <c r="O234" i="26"/>
  <c r="O233" i="26"/>
  <c r="O232" i="26"/>
  <c r="O231" i="26"/>
  <c r="O230" i="26"/>
  <c r="O229" i="26"/>
  <c r="O228" i="26"/>
  <c r="O227" i="26"/>
  <c r="O226" i="26"/>
  <c r="O225" i="26"/>
  <c r="O224" i="26"/>
  <c r="O223" i="26"/>
  <c r="O222" i="26"/>
  <c r="O221" i="26"/>
  <c r="O220" i="26"/>
  <c r="O219" i="26"/>
  <c r="O218" i="26"/>
  <c r="O217" i="26"/>
  <c r="O216" i="26"/>
  <c r="O215" i="26"/>
  <c r="O214" i="26"/>
  <c r="O213" i="26"/>
  <c r="O212" i="26"/>
  <c r="O211" i="26"/>
  <c r="O210" i="26"/>
  <c r="O209" i="26"/>
  <c r="O208" i="26"/>
  <c r="O207" i="26"/>
  <c r="O206" i="26"/>
  <c r="O205" i="26"/>
  <c r="O204" i="26"/>
  <c r="O203" i="26"/>
  <c r="O202" i="26"/>
  <c r="O201" i="26"/>
  <c r="O200" i="26"/>
  <c r="O199" i="26"/>
  <c r="O198" i="26"/>
  <c r="O197" i="26"/>
  <c r="O196" i="26"/>
  <c r="O195" i="26"/>
  <c r="O194" i="26"/>
  <c r="O193" i="26"/>
  <c r="O192" i="26"/>
  <c r="O191" i="26"/>
  <c r="O190" i="26"/>
  <c r="O189" i="26"/>
  <c r="O188" i="26"/>
  <c r="O187" i="26"/>
  <c r="O186" i="26"/>
  <c r="O185" i="26"/>
  <c r="O184" i="26"/>
  <c r="O183" i="26"/>
  <c r="O182" i="26"/>
  <c r="O181" i="26"/>
  <c r="O180" i="26"/>
  <c r="O179" i="26"/>
  <c r="O178" i="26"/>
  <c r="O177" i="26"/>
  <c r="J394" i="26"/>
  <c r="L394" i="26"/>
  <c r="M394" i="26"/>
  <c r="N394" i="26"/>
  <c r="K35" i="9"/>
  <c r="K36" i="9"/>
  <c r="F37" i="9"/>
  <c r="G37" i="9"/>
  <c r="H37" i="9"/>
  <c r="I37" i="9"/>
  <c r="J37" i="9"/>
  <c r="K29" i="9"/>
  <c r="K30" i="9"/>
  <c r="K31" i="9"/>
  <c r="K33" i="9"/>
  <c r="K3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37" i="9"/>
  <c r="L47" i="4"/>
  <c r="K47" i="4"/>
  <c r="I47" i="4"/>
  <c r="G47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3" i="4"/>
  <c r="M48" i="4"/>
  <c r="M47" i="4"/>
  <c r="J33" i="4"/>
  <c r="L48" i="4"/>
  <c r="I33" i="4"/>
  <c r="K48" i="4"/>
  <c r="H33" i="4"/>
  <c r="I48" i="4"/>
  <c r="F33" i="4"/>
  <c r="F48" i="4"/>
  <c r="J48" i="4"/>
  <c r="G33" i="4"/>
  <c r="G48" i="4"/>
  <c r="H48" i="4"/>
  <c r="F47" i="4"/>
  <c r="F46" i="4"/>
  <c r="G46" i="4"/>
  <c r="I46" i="4"/>
  <c r="K46" i="4"/>
  <c r="L46" i="4"/>
  <c r="M46" i="4"/>
  <c r="N48" i="4"/>
  <c r="E47" i="10"/>
  <c r="F47" i="10"/>
  <c r="H47" i="10"/>
  <c r="J47" i="10"/>
  <c r="K47" i="10"/>
  <c r="L47" i="10"/>
  <c r="F34" i="10"/>
  <c r="E49" i="10"/>
  <c r="H34" i="10"/>
  <c r="H49" i="10"/>
  <c r="I49" i="10"/>
  <c r="G34" i="10"/>
  <c r="F49" i="10"/>
  <c r="G49" i="10"/>
  <c r="I34" i="10"/>
  <c r="J49" i="10"/>
  <c r="J34" i="10"/>
  <c r="K49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4" i="10"/>
  <c r="L49" i="10"/>
  <c r="L48" i="10"/>
  <c r="K48" i="10"/>
  <c r="J48" i="10"/>
  <c r="H48" i="10"/>
  <c r="F48" i="10"/>
  <c r="E48" i="10"/>
  <c r="M49" i="10"/>
  <c r="H107" i="9"/>
  <c r="F107" i="9"/>
  <c r="E107" i="9"/>
  <c r="E108" i="9"/>
  <c r="K50" i="9"/>
  <c r="K51" i="9"/>
  <c r="I51" i="9"/>
  <c r="I50" i="9"/>
  <c r="G51" i="9"/>
  <c r="G50" i="9"/>
  <c r="F51" i="9"/>
  <c r="F50" i="9"/>
  <c r="L51" i="9"/>
  <c r="M51" i="9"/>
  <c r="L50" i="9"/>
  <c r="M50" i="9"/>
  <c r="K17" i="6"/>
  <c r="K18" i="6"/>
  <c r="K21" i="6"/>
  <c r="K22" i="6"/>
  <c r="K24" i="6"/>
  <c r="M39" i="6"/>
  <c r="M38" i="6"/>
  <c r="M37" i="6"/>
  <c r="J24" i="6"/>
  <c r="L39" i="6"/>
  <c r="L38" i="6"/>
  <c r="L37" i="6"/>
  <c r="K39" i="6"/>
  <c r="K38" i="6"/>
  <c r="K37" i="6"/>
  <c r="H24" i="6"/>
  <c r="I39" i="6"/>
  <c r="I38" i="6"/>
  <c r="J38" i="6"/>
  <c r="I37" i="6"/>
  <c r="G24" i="6"/>
  <c r="G39" i="6"/>
  <c r="H39" i="6"/>
  <c r="G38" i="6"/>
  <c r="F39" i="6"/>
  <c r="J39" i="6"/>
  <c r="F38" i="6"/>
  <c r="F37" i="6"/>
  <c r="H37" i="6"/>
  <c r="N37" i="6"/>
  <c r="N39" i="6"/>
  <c r="J37" i="6"/>
  <c r="H38" i="6"/>
  <c r="G37" i="6"/>
  <c r="F46" i="2"/>
  <c r="N46" i="2"/>
  <c r="F45" i="2"/>
  <c r="G46" i="2"/>
  <c r="G45" i="2"/>
  <c r="I46" i="2"/>
  <c r="I45" i="2"/>
  <c r="K46" i="2"/>
  <c r="K45" i="2"/>
  <c r="L46" i="2"/>
  <c r="L45" i="2"/>
  <c r="N45" i="2"/>
  <c r="M46" i="2"/>
  <c r="M45" i="2"/>
  <c r="I72" i="3"/>
  <c r="G72" i="3"/>
  <c r="G35" i="3"/>
  <c r="I35" i="3"/>
  <c r="K35" i="3"/>
  <c r="L35" i="3"/>
  <c r="M35" i="3"/>
  <c r="N38" i="6"/>
  <c r="F35" i="3"/>
  <c r="M37" i="3"/>
  <c r="M36" i="3"/>
  <c r="L36" i="3"/>
  <c r="J22" i="3"/>
  <c r="L37" i="3"/>
  <c r="K37" i="3"/>
  <c r="K36" i="3"/>
  <c r="I37" i="3"/>
  <c r="I36" i="3"/>
  <c r="G37" i="3"/>
  <c r="G36" i="3"/>
  <c r="F37" i="3"/>
  <c r="F36" i="3"/>
  <c r="N37" i="3"/>
  <c r="H37" i="3"/>
  <c r="J37" i="3"/>
  <c r="F65" i="9"/>
  <c r="G65" i="9"/>
  <c r="H65" i="9"/>
  <c r="I65" i="9"/>
  <c r="J65" i="9"/>
  <c r="K65" i="9"/>
  <c r="H46" i="4"/>
  <c r="J46" i="4"/>
  <c r="N46" i="4"/>
  <c r="H47" i="4"/>
  <c r="J47" i="4"/>
  <c r="N47" i="4"/>
  <c r="G47" i="10"/>
  <c r="G48" i="10"/>
  <c r="I47" i="10"/>
  <c r="I48" i="10"/>
  <c r="M47" i="10"/>
  <c r="M48" i="10"/>
  <c r="H50" i="9"/>
  <c r="H51" i="9"/>
  <c r="J50" i="9"/>
  <c r="J51" i="9"/>
  <c r="N50" i="9"/>
  <c r="N51" i="9"/>
  <c r="N35" i="3"/>
  <c r="N36" i="3"/>
  <c r="J35" i="3"/>
  <c r="J36" i="3"/>
  <c r="H35" i="3"/>
  <c r="H36" i="3"/>
  <c r="H45" i="2"/>
  <c r="H46" i="2"/>
  <c r="J45" i="2"/>
  <c r="J46" i="2"/>
  <c r="I20" i="23"/>
  <c r="C20" i="23"/>
  <c r="K20" i="23"/>
  <c r="G20" i="23"/>
  <c r="E20" i="23"/>
  <c r="O20" i="23"/>
  <c r="H20" i="23"/>
  <c r="M20" i="23"/>
  <c r="N20" i="23"/>
  <c r="F20" i="23"/>
  <c r="K18" i="23"/>
  <c r="I18" i="23"/>
  <c r="G18" i="23"/>
  <c r="E18" i="23"/>
  <c r="C18" i="23"/>
  <c r="O18" i="23"/>
  <c r="H18" i="23"/>
  <c r="F18" i="23"/>
  <c r="M18" i="23"/>
  <c r="N18" i="23"/>
  <c r="E19" i="23"/>
  <c r="E21" i="23"/>
  <c r="I19" i="23"/>
  <c r="C19" i="23"/>
  <c r="K19" i="23"/>
  <c r="G19" i="23"/>
  <c r="G21" i="23"/>
  <c r="K21" i="23"/>
  <c r="L21" i="23"/>
  <c r="I21" i="23"/>
  <c r="J21" i="23"/>
  <c r="C21" i="23"/>
  <c r="H19" i="23"/>
  <c r="M19" i="23"/>
  <c r="F19" i="23"/>
  <c r="O19" i="23"/>
  <c r="N19" i="23"/>
  <c r="M21" i="23"/>
  <c r="N21" i="23"/>
  <c r="O21" i="23"/>
  <c r="H21" i="23"/>
  <c r="F21" i="23"/>
  <c r="F58" i="4"/>
  <c r="F56" i="4"/>
  <c r="F54" i="4"/>
  <c r="F52" i="4"/>
  <c r="F55" i="10"/>
  <c r="F53" i="10"/>
  <c r="F63" i="9"/>
  <c r="F61" i="9"/>
  <c r="F59" i="9"/>
  <c r="F57" i="9"/>
  <c r="F55" i="9"/>
  <c r="F47" i="6"/>
  <c r="F45" i="6"/>
  <c r="F43" i="6"/>
  <c r="F67" i="9"/>
  <c r="B59" i="23"/>
  <c r="C58" i="23"/>
  <c r="C55" i="23"/>
  <c r="C56" i="23"/>
  <c r="C57" i="23"/>
  <c r="C54" i="23"/>
  <c r="C59" i="23"/>
  <c r="L26" i="9"/>
  <c r="L16" i="9"/>
  <c r="K15" i="23"/>
  <c r="I15" i="23"/>
  <c r="G15" i="23"/>
  <c r="E15" i="23"/>
  <c r="C15" i="23"/>
  <c r="M45" i="4"/>
  <c r="G45" i="4"/>
  <c r="I45" i="4"/>
  <c r="K45" i="4"/>
  <c r="L45" i="4"/>
  <c r="L46" i="10"/>
  <c r="K46" i="10"/>
  <c r="J46" i="10"/>
  <c r="H46" i="10"/>
  <c r="F46" i="10"/>
  <c r="E46" i="10"/>
  <c r="G49" i="9"/>
  <c r="I49" i="9"/>
  <c r="K49" i="9"/>
  <c r="L49" i="9"/>
  <c r="M49" i="9"/>
  <c r="G36" i="6"/>
  <c r="I36" i="6"/>
  <c r="K36" i="6"/>
  <c r="L36" i="6"/>
  <c r="M36" i="6"/>
  <c r="G44" i="2"/>
  <c r="I44" i="2"/>
  <c r="K44" i="2"/>
  <c r="L44" i="2"/>
  <c r="M44" i="2"/>
  <c r="L34" i="3"/>
  <c r="K34" i="3"/>
  <c r="I34" i="3"/>
  <c r="K16" i="3"/>
  <c r="K17" i="3"/>
  <c r="K18" i="3"/>
  <c r="K19" i="3"/>
  <c r="K20" i="3"/>
  <c r="K15" i="3"/>
  <c r="M34" i="3"/>
  <c r="G34" i="3"/>
  <c r="F34" i="3"/>
  <c r="J34" i="3"/>
  <c r="F44" i="2"/>
  <c r="H44" i="2"/>
  <c r="F36" i="6"/>
  <c r="H36" i="6"/>
  <c r="F49" i="9"/>
  <c r="H49" i="9"/>
  <c r="G46" i="10"/>
  <c r="I46" i="10"/>
  <c r="M46" i="10"/>
  <c r="F45" i="4"/>
  <c r="H45" i="4"/>
  <c r="H34" i="3"/>
  <c r="N36" i="6"/>
  <c r="N44" i="2"/>
  <c r="N34" i="3"/>
  <c r="N45" i="4"/>
  <c r="J36" i="6"/>
  <c r="J44" i="2"/>
  <c r="J45" i="4"/>
  <c r="N49" i="9"/>
  <c r="J49" i="9"/>
  <c r="L25" i="4"/>
  <c r="H89" i="4"/>
  <c r="F89" i="4"/>
  <c r="E89" i="4"/>
  <c r="G58" i="4"/>
  <c r="H58" i="4"/>
  <c r="I58" i="4"/>
  <c r="J58" i="4"/>
  <c r="K58" i="4"/>
  <c r="F44" i="4"/>
  <c r="N44" i="4"/>
  <c r="G44" i="4"/>
  <c r="I44" i="4"/>
  <c r="K44" i="4"/>
  <c r="L44" i="4"/>
  <c r="M44" i="4"/>
  <c r="L45" i="10"/>
  <c r="K45" i="10"/>
  <c r="J45" i="10"/>
  <c r="H45" i="10"/>
  <c r="F45" i="10"/>
  <c r="G45" i="10"/>
  <c r="E45" i="10"/>
  <c r="I45" i="10"/>
  <c r="F43" i="2"/>
  <c r="J43" i="2"/>
  <c r="M48" i="9"/>
  <c r="L48" i="9"/>
  <c r="K48" i="9"/>
  <c r="I48" i="9"/>
  <c r="G48" i="9"/>
  <c r="F48" i="9"/>
  <c r="M35" i="6"/>
  <c r="L35" i="6"/>
  <c r="K35" i="6"/>
  <c r="I35" i="6"/>
  <c r="J35" i="6"/>
  <c r="G35" i="6"/>
  <c r="F35" i="6"/>
  <c r="N35" i="6"/>
  <c r="M43" i="2"/>
  <c r="N43" i="2"/>
  <c r="L43" i="2"/>
  <c r="K43" i="2"/>
  <c r="I43" i="2"/>
  <c r="G43" i="2"/>
  <c r="H43" i="2"/>
  <c r="K22" i="2"/>
  <c r="F33" i="3"/>
  <c r="G33" i="3"/>
  <c r="M33" i="3"/>
  <c r="L33" i="3"/>
  <c r="K33" i="3"/>
  <c r="I33" i="3"/>
  <c r="J33" i="3"/>
  <c r="J48" i="9"/>
  <c r="N48" i="9"/>
  <c r="H48" i="9"/>
  <c r="M45" i="10"/>
  <c r="H44" i="4"/>
  <c r="J44" i="4"/>
  <c r="H35" i="6"/>
  <c r="N33" i="3"/>
  <c r="H33" i="3"/>
  <c r="H90" i="4"/>
  <c r="F90" i="4"/>
  <c r="E90" i="4"/>
  <c r="H88" i="10"/>
  <c r="H89" i="10"/>
  <c r="E89" i="10"/>
  <c r="F88" i="10"/>
  <c r="F89" i="10"/>
  <c r="E88" i="10"/>
  <c r="H108" i="9"/>
  <c r="F108" i="9"/>
  <c r="H85" i="6"/>
  <c r="F85" i="6"/>
  <c r="E85" i="6"/>
  <c r="H84" i="6"/>
  <c r="F84" i="6"/>
  <c r="E84" i="6"/>
  <c r="H81" i="2"/>
  <c r="F81" i="2"/>
  <c r="E81" i="2"/>
  <c r="H80" i="2"/>
  <c r="F80" i="2"/>
  <c r="E80" i="2"/>
  <c r="H72" i="3"/>
  <c r="F72" i="3"/>
  <c r="E72" i="3"/>
  <c r="F71" i="3"/>
  <c r="H71" i="3"/>
  <c r="H73" i="3"/>
  <c r="E71" i="3"/>
  <c r="F73" i="3"/>
  <c r="J72" i="3"/>
  <c r="I81" i="2"/>
  <c r="J85" i="6"/>
  <c r="K85" i="6"/>
  <c r="L71" i="3"/>
  <c r="M71" i="3"/>
  <c r="I73" i="3"/>
  <c r="J90" i="4"/>
  <c r="K90" i="4"/>
  <c r="E91" i="4"/>
  <c r="L90" i="4"/>
  <c r="M90" i="4"/>
  <c r="I89" i="4"/>
  <c r="G89" i="4"/>
  <c r="H91" i="4"/>
  <c r="J89" i="4"/>
  <c r="I90" i="4"/>
  <c r="L89" i="4"/>
  <c r="G90" i="4"/>
  <c r="F91" i="4"/>
  <c r="J88" i="10"/>
  <c r="K88" i="10"/>
  <c r="E90" i="10"/>
  <c r="L89" i="10"/>
  <c r="M89" i="10"/>
  <c r="H90" i="10"/>
  <c r="G71" i="3"/>
  <c r="I71" i="3"/>
  <c r="L72" i="3"/>
  <c r="M72" i="3"/>
  <c r="J71" i="3"/>
  <c r="E73" i="3"/>
  <c r="G88" i="10"/>
  <c r="I89" i="10"/>
  <c r="L88" i="10"/>
  <c r="J89" i="10"/>
  <c r="K89" i="10"/>
  <c r="G89" i="10"/>
  <c r="F90" i="10"/>
  <c r="I88" i="10"/>
  <c r="G85" i="6"/>
  <c r="L85" i="6"/>
  <c r="M85" i="6"/>
  <c r="I85" i="6"/>
  <c r="I80" i="2"/>
  <c r="L80" i="2"/>
  <c r="M80" i="2"/>
  <c r="J80" i="2"/>
  <c r="G80" i="2"/>
  <c r="G73" i="3"/>
  <c r="G91" i="4"/>
  <c r="J91" i="4"/>
  <c r="K91" i="4"/>
  <c r="K89" i="4"/>
  <c r="I91" i="4"/>
  <c r="L91" i="4"/>
  <c r="M91" i="4"/>
  <c r="M89" i="4"/>
  <c r="G90" i="10"/>
  <c r="L90" i="10"/>
  <c r="M90" i="10"/>
  <c r="J90" i="10"/>
  <c r="K90" i="10"/>
  <c r="L73" i="3"/>
  <c r="M73" i="3"/>
  <c r="K71" i="3"/>
  <c r="J73" i="3"/>
  <c r="K73" i="3"/>
  <c r="M88" i="10"/>
  <c r="I90" i="10"/>
  <c r="K80" i="2"/>
  <c r="G96" i="23"/>
  <c r="E96" i="23"/>
  <c r="C96" i="23"/>
  <c r="G95" i="23"/>
  <c r="E95" i="23"/>
  <c r="C95" i="23"/>
  <c r="C97" i="23"/>
  <c r="I95" i="23"/>
  <c r="F95" i="23"/>
  <c r="H96" i="23"/>
  <c r="H95" i="23"/>
  <c r="F96" i="23"/>
  <c r="I96" i="23"/>
  <c r="G97" i="23"/>
  <c r="H97" i="23"/>
  <c r="E97" i="23"/>
  <c r="F97" i="23"/>
  <c r="I97" i="23"/>
  <c r="K12" i="23"/>
  <c r="G12" i="23"/>
  <c r="G91" i="23"/>
  <c r="I12" i="23"/>
  <c r="C12" i="23"/>
  <c r="C91" i="23"/>
  <c r="E12" i="23"/>
  <c r="H12" i="23"/>
  <c r="H91" i="23"/>
  <c r="O12" i="23"/>
  <c r="M12" i="23"/>
  <c r="N12" i="23"/>
  <c r="J12" i="23"/>
  <c r="L12" i="23"/>
  <c r="F12" i="23"/>
  <c r="E91" i="23"/>
  <c r="F91" i="23"/>
  <c r="I91" i="23"/>
  <c r="J91" i="23"/>
  <c r="M43" i="4"/>
  <c r="L43" i="4"/>
  <c r="K43" i="4"/>
  <c r="I43" i="4"/>
  <c r="G43" i="4"/>
  <c r="F43" i="4"/>
  <c r="G59" i="4"/>
  <c r="G52" i="4"/>
  <c r="L44" i="10"/>
  <c r="K44" i="10"/>
  <c r="J44" i="10"/>
  <c r="H44" i="10"/>
  <c r="F44" i="10"/>
  <c r="E44" i="10"/>
  <c r="I44" i="10"/>
  <c r="G61" i="9"/>
  <c r="G64" i="9"/>
  <c r="H61" i="9"/>
  <c r="H64" i="9"/>
  <c r="I61" i="9"/>
  <c r="J61" i="9"/>
  <c r="G55" i="9"/>
  <c r="H55" i="9"/>
  <c r="I55" i="9"/>
  <c r="J55" i="9"/>
  <c r="I57" i="9"/>
  <c r="J57" i="9"/>
  <c r="G57" i="9"/>
  <c r="H57" i="9"/>
  <c r="G59" i="9"/>
  <c r="H59" i="9"/>
  <c r="I59" i="9"/>
  <c r="J59" i="9"/>
  <c r="L47" i="9"/>
  <c r="K47" i="9"/>
  <c r="I47" i="9"/>
  <c r="G47" i="9"/>
  <c r="F47" i="9"/>
  <c r="J59" i="4"/>
  <c r="H59" i="4"/>
  <c r="K59" i="4"/>
  <c r="I59" i="4"/>
  <c r="F60" i="4"/>
  <c r="E92" i="4"/>
  <c r="H43" i="4"/>
  <c r="J43" i="4"/>
  <c r="N43" i="4"/>
  <c r="G44" i="10"/>
  <c r="M44" i="10"/>
  <c r="J47" i="9"/>
  <c r="M47" i="9"/>
  <c r="N47" i="9"/>
  <c r="H47" i="9"/>
  <c r="M34" i="6"/>
  <c r="L34" i="6"/>
  <c r="K34" i="6"/>
  <c r="I34" i="6"/>
  <c r="G34" i="6"/>
  <c r="F34" i="6"/>
  <c r="L42" i="2"/>
  <c r="L41" i="2"/>
  <c r="K42" i="2"/>
  <c r="K41" i="2"/>
  <c r="K40" i="2"/>
  <c r="K39" i="2"/>
  <c r="K38" i="2"/>
  <c r="K37" i="2"/>
  <c r="M42" i="2"/>
  <c r="N42" i="2"/>
  <c r="I42" i="2"/>
  <c r="J42" i="2"/>
  <c r="G42" i="2"/>
  <c r="F42" i="2"/>
  <c r="M32" i="3"/>
  <c r="L32" i="3"/>
  <c r="K32" i="3"/>
  <c r="I32" i="3"/>
  <c r="G32" i="3"/>
  <c r="F32" i="3"/>
  <c r="L26" i="3"/>
  <c r="M26" i="3"/>
  <c r="K27" i="3"/>
  <c r="L27" i="3"/>
  <c r="M27" i="3"/>
  <c r="K28" i="3"/>
  <c r="L28" i="3"/>
  <c r="M28" i="3"/>
  <c r="N32" i="3"/>
  <c r="H42" i="2"/>
  <c r="J32" i="3"/>
  <c r="H32" i="3"/>
  <c r="H34" i="6"/>
  <c r="J34" i="6"/>
  <c r="N34" i="6"/>
  <c r="K9" i="23"/>
  <c r="I9" i="23"/>
  <c r="C11" i="23"/>
  <c r="C90" i="23"/>
  <c r="K11" i="23"/>
  <c r="G11" i="23"/>
  <c r="E11" i="23"/>
  <c r="F57" i="10"/>
  <c r="E91" i="10"/>
  <c r="J53" i="10"/>
  <c r="J55" i="10"/>
  <c r="H53" i="10"/>
  <c r="H54" i="10"/>
  <c r="H55" i="10"/>
  <c r="H56" i="10"/>
  <c r="I53" i="10"/>
  <c r="I55" i="10"/>
  <c r="G53" i="10"/>
  <c r="G54" i="10"/>
  <c r="G55" i="10"/>
  <c r="L43" i="10"/>
  <c r="M43" i="10"/>
  <c r="E43" i="10"/>
  <c r="K43" i="10"/>
  <c r="J43" i="10"/>
  <c r="H43" i="10"/>
  <c r="I43" i="10"/>
  <c r="F43" i="10"/>
  <c r="G43" i="10"/>
  <c r="E42" i="10"/>
  <c r="F42" i="10"/>
  <c r="L42" i="10"/>
  <c r="M42" i="10"/>
  <c r="K42" i="10"/>
  <c r="J42" i="10"/>
  <c r="H42" i="10"/>
  <c r="I42" i="10"/>
  <c r="E41" i="10"/>
  <c r="F41" i="10"/>
  <c r="K41" i="10"/>
  <c r="J41" i="10"/>
  <c r="H41" i="10"/>
  <c r="I41" i="10"/>
  <c r="G41" i="10"/>
  <c r="E40" i="10"/>
  <c r="F40" i="10"/>
  <c r="G40" i="10"/>
  <c r="K40" i="10"/>
  <c r="J40" i="10"/>
  <c r="H40" i="10"/>
  <c r="I40" i="10"/>
  <c r="E39" i="10"/>
  <c r="L39" i="10"/>
  <c r="M39" i="10"/>
  <c r="F39" i="10"/>
  <c r="G39" i="10"/>
  <c r="K39" i="10"/>
  <c r="J39" i="10"/>
  <c r="H39" i="10"/>
  <c r="I39" i="10"/>
  <c r="E38" i="10"/>
  <c r="F38" i="10"/>
  <c r="L38" i="10"/>
  <c r="M38" i="10"/>
  <c r="K38" i="10"/>
  <c r="J38" i="10"/>
  <c r="H38" i="10"/>
  <c r="I38" i="10"/>
  <c r="C7" i="23"/>
  <c r="C86" i="23"/>
  <c r="K7" i="23"/>
  <c r="G7" i="23"/>
  <c r="I7" i="23"/>
  <c r="L32" i="10"/>
  <c r="L31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K59" i="9"/>
  <c r="K63" i="9"/>
  <c r="J63" i="9"/>
  <c r="J67" i="9"/>
  <c r="L23" i="9"/>
  <c r="H63" i="9"/>
  <c r="H67" i="9"/>
  <c r="I63" i="9"/>
  <c r="I67" i="9"/>
  <c r="G58" i="9"/>
  <c r="G63" i="9"/>
  <c r="G67" i="9"/>
  <c r="F46" i="9"/>
  <c r="G46" i="9"/>
  <c r="L46" i="9"/>
  <c r="K46" i="9"/>
  <c r="I46" i="9"/>
  <c r="F45" i="9"/>
  <c r="G45" i="9"/>
  <c r="L45" i="9"/>
  <c r="K45" i="9"/>
  <c r="I45" i="9"/>
  <c r="J45" i="9"/>
  <c r="F44" i="9"/>
  <c r="G44" i="9"/>
  <c r="L44" i="9"/>
  <c r="K44" i="9"/>
  <c r="I44" i="9"/>
  <c r="F43" i="9"/>
  <c r="G43" i="9"/>
  <c r="L43" i="9"/>
  <c r="K43" i="9"/>
  <c r="I43" i="9"/>
  <c r="F42" i="9"/>
  <c r="G42" i="9"/>
  <c r="L42" i="9"/>
  <c r="K42" i="9"/>
  <c r="I42" i="9"/>
  <c r="F41" i="9"/>
  <c r="G41" i="9"/>
  <c r="I41" i="9"/>
  <c r="L52" i="9"/>
  <c r="I52" i="9"/>
  <c r="K52" i="9"/>
  <c r="G52" i="9"/>
  <c r="L34" i="9"/>
  <c r="L33" i="9"/>
  <c r="L31" i="9"/>
  <c r="L30" i="9"/>
  <c r="L29" i="9"/>
  <c r="L28" i="9"/>
  <c r="L27" i="9"/>
  <c r="L25" i="9"/>
  <c r="L24" i="9"/>
  <c r="L22" i="9"/>
  <c r="L21" i="9"/>
  <c r="L20" i="9"/>
  <c r="L19" i="9"/>
  <c r="L18" i="9"/>
  <c r="L17" i="9"/>
  <c r="L15" i="9"/>
  <c r="K20" i="6"/>
  <c r="K16" i="6"/>
  <c r="K19" i="6"/>
  <c r="K15" i="6"/>
  <c r="J43" i="6"/>
  <c r="J45" i="6"/>
  <c r="J47" i="6"/>
  <c r="H43" i="6"/>
  <c r="H45" i="6"/>
  <c r="H47" i="6"/>
  <c r="I43" i="6"/>
  <c r="I45" i="6"/>
  <c r="I47" i="6"/>
  <c r="G43" i="6"/>
  <c r="G45" i="6"/>
  <c r="G47" i="6"/>
  <c r="K33" i="6"/>
  <c r="K48" i="6"/>
  <c r="I33" i="6"/>
  <c r="I48" i="6"/>
  <c r="F33" i="6"/>
  <c r="G33" i="6"/>
  <c r="M33" i="6"/>
  <c r="N33" i="6"/>
  <c r="F24" i="6"/>
  <c r="K5" i="23"/>
  <c r="I24" i="6"/>
  <c r="L33" i="6"/>
  <c r="F32" i="6"/>
  <c r="G32" i="6"/>
  <c r="L32" i="6"/>
  <c r="K32" i="6"/>
  <c r="I32" i="6"/>
  <c r="J32" i="6"/>
  <c r="F31" i="6"/>
  <c r="M31" i="6"/>
  <c r="N31" i="6"/>
  <c r="G31" i="6"/>
  <c r="L31" i="6"/>
  <c r="K31" i="6"/>
  <c r="I31" i="6"/>
  <c r="F30" i="6"/>
  <c r="G30" i="6"/>
  <c r="L30" i="6"/>
  <c r="K30" i="6"/>
  <c r="I30" i="6"/>
  <c r="J30" i="6"/>
  <c r="F29" i="6"/>
  <c r="G29" i="6"/>
  <c r="L29" i="6"/>
  <c r="K29" i="6"/>
  <c r="I29" i="6"/>
  <c r="F28" i="6"/>
  <c r="J28" i="6"/>
  <c r="G28" i="6"/>
  <c r="I28" i="6"/>
  <c r="L22" i="6"/>
  <c r="L21" i="6"/>
  <c r="L20" i="6"/>
  <c r="L19" i="6"/>
  <c r="L18" i="6"/>
  <c r="L17" i="6"/>
  <c r="L16" i="6"/>
  <c r="L15" i="6"/>
  <c r="C13" i="23"/>
  <c r="K13" i="23"/>
  <c r="G13" i="23"/>
  <c r="I13" i="23"/>
  <c r="J52" i="4"/>
  <c r="J54" i="4"/>
  <c r="J56" i="4"/>
  <c r="H52" i="4"/>
  <c r="H54" i="4"/>
  <c r="H55" i="4"/>
  <c r="H56" i="4"/>
  <c r="I52" i="4"/>
  <c r="I54" i="4"/>
  <c r="I56" i="4"/>
  <c r="G56" i="4"/>
  <c r="G57" i="4"/>
  <c r="G53" i="4"/>
  <c r="M42" i="4"/>
  <c r="F42" i="4"/>
  <c r="L42" i="4"/>
  <c r="K42" i="4"/>
  <c r="I42" i="4"/>
  <c r="G42" i="4"/>
  <c r="M41" i="4"/>
  <c r="F41" i="4"/>
  <c r="L41" i="4"/>
  <c r="K41" i="4"/>
  <c r="I41" i="4"/>
  <c r="G41" i="4"/>
  <c r="H41" i="4"/>
  <c r="M40" i="4"/>
  <c r="F40" i="4"/>
  <c r="L40" i="4"/>
  <c r="K40" i="4"/>
  <c r="I40" i="4"/>
  <c r="G40" i="4"/>
  <c r="F39" i="4"/>
  <c r="G39" i="4"/>
  <c r="H39" i="4"/>
  <c r="L39" i="4"/>
  <c r="K39" i="4"/>
  <c r="I39" i="4"/>
  <c r="J39" i="4"/>
  <c r="F38" i="4"/>
  <c r="G38" i="4"/>
  <c r="L38" i="4"/>
  <c r="K38" i="4"/>
  <c r="I38" i="4"/>
  <c r="F37" i="4"/>
  <c r="G37" i="4"/>
  <c r="I37" i="4"/>
  <c r="C8" i="23"/>
  <c r="K8" i="23"/>
  <c r="I8" i="23"/>
  <c r="L31" i="4"/>
  <c r="L29" i="4"/>
  <c r="L28" i="4"/>
  <c r="L27" i="4"/>
  <c r="L26" i="4"/>
  <c r="L24" i="4"/>
  <c r="L23" i="4"/>
  <c r="L22" i="4"/>
  <c r="L21" i="4"/>
  <c r="L20" i="4"/>
  <c r="L19" i="4"/>
  <c r="L18" i="4"/>
  <c r="L17" i="4"/>
  <c r="L16" i="4"/>
  <c r="L15" i="4"/>
  <c r="K22" i="3"/>
  <c r="F22" i="3"/>
  <c r="K3" i="23"/>
  <c r="H22" i="3"/>
  <c r="I22" i="3"/>
  <c r="G22" i="3"/>
  <c r="M31" i="3"/>
  <c r="N31" i="3"/>
  <c r="J31" i="3"/>
  <c r="G31" i="3"/>
  <c r="H31" i="3"/>
  <c r="M30" i="3"/>
  <c r="F30" i="3"/>
  <c r="L30" i="3"/>
  <c r="K30" i="3"/>
  <c r="I30" i="3"/>
  <c r="G30" i="3"/>
  <c r="H30" i="3"/>
  <c r="M29" i="3"/>
  <c r="F29" i="3"/>
  <c r="L29" i="3"/>
  <c r="K29" i="3"/>
  <c r="I29" i="3"/>
  <c r="G29" i="3"/>
  <c r="H29" i="3"/>
  <c r="F28" i="3"/>
  <c r="N28" i="3"/>
  <c r="I28" i="3"/>
  <c r="G28" i="3"/>
  <c r="F27" i="3"/>
  <c r="N27" i="3"/>
  <c r="I27" i="3"/>
  <c r="G27" i="3"/>
  <c r="F26" i="3"/>
  <c r="N26" i="3"/>
  <c r="I26" i="3"/>
  <c r="G26" i="3"/>
  <c r="L20" i="3"/>
  <c r="L19" i="3"/>
  <c r="L18" i="3"/>
  <c r="L17" i="3"/>
  <c r="L16" i="3"/>
  <c r="L15" i="3"/>
  <c r="M41" i="2"/>
  <c r="I41" i="2"/>
  <c r="G41" i="2"/>
  <c r="H41" i="2"/>
  <c r="F41" i="2"/>
  <c r="N41" i="2"/>
  <c r="I40" i="2"/>
  <c r="J40" i="2"/>
  <c r="G40" i="2"/>
  <c r="F40" i="2"/>
  <c r="M40" i="2"/>
  <c r="N40" i="2"/>
  <c r="I39" i="2"/>
  <c r="G39" i="2"/>
  <c r="F39" i="2"/>
  <c r="H39" i="2"/>
  <c r="I38" i="2"/>
  <c r="J38" i="2"/>
  <c r="G38" i="2"/>
  <c r="H38" i="2"/>
  <c r="F38" i="2"/>
  <c r="I37" i="2"/>
  <c r="J37" i="2"/>
  <c r="G37" i="2"/>
  <c r="M37" i="2"/>
  <c r="N37" i="2"/>
  <c r="H37" i="2"/>
  <c r="F37" i="2"/>
  <c r="I36" i="2"/>
  <c r="J36" i="2"/>
  <c r="G36" i="2"/>
  <c r="H36" i="2"/>
  <c r="F36" i="2"/>
  <c r="J31" i="2"/>
  <c r="L47" i="2"/>
  <c r="I31" i="2"/>
  <c r="K47" i="2"/>
  <c r="H31" i="2"/>
  <c r="I47" i="2"/>
  <c r="G31" i="2"/>
  <c r="G47" i="2"/>
  <c r="F31" i="2"/>
  <c r="F47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J41" i="2"/>
  <c r="C10" i="23"/>
  <c r="G10" i="23"/>
  <c r="O10" i="23"/>
  <c r="I10" i="23"/>
  <c r="E10" i="23"/>
  <c r="H47" i="2"/>
  <c r="J47" i="2"/>
  <c r="M46" i="9"/>
  <c r="N46" i="9"/>
  <c r="H41" i="9"/>
  <c r="J46" i="9"/>
  <c r="I6" i="23"/>
  <c r="K6" i="23"/>
  <c r="C14" i="23"/>
  <c r="C93" i="23"/>
  <c r="H40" i="2"/>
  <c r="J30" i="3"/>
  <c r="N30" i="3"/>
  <c r="H29" i="6"/>
  <c r="L41" i="10"/>
  <c r="M41" i="10"/>
  <c r="J39" i="2"/>
  <c r="J41" i="4"/>
  <c r="J41" i="9"/>
  <c r="M36" i="2"/>
  <c r="N36" i="2"/>
  <c r="M38" i="2"/>
  <c r="N38" i="2"/>
  <c r="G3" i="23"/>
  <c r="L3" i="23"/>
  <c r="L22" i="3"/>
  <c r="H31" i="6"/>
  <c r="J33" i="6"/>
  <c r="J48" i="6"/>
  <c r="M44" i="9"/>
  <c r="N44" i="9"/>
  <c r="H45" i="9"/>
  <c r="L31" i="2"/>
  <c r="G14" i="23"/>
  <c r="G93" i="23"/>
  <c r="H33" i="6"/>
  <c r="H48" i="6"/>
  <c r="K14" i="23"/>
  <c r="I14" i="23"/>
  <c r="E14" i="23"/>
  <c r="M14" i="23"/>
  <c r="J10" i="23"/>
  <c r="J37" i="4"/>
  <c r="J42" i="4"/>
  <c r="N42" i="4"/>
  <c r="M38" i="4"/>
  <c r="N38" i="4"/>
  <c r="J46" i="6"/>
  <c r="I4" i="23"/>
  <c r="H27" i="3"/>
  <c r="H28" i="3"/>
  <c r="J29" i="3"/>
  <c r="J41" i="3"/>
  <c r="H26" i="3"/>
  <c r="J27" i="3"/>
  <c r="J28" i="3"/>
  <c r="J13" i="23"/>
  <c r="G92" i="23"/>
  <c r="H13" i="23"/>
  <c r="O13" i="23"/>
  <c r="L13" i="23"/>
  <c r="E13" i="23"/>
  <c r="M13" i="23"/>
  <c r="C92" i="23"/>
  <c r="H11" i="23"/>
  <c r="G90" i="23"/>
  <c r="H90" i="23"/>
  <c r="O11" i="23"/>
  <c r="I11" i="23"/>
  <c r="J11" i="23"/>
  <c r="L11" i="23"/>
  <c r="M11" i="23"/>
  <c r="F11" i="23"/>
  <c r="E90" i="23"/>
  <c r="F90" i="23"/>
  <c r="G89" i="23"/>
  <c r="H10" i="23"/>
  <c r="F10" i="23"/>
  <c r="E89" i="23"/>
  <c r="C89" i="23"/>
  <c r="M10" i="23"/>
  <c r="G9" i="23"/>
  <c r="L9" i="23"/>
  <c r="E9" i="23"/>
  <c r="C9" i="23"/>
  <c r="G8" i="23"/>
  <c r="J8" i="23"/>
  <c r="H92" i="4"/>
  <c r="C87" i="23"/>
  <c r="G6" i="23"/>
  <c r="I108" i="9"/>
  <c r="K25" i="6"/>
  <c r="K44" i="6"/>
  <c r="I25" i="6"/>
  <c r="I44" i="6"/>
  <c r="I5" i="23"/>
  <c r="I49" i="6"/>
  <c r="K43" i="6"/>
  <c r="C5" i="23"/>
  <c r="C84" i="23"/>
  <c r="I46" i="6"/>
  <c r="G50" i="2"/>
  <c r="E4" i="23"/>
  <c r="H50" i="2"/>
  <c r="H82" i="2"/>
  <c r="G4" i="23"/>
  <c r="F50" i="2"/>
  <c r="C4" i="23"/>
  <c r="G23" i="3"/>
  <c r="G42" i="3"/>
  <c r="E3" i="23"/>
  <c r="F41" i="3"/>
  <c r="C3" i="23"/>
  <c r="G82" i="23"/>
  <c r="N29" i="3"/>
  <c r="I41" i="3"/>
  <c r="I3" i="23"/>
  <c r="E94" i="23"/>
  <c r="C94" i="23"/>
  <c r="G94" i="23"/>
  <c r="K10" i="23"/>
  <c r="L10" i="23"/>
  <c r="G35" i="10"/>
  <c r="E7" i="23"/>
  <c r="O7" i="23"/>
  <c r="H7" i="23"/>
  <c r="G86" i="23"/>
  <c r="H86" i="23"/>
  <c r="L7" i="23"/>
  <c r="J7" i="23"/>
  <c r="E6" i="23"/>
  <c r="H25" i="6"/>
  <c r="H44" i="6"/>
  <c r="G5" i="23"/>
  <c r="J25" i="6"/>
  <c r="J44" i="6"/>
  <c r="G25" i="6"/>
  <c r="G44" i="6"/>
  <c r="E5" i="23"/>
  <c r="G49" i="6"/>
  <c r="J50" i="2"/>
  <c r="K4" i="23"/>
  <c r="J26" i="3"/>
  <c r="H23" i="3"/>
  <c r="H42" i="3"/>
  <c r="M29" i="6"/>
  <c r="N29" i="6"/>
  <c r="H30" i="6"/>
  <c r="M30" i="6"/>
  <c r="N30" i="6"/>
  <c r="M39" i="2"/>
  <c r="N39" i="2"/>
  <c r="J40" i="4"/>
  <c r="N40" i="4"/>
  <c r="J60" i="4"/>
  <c r="J29" i="6"/>
  <c r="M32" i="6"/>
  <c r="N32" i="6"/>
  <c r="H32" i="6"/>
  <c r="M28" i="6"/>
  <c r="N28" i="6"/>
  <c r="H28" i="6"/>
  <c r="M39" i="4"/>
  <c r="N39" i="4"/>
  <c r="J31" i="6"/>
  <c r="J49" i="6"/>
  <c r="G48" i="6"/>
  <c r="G46" i="6"/>
  <c r="H49" i="6"/>
  <c r="K47" i="6"/>
  <c r="M42" i="9"/>
  <c r="N42" i="9"/>
  <c r="H43" i="9"/>
  <c r="M45" i="9"/>
  <c r="N45" i="9"/>
  <c r="H46" i="9"/>
  <c r="G38" i="10"/>
  <c r="L40" i="10"/>
  <c r="M40" i="10"/>
  <c r="G42" i="10"/>
  <c r="H46" i="6"/>
  <c r="J43" i="9"/>
  <c r="F49" i="6"/>
  <c r="K45" i="6"/>
  <c r="K46" i="6"/>
  <c r="J44" i="9"/>
  <c r="H44" i="9"/>
  <c r="K61" i="9"/>
  <c r="I60" i="4"/>
  <c r="H53" i="4"/>
  <c r="H60" i="4"/>
  <c r="E8" i="23"/>
  <c r="M8" i="23"/>
  <c r="J53" i="4"/>
  <c r="N41" i="4"/>
  <c r="F34" i="4"/>
  <c r="M37" i="4"/>
  <c r="N37" i="4"/>
  <c r="H38" i="4"/>
  <c r="H40" i="4"/>
  <c r="H42" i="4"/>
  <c r="G54" i="4"/>
  <c r="H37" i="4"/>
  <c r="J38" i="4"/>
  <c r="J57" i="4"/>
  <c r="L33" i="4"/>
  <c r="I57" i="4"/>
  <c r="J55" i="4"/>
  <c r="I55" i="4"/>
  <c r="I34" i="4"/>
  <c r="K54" i="4"/>
  <c r="K55" i="4"/>
  <c r="J34" i="4"/>
  <c r="I53" i="4"/>
  <c r="H57" i="4"/>
  <c r="K56" i="4"/>
  <c r="K57" i="4"/>
  <c r="H34" i="4"/>
  <c r="K52" i="4"/>
  <c r="L34" i="10"/>
  <c r="I56" i="10"/>
  <c r="I35" i="10"/>
  <c r="G57" i="10"/>
  <c r="J35" i="10"/>
  <c r="J57" i="10"/>
  <c r="K55" i="10"/>
  <c r="K56" i="10"/>
  <c r="H35" i="10"/>
  <c r="G56" i="10"/>
  <c r="I57" i="10"/>
  <c r="I54" i="10"/>
  <c r="H57" i="10"/>
  <c r="K53" i="10"/>
  <c r="K54" i="10"/>
  <c r="J54" i="10"/>
  <c r="J56" i="10"/>
  <c r="K55" i="9"/>
  <c r="K57" i="9"/>
  <c r="K58" i="9"/>
  <c r="H62" i="9"/>
  <c r="H58" i="9"/>
  <c r="G62" i="9"/>
  <c r="J56" i="9"/>
  <c r="H66" i="9"/>
  <c r="J60" i="9"/>
  <c r="H56" i="9"/>
  <c r="K66" i="9"/>
  <c r="G66" i="9"/>
  <c r="G56" i="9"/>
  <c r="J62" i="9"/>
  <c r="I62" i="9"/>
  <c r="I56" i="9"/>
  <c r="I60" i="9"/>
  <c r="J38" i="9"/>
  <c r="I38" i="9"/>
  <c r="M41" i="9"/>
  <c r="N41" i="9"/>
  <c r="M43" i="9"/>
  <c r="N43" i="9"/>
  <c r="H42" i="9"/>
  <c r="G60" i="9"/>
  <c r="J42" i="9"/>
  <c r="H60" i="9"/>
  <c r="K60" i="9"/>
  <c r="M52" i="9"/>
  <c r="L24" i="6"/>
  <c r="J32" i="2"/>
  <c r="J51" i="2"/>
  <c r="I32" i="2"/>
  <c r="I51" i="2"/>
  <c r="H32" i="2"/>
  <c r="H51" i="2"/>
  <c r="G32" i="2"/>
  <c r="G51" i="2"/>
  <c r="I50" i="2"/>
  <c r="K31" i="2"/>
  <c r="M47" i="2"/>
  <c r="N47" i="2"/>
  <c r="K23" i="3"/>
  <c r="K42" i="3"/>
  <c r="G41" i="3"/>
  <c r="J23" i="3"/>
  <c r="J42" i="3"/>
  <c r="K41" i="3"/>
  <c r="I23" i="3"/>
  <c r="I42" i="3"/>
  <c r="H41" i="3"/>
  <c r="K62" i="9"/>
  <c r="K64" i="9"/>
  <c r="K56" i="9"/>
  <c r="K67" i="9"/>
  <c r="K68" i="9"/>
  <c r="E16" i="23"/>
  <c r="E23" i="23"/>
  <c r="H14" i="23"/>
  <c r="J3" i="23"/>
  <c r="O3" i="23"/>
  <c r="L6" i="23"/>
  <c r="J50" i="6"/>
  <c r="G50" i="6"/>
  <c r="O14" i="23"/>
  <c r="J14" i="23"/>
  <c r="L14" i="23"/>
  <c r="N14" i="23"/>
  <c r="I93" i="23"/>
  <c r="J93" i="23"/>
  <c r="H93" i="23"/>
  <c r="F14" i="23"/>
  <c r="E93" i="23"/>
  <c r="F93" i="23"/>
  <c r="J9" i="23"/>
  <c r="G34" i="4"/>
  <c r="H8" i="23"/>
  <c r="O8" i="23"/>
  <c r="G87" i="23"/>
  <c r="H87" i="23"/>
  <c r="L8" i="23"/>
  <c r="K35" i="10"/>
  <c r="H50" i="6"/>
  <c r="J4" i="23"/>
  <c r="H83" i="2"/>
  <c r="H3" i="23"/>
  <c r="H92" i="23"/>
  <c r="I92" i="23"/>
  <c r="J92" i="23"/>
  <c r="N13" i="23"/>
  <c r="F13" i="23"/>
  <c r="E92" i="23"/>
  <c r="F92" i="23"/>
  <c r="N11" i="23"/>
  <c r="I90" i="23"/>
  <c r="J90" i="23"/>
  <c r="I89" i="23"/>
  <c r="J89" i="23"/>
  <c r="N10" i="23"/>
  <c r="F89" i="23"/>
  <c r="H89" i="23"/>
  <c r="C88" i="23"/>
  <c r="M9" i="23"/>
  <c r="H9" i="23"/>
  <c r="O9" i="23"/>
  <c r="G88" i="23"/>
  <c r="E88" i="23"/>
  <c r="F9" i="23"/>
  <c r="I87" i="23"/>
  <c r="J87" i="23"/>
  <c r="N8" i="23"/>
  <c r="F8" i="23"/>
  <c r="E87" i="23"/>
  <c r="F87" i="23"/>
  <c r="H58" i="10"/>
  <c r="H91" i="10"/>
  <c r="G58" i="10"/>
  <c r="F91" i="10"/>
  <c r="L108" i="9"/>
  <c r="M108" i="9"/>
  <c r="E109" i="9"/>
  <c r="E110" i="9"/>
  <c r="J6" i="23"/>
  <c r="G85" i="23"/>
  <c r="J108" i="9"/>
  <c r="K108" i="9"/>
  <c r="H109" i="9"/>
  <c r="H110" i="9"/>
  <c r="I107" i="9"/>
  <c r="G68" i="9"/>
  <c r="G108" i="9"/>
  <c r="J107" i="9"/>
  <c r="G107" i="9"/>
  <c r="F109" i="9"/>
  <c r="F110" i="9"/>
  <c r="L107" i="9"/>
  <c r="E86" i="6"/>
  <c r="E88" i="6"/>
  <c r="I50" i="6"/>
  <c r="H86" i="6"/>
  <c r="H88" i="6"/>
  <c r="L81" i="2"/>
  <c r="E82" i="2"/>
  <c r="E83" i="2"/>
  <c r="F4" i="23"/>
  <c r="E83" i="23"/>
  <c r="G83" i="23"/>
  <c r="O4" i="23"/>
  <c r="H4" i="23"/>
  <c r="G81" i="2"/>
  <c r="J81" i="2"/>
  <c r="F82" i="2"/>
  <c r="I82" i="2"/>
  <c r="C83" i="23"/>
  <c r="M4" i="23"/>
  <c r="I16" i="23"/>
  <c r="E82" i="23"/>
  <c r="F3" i="23"/>
  <c r="M3" i="23"/>
  <c r="C82" i="23"/>
  <c r="H82" i="23"/>
  <c r="F15" i="23"/>
  <c r="H15" i="23"/>
  <c r="M15" i="23"/>
  <c r="I94" i="23"/>
  <c r="O15" i="23"/>
  <c r="L15" i="23"/>
  <c r="J15" i="23"/>
  <c r="E86" i="23"/>
  <c r="F86" i="23"/>
  <c r="F7" i="23"/>
  <c r="M7" i="23"/>
  <c r="E85" i="23"/>
  <c r="L5" i="23"/>
  <c r="O5" i="23"/>
  <c r="J5" i="23"/>
  <c r="H5" i="23"/>
  <c r="G84" i="23"/>
  <c r="G16" i="23"/>
  <c r="G23" i="23"/>
  <c r="M5" i="23"/>
  <c r="E84" i="23"/>
  <c r="F5" i="23"/>
  <c r="L4" i="23"/>
  <c r="K16" i="23"/>
  <c r="H94" i="23"/>
  <c r="F94" i="23"/>
  <c r="H68" i="9"/>
  <c r="K49" i="6"/>
  <c r="K50" i="6"/>
  <c r="K60" i="4"/>
  <c r="K61" i="4"/>
  <c r="G55" i="4"/>
  <c r="G60" i="4"/>
  <c r="F92" i="4"/>
  <c r="H61" i="4"/>
  <c r="I61" i="4"/>
  <c r="J61" i="4"/>
  <c r="K34" i="4"/>
  <c r="K53" i="4"/>
  <c r="I58" i="10"/>
  <c r="K57" i="10"/>
  <c r="K58" i="10"/>
  <c r="J58" i="10"/>
  <c r="I68" i="9"/>
  <c r="J68" i="9"/>
  <c r="K50" i="2"/>
  <c r="K32" i="2"/>
  <c r="K51" i="2"/>
  <c r="K23" i="23"/>
  <c r="L23" i="23"/>
  <c r="I23" i="23"/>
  <c r="J23" i="23"/>
  <c r="E49" i="23"/>
  <c r="G49" i="23"/>
  <c r="J82" i="2"/>
  <c r="K82" i="2"/>
  <c r="K81" i="2"/>
  <c r="F83" i="2"/>
  <c r="H88" i="23"/>
  <c r="N9" i="23"/>
  <c r="I88" i="23"/>
  <c r="J88" i="23"/>
  <c r="F88" i="23"/>
  <c r="G109" i="9"/>
  <c r="J109" i="9"/>
  <c r="K109" i="9"/>
  <c r="K107" i="9"/>
  <c r="L109" i="9"/>
  <c r="M109" i="9"/>
  <c r="M107" i="9"/>
  <c r="I109" i="9"/>
  <c r="G84" i="6"/>
  <c r="F86" i="6"/>
  <c r="J84" i="6"/>
  <c r="I84" i="6"/>
  <c r="L84" i="6"/>
  <c r="G82" i="2"/>
  <c r="I83" i="23"/>
  <c r="J83" i="23"/>
  <c r="N4" i="23"/>
  <c r="F83" i="23"/>
  <c r="H83" i="23"/>
  <c r="M81" i="2"/>
  <c r="L82" i="2"/>
  <c r="M82" i="2"/>
  <c r="N3" i="23"/>
  <c r="I82" i="23"/>
  <c r="J82" i="23"/>
  <c r="F82" i="23"/>
  <c r="N15" i="23"/>
  <c r="N7" i="23"/>
  <c r="I86" i="23"/>
  <c r="J86" i="23"/>
  <c r="J16" i="23"/>
  <c r="H84" i="23"/>
  <c r="G98" i="23"/>
  <c r="F84" i="23"/>
  <c r="E98" i="23"/>
  <c r="N5" i="23"/>
  <c r="I84" i="23"/>
  <c r="J84" i="23"/>
  <c r="L16" i="23"/>
  <c r="J94" i="23"/>
  <c r="G61" i="4"/>
  <c r="K49" i="23"/>
  <c r="L49" i="23"/>
  <c r="I49" i="23"/>
  <c r="J49" i="23"/>
  <c r="G86" i="6"/>
  <c r="F88" i="6"/>
  <c r="K84" i="6"/>
  <c r="J86" i="6"/>
  <c r="K86" i="6"/>
  <c r="I86" i="6"/>
  <c r="L86" i="6"/>
  <c r="M86" i="6"/>
  <c r="M84" i="6"/>
  <c r="F52" i="9"/>
  <c r="H52" i="9"/>
  <c r="J52" i="9"/>
  <c r="N52" i="9"/>
  <c r="L37" i="9"/>
  <c r="C6" i="23"/>
  <c r="O6" i="23"/>
  <c r="H38" i="9"/>
  <c r="G38" i="9"/>
  <c r="K38" i="9"/>
  <c r="H6" i="23"/>
  <c r="F6" i="23"/>
  <c r="C16" i="23"/>
  <c r="C23" i="23"/>
  <c r="M6" i="23"/>
  <c r="I85" i="23"/>
  <c r="C85" i="23"/>
  <c r="C98" i="23"/>
  <c r="H23" i="23"/>
  <c r="C49" i="23"/>
  <c r="H49" i="23"/>
  <c r="O23" i="23"/>
  <c r="F23" i="23"/>
  <c r="H16" i="23"/>
  <c r="O16" i="23"/>
  <c r="N6" i="23"/>
  <c r="F16" i="23"/>
  <c r="M16" i="23"/>
  <c r="M23" i="23"/>
  <c r="H85" i="23"/>
  <c r="F85" i="23"/>
  <c r="H98" i="23"/>
  <c r="F98" i="23"/>
  <c r="I98" i="23"/>
  <c r="J98" i="23"/>
  <c r="J85" i="23"/>
  <c r="F49" i="23"/>
  <c r="N23" i="23"/>
  <c r="M49" i="23"/>
  <c r="N49" i="23"/>
  <c r="N16" i="23"/>
</calcChain>
</file>

<file path=xl/sharedStrings.xml><?xml version="1.0" encoding="utf-8"?>
<sst xmlns="http://schemas.openxmlformats.org/spreadsheetml/2006/main" count="1105" uniqueCount="511">
  <si>
    <t>FORMATO</t>
  </si>
  <si>
    <t>Código F-PLA-44</t>
  </si>
  <si>
    <t>Versión: 01</t>
  </si>
  <si>
    <t xml:space="preserve">EJECUCIÓN PRESUPUESTAL PROYECTOS DE INVERSIÓN  POR FUENTE DE FINANCIACIÓN
</t>
  </si>
  <si>
    <t>Fecha: 10/01/2017</t>
  </si>
  <si>
    <t>Página 1 de 1</t>
  </si>
  <si>
    <t>Plan de Desarrollo"En Defensa del Bien Común"  2016 - 2019</t>
  </si>
  <si>
    <t xml:space="preserve"> </t>
  </si>
  <si>
    <t xml:space="preserve">CODIGO DEL RECURSO </t>
  </si>
  <si>
    <t>RUBRO</t>
  </si>
  <si>
    <t xml:space="preserve">PROYECTO </t>
  </si>
  <si>
    <t xml:space="preserve">NOMBRE DEL RECURSO </t>
  </si>
  <si>
    <t xml:space="preserve">APROPIACIÓN DEFINITIVA </t>
  </si>
  <si>
    <t>CERTIFICADOS DE DISPONIBILIDAD</t>
  </si>
  <si>
    <t xml:space="preserve">COMPROMISOS </t>
  </si>
  <si>
    <t>OBLIGACIONES</t>
  </si>
  <si>
    <t>PAGOS ACUMULADOS</t>
  </si>
  <si>
    <t>SALDO DISPONIBLE</t>
  </si>
  <si>
    <t>SEMAFORO (COMPROMISO):</t>
  </si>
  <si>
    <t xml:space="preserve">Verde Oscuro  (80%  - 100%) </t>
  </si>
  <si>
    <t xml:space="preserve">  Verde Claro (70% - 79%)</t>
  </si>
  <si>
    <t xml:space="preserve"> Amarillo (60% - 69%) </t>
  </si>
  <si>
    <t xml:space="preserve">  Naranja (40% - 59%) </t>
  </si>
  <si>
    <t>Generación de entornos favorables y sostenibilidad ambiental para el Departamento del Quindío.</t>
  </si>
  <si>
    <t>Recurso Ordinario</t>
  </si>
  <si>
    <t>Gestón integral de cuencas hirdográficas en el Departamento del Quindío.</t>
  </si>
  <si>
    <t>Aplicación de mecanismos de protección ambiental en el Departamento del Quindío.</t>
  </si>
  <si>
    <t>Fortalecimiento  y potencialización de los servicios ecosistemicos en el Departamento del Quindío.</t>
  </si>
  <si>
    <t>Fortalecimiento e innovación empresarial  de la caficultura en el Departamento del Quindio.</t>
  </si>
  <si>
    <t>Implementacion de un instrumento para la Prevención de eventos naturales productos agricolas en e Departamento del Quindio.</t>
  </si>
  <si>
    <t>Creacion e implementacion de los centros agroindustriales para  la paz CARPAZ en el Deparamento del Quindio.</t>
  </si>
  <si>
    <t>Creacion e implementacion del Fondo de Finaanciamiento de Desarrollo Rural FIDER.</t>
  </si>
  <si>
    <t>Fomento al emprendimiento y  al empleo rural en el Departamento del Quindío.</t>
  </si>
  <si>
    <t>Fortalecimiento a la competitividad productiva y empresarial del sector rural en el Departamento del Quindio.</t>
  </si>
  <si>
    <t>Fomento a la agricultura familiar , urbana y  mercados campesinos para la soberanía y  Seguridad alimentaria en el Departamento del Quindio.</t>
  </si>
  <si>
    <t xml:space="preserve">TOTAL </t>
  </si>
  <si>
    <t>PORCENTAJE</t>
  </si>
  <si>
    <t>MES</t>
  </si>
  <si>
    <t>PPTO</t>
  </si>
  <si>
    <t>CDP</t>
  </si>
  <si>
    <t>% CDP</t>
  </si>
  <si>
    <t>RP</t>
  </si>
  <si>
    <t>% RP</t>
  </si>
  <si>
    <t>OBLIGACION</t>
  </si>
  <si>
    <t>PAGO</t>
  </si>
  <si>
    <t>DISP</t>
  </si>
  <si>
    <t>% DISP</t>
  </si>
  <si>
    <t>CODIGO FUENTE</t>
  </si>
  <si>
    <t>FUENTE</t>
  </si>
  <si>
    <t>20 - 88</t>
  </si>
  <si>
    <t>Porcentaje</t>
  </si>
  <si>
    <t xml:space="preserve">Plan de Desarrollo "En Defensa del Bien Común" 2016 - 2019 </t>
  </si>
  <si>
    <t>Secretaría de Planeación</t>
  </si>
  <si>
    <t xml:space="preserve"> Amarillo (60%  - 69%) </t>
  </si>
  <si>
    <t xml:space="preserve"> Rojo (0% - 39%)</t>
  </si>
  <si>
    <t>0305 - 5 - 3 1 5 26 83 17 6 - 20</t>
  </si>
  <si>
    <t>Realización procesos de capacitación,  asistencia técnica, seguimiento  y evaluación en la aplicabilidad de los componentes   del Índice de Transparencia en el Departamento del Quindio.</t>
  </si>
  <si>
    <t>RECURSO ORDINARIO</t>
  </si>
  <si>
    <t>0305 - 5 - 3 1 5 26 84 17 15 - 20</t>
  </si>
  <si>
    <t>Realización procesos de Rendición Publica de Cuentas Departamentales enlos  entes territoriales municipales del Departamento del Quindio.</t>
  </si>
  <si>
    <t>0305 - 5 - 3 1 5 27 85 16 7 - 20</t>
  </si>
  <si>
    <t>Asistencia al Consejo Territorial de Planeación del Departamento del Quindío.</t>
  </si>
  <si>
    <t>0305 - 5 - 3 1 5 27 85 16 7 - 88</t>
  </si>
  <si>
    <t>SUPERAVIT RECURSO ORDINARIO</t>
  </si>
  <si>
    <t>0305 - 5 - 3 1 5 28 87 17 9 - 20</t>
  </si>
  <si>
    <t>Diseño e implementación instrumentos de  planificación para el  ordenamiento  territorial, social y económico del  Departamento del Quindio.</t>
  </si>
  <si>
    <t>0305 - 5 - 3 1 5 28 87 17 9 - 88</t>
  </si>
  <si>
    <t>0305 - 5 - 3 1 5 28 87 17 10 - 20</t>
  </si>
  <si>
    <t xml:space="preserve">Diseño    e implementación del Observatorio  de Desarrollo Humano en el Departamento del Quindio. </t>
  </si>
  <si>
    <t>0305 - 5 - 3 1 5 28 87 17 11 - 20</t>
  </si>
  <si>
    <t>Diseño  e implementación del Tablero de Control  para el seguimiento y evalución del Plan de Desarrollo y las Políticas Públicas del  Departamento del Quindio.</t>
  </si>
  <si>
    <t>0305 - 5 - 3 1 5 28 87 17 11 - 88</t>
  </si>
  <si>
    <t>0305 - 5 - 3 1 5 28 87 17 12 - 20</t>
  </si>
  <si>
    <t xml:space="preserve"> Implementación Sistema de Cooperación Internacional y  de Gestión de proyectos  del Depratamento del Quindío -  Fabrica de Proyectos"</t>
  </si>
  <si>
    <t>0305 - 5 - 3 1 5 28 87 17 12 - 88</t>
  </si>
  <si>
    <t>0305 - 5 - 3 1 5 28 87 17 13 - 20</t>
  </si>
  <si>
    <t xml:space="preserve">Actualizar y/o  ajustar el Sistema Integrado de Gestión Administrativa SIGA del Departamento del Quindío. </t>
  </si>
  <si>
    <t>0305 - 5 - 3 1 5 28 87 17 13 - 88</t>
  </si>
  <si>
    <t>0305 - 5 - 3 1 5 28 87 17 14 - 20</t>
  </si>
  <si>
    <t>Asistencia  técnica, seguimiento y evaluación  de la gestión  territorial en los  munipicios del Departamento del  Quindío</t>
  </si>
  <si>
    <t>0305 - 5 - 3 1 5 28 87 17 14 - 88</t>
  </si>
  <si>
    <t>DISPONIBLE</t>
  </si>
  <si>
    <t>Recursos Ordinarios</t>
  </si>
  <si>
    <t xml:space="preserve">Plan de Desarrollo "En Defensa del Bien Común" 2016-2019 </t>
  </si>
  <si>
    <t>Secretaría Administrativa</t>
  </si>
  <si>
    <t>0304 - 5 - 3 1 5 28 89 17 1 - 20</t>
  </si>
  <si>
    <t>Apoyo a la estrategia de Gobierno en linea en el Departamento del Quindio.</t>
  </si>
  <si>
    <t>0304 - 5 - 3 1 5 28 89 17 2 - 20</t>
  </si>
  <si>
    <t>Formulación e implementación del programa de seguridad y salud en el trabajo, capacitación y bienestar social en el Departamento del Quindio.</t>
  </si>
  <si>
    <t>0304 - 5 - 3 1 5 28 89 17 3 - 20</t>
  </si>
  <si>
    <t>Actualización de la infraestructura tecnológica de la Gobernación del Quindío.</t>
  </si>
  <si>
    <t>0304 - 5 - 3 1 5 28 89 17 4 - 20</t>
  </si>
  <si>
    <t>Apoyo a la sostenibilidad de las tecnologías de la información y comunicación de la Gobernación del Quindío.</t>
  </si>
  <si>
    <t>0304 - 5 - 3 1 5 28 89 17 5 - 20</t>
  </si>
  <si>
    <t>Implementación de un programa  de  modernización de la gestión administrativa en el Departamento del Quindio.</t>
  </si>
  <si>
    <t>0304 - 5 - 3 1 5 28 89 17 5 - 88</t>
  </si>
  <si>
    <t>Superavit Recurso Ordianrio</t>
  </si>
  <si>
    <t>PAGOS</t>
  </si>
  <si>
    <t>% DEF</t>
  </si>
  <si>
    <t>Secretaría de Cultura</t>
  </si>
  <si>
    <t>Verde Oscuro  (80%  - 100%)</t>
  </si>
  <si>
    <t>0310 - 5 - 3 1 3 9 29 5 45 - 33</t>
  </si>
  <si>
    <t>Apoyo a seguridad social del creador y gestor cultural del Departamento del Quindío.</t>
  </si>
  <si>
    <t>ESTAMPILLA PRO-CULTURA 10% SEGURIDAD SOCIAL</t>
  </si>
  <si>
    <t>0310 - 5 - 3 1 3 9 29 5 45 - 83</t>
  </si>
  <si>
    <t>SUPERAVIT ESTAMPILLA PRO-CULTURA</t>
  </si>
  <si>
    <t>0310 - 5 - 3 1 3 9 29 5 46 - 20</t>
  </si>
  <si>
    <t>Apoyo al arte y la cultura en todo el Departamento del Quindío.</t>
  </si>
  <si>
    <t>0310 - 5 - 3 1 3 9 29 5 46 - 39</t>
  </si>
  <si>
    <t>ESTAMPILLA PRO-CULTURA 50% CONCERTACION</t>
  </si>
  <si>
    <t>0310 - 5 - 3 1 3 9 29 5 46 - 41</t>
  </si>
  <si>
    <t>ESTAMPILLA PRO-CULTRA 10% ESTIMULOS</t>
  </si>
  <si>
    <t>0310 - 5 - 3 1 3 9 29 5 46 - 83</t>
  </si>
  <si>
    <t>0310 - 5 - 3 1 3 9 29 5 46 - 88</t>
  </si>
  <si>
    <t>0310 - 5 - 3 1 3 9 30 5 47 - 20</t>
  </si>
  <si>
    <t>Fortalecimiento y promoción del  emprendimiento cultural y las industrias creativas en el Departamento.</t>
  </si>
  <si>
    <t>0310 - 5 - 3 1 3 9 30 5 47 - 88</t>
  </si>
  <si>
    <t>0310 - 5 - 3 1 3 9 31 5 48 - 34</t>
  </si>
  <si>
    <t xml:space="preserve"> Fortalecimiento al  Plan Departamental  de lectura, escritura y bibliotecas en el Departamento del Quindio.</t>
  </si>
  <si>
    <t>ESTAMPILLA PRO-CULTURA 10% BIBLIOTECAS</t>
  </si>
  <si>
    <t>0310 - 5 - 3 1 3 9 31 5 48 - 83</t>
  </si>
  <si>
    <t>0310 - 5 - 3 1 3 10 32 5 49 - 20</t>
  </si>
  <si>
    <t>Apoyo al reconocimiento, apropiación y salvaguardia y difusión del patrimonio cultural en todo el Departamento del Quindío.</t>
  </si>
  <si>
    <t>0310 - 5 - 3 1 3 10 32 5 49 - 47</t>
  </si>
  <si>
    <t xml:space="preserve"> IVA TELEFONIA MOVIL CULTURA</t>
  </si>
  <si>
    <t>0310 - 5 - 3 1 3 10 32 5 49 - 93</t>
  </si>
  <si>
    <t>SUPERAVIT IVA TELEFONIA MOVIL CULTURA</t>
  </si>
  <si>
    <t>0310 - 5 - 3 1 3 10 33 5 50 - 20</t>
  </si>
  <si>
    <t>Fortalecimiento de la comunicación, la ciudadanía  y el sistema departamental de cultura  en el Quindio.</t>
  </si>
  <si>
    <t>0310 - 5 - 3 1 3 10 33 5 50 - 88</t>
  </si>
  <si>
    <t>33  - 34 - 39 - 41 - 83</t>
  </si>
  <si>
    <t>estampilla Procultura</t>
  </si>
  <si>
    <t>47 - 93</t>
  </si>
  <si>
    <t xml:space="preserve">Iva Telefoni Movil </t>
  </si>
  <si>
    <t>Total</t>
  </si>
  <si>
    <t>Implementación de un modelo de atención integral a niños y niñas en entornos protectores en el Departamento del Quindìo.</t>
  </si>
  <si>
    <t>Formulación e implementación de  la politica pública  de la familia en el departamento del Quindio.</t>
  </si>
  <si>
    <t>Implementación de la  política de primera infancia, infancia y adolescencia en el Departamento del Quindio.</t>
  </si>
  <si>
    <t>Desarrollo de acciones encaminadas a la atención integral  de los adolescentes y jóvenes del Departamento del Quindio.</t>
  </si>
  <si>
    <t>Actualización e implementación  de   la política pública departamental de discapacidad  Capacidad sin limites" en el Quindio."</t>
  </si>
  <si>
    <t>Diseño e implementación  de una estratégica para la atención de la  población  en vulnerabilidad extrema  en el Departamento del Quindio.</t>
  </si>
  <si>
    <t>Implementación del programa  para la atención y acompañamiento  del ciudadano migrante  y de repatración en el Departamento del Quindio.</t>
  </si>
  <si>
    <t>Fortalecimiento resguardo  indígena DACHI AGORE DRUA del municipio de Calarcá del Departamento del Quindío.</t>
  </si>
  <si>
    <t>Apoyo  a la elaboración y puesta marcha de Planes de Vida  de los cabildos indigenas en el departamento del Quindio.</t>
  </si>
  <si>
    <t>Implementación de un  programa de atención integral a la población  afrodescendiente en el Departamento del Quindio .</t>
  </si>
  <si>
    <t>Fomulación e implementación de la política pública  de diversidad sexual en el Departamento del Quindio</t>
  </si>
  <si>
    <t>Implementaciòn de la polìtica pùblica de equidad de género para la mujer en el Departamento del Quindìo.</t>
  </si>
  <si>
    <t>Apoyo y bienestar integral a las personas mayores del Departamento del Quindio.</t>
  </si>
  <si>
    <t>Secretaría de Hacienda</t>
  </si>
  <si>
    <t>0307 - 5 - 3 1 5 28 88 17 16 - 132</t>
  </si>
  <si>
    <t xml:space="preserve"> Mejoramiento de la sostenibilidad de los procesos de fiscalización liquidación control y cobranza de los tributos en el Departamento del Quindío.</t>
  </si>
  <si>
    <t>SUPERAVIT CONVENIO 019 DE 2013</t>
  </si>
  <si>
    <t>0307 - 5 - 3 1 5 28 88 17 16 - 15</t>
  </si>
  <si>
    <t>FONDO RENTAS</t>
  </si>
  <si>
    <t>0307 - 5 - 3 1 5 28 88 17 16 - 20</t>
  </si>
  <si>
    <t>0307 - 5 - 3 1 5 28 88 17 16 - 56</t>
  </si>
  <si>
    <t xml:space="preserve">COFINANCIACION CONVENIOS INTERADMINISTRATIVOS </t>
  </si>
  <si>
    <t>0307 - 5 - 3 1 5 28 88 17 16 - 87</t>
  </si>
  <si>
    <t>SUPERAVIT FONDO RENTAS</t>
  </si>
  <si>
    <t>0307 - 5 - 3 1 5 28 88 17 16 - 88</t>
  </si>
  <si>
    <t>0307 - 5 - 3 1 5 28 88 17 17 - 20</t>
  </si>
  <si>
    <t>Implementación de un programa de gestión fianciera para la optimización de los procesos en el area de tesorería, presupuesto y contabilidad en el Departamento del Quindio.</t>
  </si>
  <si>
    <t>0307 - 5 - 3 1 5 28 88 17 17 - 88</t>
  </si>
  <si>
    <t>Recursos Propios</t>
  </si>
  <si>
    <t>15 - 87</t>
  </si>
  <si>
    <t>Fondo Rentas</t>
  </si>
  <si>
    <t>56-132</t>
  </si>
  <si>
    <t xml:space="preserve">Cofinanciación </t>
  </si>
  <si>
    <t>Secretaría de Aguas e Infraestructura</t>
  </si>
  <si>
    <t>0308 - 5 - 3 1 1 1 2 3 22 - 04</t>
  </si>
  <si>
    <t>Apoyo en atenciones prioritarias en Agua Potable y/o Saneamiento Básico en el Departamento del Quindio.</t>
  </si>
  <si>
    <t>ESTAMPILLA PRODESARROLLO</t>
  </si>
  <si>
    <t>0308 - 5 - 3 1 1 1 2 3 22 - 82</t>
  </si>
  <si>
    <t>SUPERAVIT ESTAMPILLA PRO-DESARROLLO</t>
  </si>
  <si>
    <t>0308 - 5 - 3 1 1 1 2 3 22 - 90</t>
  </si>
  <si>
    <t>SUPERAVIT SGP AGUA POTABLE</t>
  </si>
  <si>
    <t>0308 - 5 - 3 1 1 1 2 3 23 - 04</t>
  </si>
  <si>
    <t>Construción y mejoramiento de la infraestructura de agua potable y saneamiento básico del Departamento del Quindio.</t>
  </si>
  <si>
    <t>0308 - 5 - 3 1 1 1 2 3 23 - 27</t>
  </si>
  <si>
    <t xml:space="preserve">SGP AGUA POTABLE Y SB </t>
  </si>
  <si>
    <t>0308 - 5 - 3 1 1 1 2 3 24 - 27</t>
  </si>
  <si>
    <t>Ejecución del plan de acompañamiento social a los proyectos y obras de infraestructura de agua potable y saneamiento básico en el Departamento del Quindio.</t>
  </si>
  <si>
    <t>0308 - 5 - 3 1 1 1 2 3 25 - 27</t>
  </si>
  <si>
    <t>Actualización e implementación del  Plan Ambiental para el sector de agua potable y saneamiento básico en el Departamento del Quindio.</t>
  </si>
  <si>
    <t>0308 - 5 - 3 1 1 1 2 3 26 - 27</t>
  </si>
  <si>
    <t>Ejecución del plan de aseguramiento de la prestación de los servicios públicos de agua potable y saneamiento básico urbano y rural en el Departamento del Quindio.</t>
  </si>
  <si>
    <t>0308 - 5 - 3 1 1 1 2 3 27 - 27</t>
  </si>
  <si>
    <t>Formulación y ejecución de proyectos para la gestión del riesgo del sector de agua potable y saneamiento básico en el Departamento del Quindio.</t>
  </si>
  <si>
    <t>0308 - 5 - 3 1 2 4 14 9 19 - 23</t>
  </si>
  <si>
    <t>Mantener, mejorar, rehabilitar y/o atender emergencias en las  vías, en cumplimiento del Plan Vial del Departamento del Quindío.</t>
  </si>
  <si>
    <t>SOBRETASA AL ACPM</t>
  </si>
  <si>
    <t>0308 - 5 - 3 1 2 4 14 9 19 - 88</t>
  </si>
  <si>
    <t>0308 - 5 - 3 1 2 4 14 9 19 - 89</t>
  </si>
  <si>
    <t>SUPERAVIT SOBRETASA ACPM</t>
  </si>
  <si>
    <t>0308 - 5 - 3 1 2 4 15 15 21 - 04</t>
  </si>
  <si>
    <t>Construir, mantener, mejorar y/o rehabilitar la infraestructura social del Departamento del Quindio.</t>
  </si>
  <si>
    <t>0308 - 5 - 3 1 2 4 15 15 21 - 128</t>
  </si>
  <si>
    <t>SUPERAVIT CAE LA PRIMAVERA</t>
  </si>
  <si>
    <t>0308 - 5 - 3 1 2 4 15 15 21 - 20</t>
  </si>
  <si>
    <t>0308 - 5 - 3 1 2 4 15 15 21 - 82</t>
  </si>
  <si>
    <t>0308 - 5 - 3 1 2 4 15 15 21 - 88</t>
  </si>
  <si>
    <t>4 - 82</t>
  </si>
  <si>
    <t>Estampilla Prodesarrollo</t>
  </si>
  <si>
    <t>27 - 90</t>
  </si>
  <si>
    <t>SGP AP y SB</t>
  </si>
  <si>
    <t>23 - 89</t>
  </si>
  <si>
    <t>Sobretasa ACPM</t>
  </si>
  <si>
    <t>Superavit CAE La Primavera</t>
  </si>
  <si>
    <t>Plan de Desarrollo "En Defensa del Bien Común" 2016 - 2019</t>
  </si>
  <si>
    <t>Secretaría del Interior</t>
  </si>
  <si>
    <t>0309 - 5 - 3 1 4 23 75 18 28 - 20</t>
  </si>
  <si>
    <t>Construcción integral de la seguridad humana en el Departamento de Quindio.</t>
  </si>
  <si>
    <t>0309 - 5 - 3 1 4 23 75 18 28 - 42</t>
  </si>
  <si>
    <t>FONDOS DE SEGURIDAD 5%</t>
  </si>
  <si>
    <t>0309 - 5 - 3 1 4 23 75 18 28 - 88</t>
  </si>
  <si>
    <t>0309 - 5 - 3 1 4 23 75 18 28 - 92</t>
  </si>
  <si>
    <t>SUPERAVIT FONDO DE SEGURIDAD</t>
  </si>
  <si>
    <t>0309 - 5 - 3 1 4 23 76 18 29 - 20</t>
  </si>
  <si>
    <t>Apoyo a la convivencia, justicia y cultura de paz en el Departamento del  Quindio.</t>
  </si>
  <si>
    <t>0309 - 5 - 3 1 4 23 76 18 29 - 42</t>
  </si>
  <si>
    <t>0309 - 5 - 3 1 4 24 78 14 30 - 20</t>
  </si>
  <si>
    <t>Implementación del Plan de Acción Territorial para la prevención, protección, asistencia, atención, reparación integral en el Departamento del Quindio.</t>
  </si>
  <si>
    <t>0309 - 5 - 3 1 4 24 78 14 30 - 88</t>
  </si>
  <si>
    <t>0309 - 5 - 3 1 4 24 79 14 32 - 20</t>
  </si>
  <si>
    <t>Implementación del Plan Integral de prevención de vulneraciones de los Derechos Humanos DDHH e infracciones  al Derecho Internacional Humanitario DIH en el departamento del Quindio.</t>
  </si>
  <si>
    <t>0309 - 5 - 3 1 4 24 80 14 34 - 20</t>
  </si>
  <si>
    <t>Construcción de la Paz Territorial en el Departamento del Quindio.</t>
  </si>
  <si>
    <t>0309 - 5 - 3 1 4 25 81 12 36 - 20</t>
  </si>
  <si>
    <t>Administración del  riesgo mediante el conocimiento, la reducción y el manejo del desastre  en el Departamento del Quindio.</t>
  </si>
  <si>
    <t>0309 - 5 - 3 1 4 25 81 12 36 - 88</t>
  </si>
  <si>
    <t>0309 - 5 - 3 1 4 25 82 12 38 - 20</t>
  </si>
  <si>
    <t>Apoyo institucional en la gestión del riesgo  en el Departamento del Quindio.</t>
  </si>
  <si>
    <t>0309 - 5 - 3 1 5 26 84 16 42 - 20</t>
  </si>
  <si>
    <t xml:space="preserve">Fortalecimiento de las veedurias ciudadanas en el Departamento del Quindio. </t>
  </si>
  <si>
    <t>0309 - 5 - 3 1 5 27 85 16 39 - 20</t>
  </si>
  <si>
    <t>Construcción de la participación ciudadana y control social en el Departamento del Quindio.</t>
  </si>
  <si>
    <t>0309 - 5 - 3 1 5 27 85 16 39 - 88</t>
  </si>
  <si>
    <t>0309 - 5 - 3 1 5 27 86 16 40 - 20</t>
  </si>
  <si>
    <t>Desarrollo de los Organismos Comunales en el Departamento del Quindio.</t>
  </si>
  <si>
    <t>0309 - 5 - 3 1 5 27 86 16 40 - 88</t>
  </si>
  <si>
    <t xml:space="preserve">CODIGO FUENTE </t>
  </si>
  <si>
    <t>42 - 92</t>
  </si>
  <si>
    <t xml:space="preserve">Fondo de seguridad </t>
  </si>
  <si>
    <t>Desarrollar y fortalecer la cultura de la transparencia, participación, buen gobierno  y valores éticos y morales en el Departamento del Quindio.</t>
  </si>
  <si>
    <t>Implementacion de una (1) sala de transparencia Urna de Cristal" en el Departamento del Quindio."</t>
  </si>
  <si>
    <t xml:space="preserve">Implementación de  la estrategia de comunicaciones para  la divulgación de  los programas, proyectos,  actividades y servicios del Departamento del Quindío. </t>
  </si>
  <si>
    <t>Apoyo al mejoramiento de la competitividad a iniciativas  productivas en el  Departamento del Quindío.</t>
  </si>
  <si>
    <t>Fortalecimiento de  la   competitividad  a través de la  gestión de la innovación  y la tecnocología en el Departamento del Quindio.</t>
  </si>
  <si>
    <t xml:space="preserve"> Apoyo al emprendimiento, empresarismo, asociatividad y generación de empleo en el departamento del Quindío.</t>
  </si>
  <si>
    <t>Fortalecimiento del sector empresarial  hacia mercados globales en el Departamento del Quindio.</t>
  </si>
  <si>
    <t>Fortalecimiento de la oferta de prestadores de servicios, productos y atractivos turísticos en el Departamento del Quindío</t>
  </si>
  <si>
    <t>Apoyo a la competitividad  como destino turístico en el Departamento del Quindío.</t>
  </si>
  <si>
    <t>Promoción nacional e internacional como destino  turísmo del Departamento del Quindío.</t>
  </si>
  <si>
    <t>Formulación adopción e implementación de políticas de prevención del daño antijurídico en el Departamento del Quindío.</t>
  </si>
  <si>
    <t>TOTAL</t>
  </si>
  <si>
    <t>Apoyo Operativo a la inversión social en salud en el Departamento del Quindio.</t>
  </si>
  <si>
    <t>Fortalecimiento de la red de prestación de servicios pública  del Departamento del Quindío.</t>
  </si>
  <si>
    <t>Apoyo al proceso del sistema obligatorio de garantía de calidad a los prestadores de salud en el Departamento del Quindio.</t>
  </si>
  <si>
    <t>Fortalecimiento de la red de urgencias y emergencias en el Departamento del Quindio.</t>
  </si>
  <si>
    <t>Servicio de salud en alerta en el Departamento del Quindío.</t>
  </si>
  <si>
    <t>Asistencia técnica para el fortalecimiento de la gestión de las entidades territoriales del Departamento del Quindio.</t>
  </si>
  <si>
    <t>Prestación de Servicios a la Población no Afiliada al Sistema General de Seguridad Social en Salud  y en los no POS  a la Población Afiliada al Régimen Subsidiado.</t>
  </si>
  <si>
    <t>Subsidio afiliación al régimen subsidiado del Sistema General de Seguridad Social en Salud en el Departamento del Quindío.</t>
  </si>
  <si>
    <t>Fortalecimiento del sistema de vigilancia en salud pública en el Departamento del Quindío.</t>
  </si>
  <si>
    <t>Fortalecimiento de las actividades de vigilancia y control del laboratorio de salud pública en el Departamento del Quindio.</t>
  </si>
  <si>
    <t>Asistencia atención a las personas y prioridades en salud pública en el  Departamento del Quindío- Plan de Intervenciones Colectivas PIC.</t>
  </si>
  <si>
    <t>Implementación de programas de promoción social en poblaciones  especiales en el Departamento del Quindío.</t>
  </si>
  <si>
    <t>Fortalecimiento de la autoridad sanitaria en el Departamento del Quindio.</t>
  </si>
  <si>
    <t>Prevención vigilancia y control de eventos de origen laboral en el Departamento del Quindío.</t>
  </si>
  <si>
    <t>Prevención en emergencias y desastres de eventos relacionados con la salud pública en el Departamento del  Quindio.</t>
  </si>
  <si>
    <t>Fortalecimiento de la inclusión social para la disminución de riesgos de contraer enfermedades transmisibles  en el Departamento del Quindio.</t>
  </si>
  <si>
    <t>Fortalecimiento de estrategia de gestión integral, vectores, cambio climático y zoonosis en el Departamento  del Quindio.</t>
  </si>
  <si>
    <t>Fortalecimiento de las acciones de la prevención y protección en la población infantil en el Departamento del Quindío.</t>
  </si>
  <si>
    <t>Control y vigilancia en las acciones de condiciones no transmisibles y promoción de estilos de vida saludable en el Quindio .</t>
  </si>
  <si>
    <t>Fortalecimiento promoción de la salud y prevención primaria en salud mental en el Departamento del Quindío.</t>
  </si>
  <si>
    <t>Fortalecimiento de acciones de intervención inherentes a los derechos sexuales y reproductivos  en el Departamento del Quindio.</t>
  </si>
  <si>
    <t>Control Salud Ambiental Departamento del Quindío.</t>
  </si>
  <si>
    <t>Aprovechamiento biológico y consumo de  alimentos idoneos  en el Departamento del Quindio.</t>
  </si>
  <si>
    <t>0308 - 5 - 3 1 1 1 2 3 22 - 27</t>
  </si>
  <si>
    <t>0308 - 5 - 3 1 2 4 14 9 19 - 20</t>
  </si>
  <si>
    <t>CULTURA</t>
  </si>
  <si>
    <t>0310 - 5 - 3 1 3 9 31 5 48 - 56</t>
  </si>
  <si>
    <t>Fortalecimiento de las estrategias para el acceso,  permanencia y seguridad de los niños, niñas y jóvenes en el  sistema  educativo del Departamento del Quindio.</t>
  </si>
  <si>
    <t>Implementación de estrategias de inclusión para garantizar la atención educativa a población vulnerable en el  Departamento del  Quindío.</t>
  </si>
  <si>
    <t>Implementación de  estrategias para el mejoramiento continuo del indice sintetico de calidad educativa en los niveles de básica primaria, básica secundaria y nivel de media en el Departamento del Quindio.</t>
  </si>
  <si>
    <t>Mejoramiento de ambientes escolares y  fortalecimiento de modelos educativos articuladores de la ciencia, los lenguajes, las artes y el deporte en el Departamento del Quindio.</t>
  </si>
  <si>
    <t>Implementación de  estrategias educativas en  lectura y escritura en las instituciones educativas en el Departamento del Quindío.</t>
  </si>
  <si>
    <t>Mejoramiento de estrategias que permitan una mayor eficiencia en la gestion de procesos y proyectos de las instituciones educativas del Departamento del Quindio.</t>
  </si>
  <si>
    <t>Implementación de estrategias para el mejoramiento de las competencias en lengua extranjera en estudiantes y docentes de las instituciones educativas del Departamento del Quindío.</t>
  </si>
  <si>
    <t>Implementación de un Fondo de Apoyo Departamental para el acceso y la Permanencia de la Educación Técnica, Tecnologica y Superior en el Departamento del Quindío.</t>
  </si>
  <si>
    <t>Fortalecimiento de los niveles de educación  básica y media para la articulación con la educación terciaria en el Departamento del Quindio.</t>
  </si>
  <si>
    <t>Fortalecimiento de los niveles de eficiencia administrativa en la Secretaría de Educación Departamental del Quindío.</t>
  </si>
  <si>
    <t>Mejoramiento  de la gestión admnistrativa y docente para la eficiencia del bienestar laboral   del Departamento del Quindio.</t>
  </si>
  <si>
    <t>Implementación del modelo de atención integral de la educación inicial en el Departamento del  Quindio.</t>
  </si>
  <si>
    <t>SALUD</t>
  </si>
  <si>
    <t>Fortalecimiento de las herramientas tecnológicas en las Instituciones Educativas del Departamento del Quindío.</t>
  </si>
  <si>
    <t>Aplicación funcionamiento y prestación del servicio educativo de las instituciones educativas</t>
  </si>
  <si>
    <t>Funcionamiento y Prestación de Servicios del Sector Educativo del nivel Central  en el Departamento del Quindio</t>
  </si>
  <si>
    <t>EDUCACION</t>
  </si>
  <si>
    <t>UNIDAD EJECUTORA</t>
  </si>
  <si>
    <t>APROPIACION DEFINITIVA</t>
  </si>
  <si>
    <t>%</t>
  </si>
  <si>
    <t>DISPONIBILIDADES  ACUMULADOS</t>
  </si>
  <si>
    <t>COMPROMISOS ACUMULADOS</t>
  </si>
  <si>
    <t>OBLIGACIONES ACUMULADAS</t>
  </si>
  <si>
    <t>% OBLIG</t>
  </si>
  <si>
    <t>% PAGOS</t>
  </si>
  <si>
    <t>% SALDO DISP.</t>
  </si>
  <si>
    <t>SEMAFORO (COMPROMISO)
Verde Oscuro  (80%  - 100%)
Verde Claro (70% y 79%)
Amarillo (60% y 69%)
Naranja (40% y 59%)
Rojo ( 0%-39%)</t>
  </si>
  <si>
    <t>ADMINISTRATIVA</t>
  </si>
  <si>
    <t>PLANEACION</t>
  </si>
  <si>
    <t>HACIENDA</t>
  </si>
  <si>
    <t>AGUAS E INFRAESTRUCTURA</t>
  </si>
  <si>
    <t>INTERIOR</t>
  </si>
  <si>
    <t>TURISMO INDUSTRIA Y COMERCIO</t>
  </si>
  <si>
    <t>AGRICULTURA, DESARROLLO RURAL Y MEDIO AMBIENTE</t>
  </si>
  <si>
    <t>OFICINA PRIVADA</t>
  </si>
  <si>
    <t>FAMILIA</t>
  </si>
  <si>
    <t>REPRESENTACION JUDICIAL</t>
  </si>
  <si>
    <t>SUBTOTAL</t>
  </si>
  <si>
    <t>INDEPORTES</t>
  </si>
  <si>
    <t>PROMOTORA</t>
  </si>
  <si>
    <t>IDTQ</t>
  </si>
  <si>
    <t xml:space="preserve">APROPIACION  </t>
  </si>
  <si>
    <t xml:space="preserve">DISPONIBILIDADES   </t>
  </si>
  <si>
    <t xml:space="preserve">COMPROMISOS  </t>
  </si>
  <si>
    <t xml:space="preserve">OBLIGACIONES </t>
  </si>
  <si>
    <t xml:space="preserve">PAGOS  </t>
  </si>
  <si>
    <t>Superavit</t>
  </si>
  <si>
    <t>PPTO DEF.</t>
  </si>
  <si>
    <t>POR RP</t>
  </si>
  <si>
    <t>% POR RP</t>
  </si>
  <si>
    <t>Tipo Recurso</t>
  </si>
  <si>
    <t>Vigencia</t>
  </si>
  <si>
    <t>Apoyo a los juegos intercolegiados en el deparrtamento del quindio</t>
  </si>
  <si>
    <t>Apoyo al deporte formativo, deporte social comunitario y juegos tradicionales en el departamento del quindio</t>
  </si>
  <si>
    <t>Apoyo a la recreacion, para el bien comun en el departamento del quindio</t>
  </si>
  <si>
    <t>Apoyo a la actividad fisica, salud y productiva en el departamento del Quindio</t>
  </si>
  <si>
    <t>Apoyo a proyectos deportivos, recreativos y de actividad fisica, en el departamento del quindio</t>
  </si>
  <si>
    <t>COD</t>
  </si>
  <si>
    <t>ESTRATEGIA</t>
  </si>
  <si>
    <t>PROGRAMA</t>
  </si>
  <si>
    <t>SUBPROGRAMA</t>
  </si>
  <si>
    <t>DESARROLLO SOSTENIBLE</t>
  </si>
  <si>
    <t>Quindío territorio vital</t>
  </si>
  <si>
    <t>Generación de entornos favorables y sostenibilidad ambiental</t>
  </si>
  <si>
    <t>Manejo integral del agua y saneamiento básico</t>
  </si>
  <si>
    <t>Bienes y servicios ambientales para las nuevas generaciones</t>
  </si>
  <si>
    <t>PROSPERIDAD CON EQUIDAD</t>
  </si>
  <si>
    <t>Quindío rural, inteligente, competitivo y empresarial</t>
  </si>
  <si>
    <t>Innovación para una caficultura sostenible en el departamento del Quindío</t>
  </si>
  <si>
    <t>Centros Agroindustriales Regionales para la Paz - CARPAZ</t>
  </si>
  <si>
    <t>Emprendimiento y empleo rural</t>
  </si>
  <si>
    <t>Impulso a la competitividad productiva y empresarial del sector Rural</t>
  </si>
  <si>
    <t>Quindío Prospero y productivo</t>
  </si>
  <si>
    <t>Hacia el Emprendimiento, Empresarismo, asociatividad y generación de empleo en el Departamento del Quindío</t>
  </si>
  <si>
    <t>Quindío Sin Fronteras</t>
  </si>
  <si>
    <t>Quindío Potencia Turística de Naturaleza y Diversión</t>
  </si>
  <si>
    <t xml:space="preserve">Fortalecimiento de la oferta de productos y atractivos turísticos </t>
  </si>
  <si>
    <t>Mejoramiento de la competitividad del Quindío como destino turístico</t>
  </si>
  <si>
    <t>Promoción nacional e internacional del departamento como destino turístico</t>
  </si>
  <si>
    <t>Infraestructura Sostenible para la Paz</t>
  </si>
  <si>
    <t>Mejora de la Infraestructura Vial del Departamento del Quindío</t>
  </si>
  <si>
    <t xml:space="preserve">Apoyo en la formulación y ejecucion de proyectos de vivienda, infraestructura y equipamientos colectivos y comunitarios en el Departamento del Quindio </t>
  </si>
  <si>
    <t>Mejora de la Infraestructura  Social del Departamento del Quindío</t>
  </si>
  <si>
    <t>INCLUSION SOCIAL</t>
  </si>
  <si>
    <t>Cobertura Educativa</t>
  </si>
  <si>
    <t>Acceso y Permanencia</t>
  </si>
  <si>
    <t>Educación inclusiva con acceso y permanencia para poblaciones vulnerables - diferenciales</t>
  </si>
  <si>
    <t>Funcionamiento y prestación del servicio educativo de las instituciones educativas 1402-1403</t>
  </si>
  <si>
    <t>Calidad Educativa</t>
  </si>
  <si>
    <t>Calidad Educativa para la Paz</t>
  </si>
  <si>
    <t>Educación, Ambientes Escolares y Cultura para la Paz</t>
  </si>
  <si>
    <t>Plan Departamental del Lectura y Escritura</t>
  </si>
  <si>
    <t>Funcionamiento de las Instituciones Educativas</t>
  </si>
  <si>
    <t>Pertinencia e Innovación</t>
  </si>
  <si>
    <t>Quindío Bilingüe</t>
  </si>
  <si>
    <t>Fortalecimiento de la Media Técnica</t>
  </si>
  <si>
    <t>Eficiencia educativa</t>
  </si>
  <si>
    <t>Eficiencia y modernización administrativa</t>
  </si>
  <si>
    <t>Otros proyectos de conectividad</t>
  </si>
  <si>
    <t>Funcionamiento y prestación de servicios del sector educativo del nivel central 1400-1401</t>
  </si>
  <si>
    <t>Eficiencia administrativa y docente en la  gestión del bienestar laboral</t>
  </si>
  <si>
    <t>Cultura, Arte y educación para la Paz</t>
  </si>
  <si>
    <t>Arte para todos</t>
  </si>
  <si>
    <t xml:space="preserve">Emprendimiento Cultural </t>
  </si>
  <si>
    <t>Lectura, escritura y bibliotecas</t>
  </si>
  <si>
    <t>Patrimonio, paisaje cultural cafetero, ciudadanía y diversidad cultural</t>
  </si>
  <si>
    <t>Viviendo el patrimonio y el Paisaje Cultural Cafetero</t>
  </si>
  <si>
    <t>Comunicación, ciudadanía y Sistema Departamental de Cultura</t>
  </si>
  <si>
    <t>Soberanía, seguridad alimentaria y nutricional</t>
  </si>
  <si>
    <t>Fomento a la Agricultura Familiar Campesina, agricultura urbana y mercados campesinos para la soberanía y  Seguridad alimentaria</t>
  </si>
  <si>
    <t xml:space="preserve">Fortalecimiento a la vigilancia en  la seguridad alimentaria y nutricional del Quindío. </t>
  </si>
  <si>
    <t>Salud Pública para un Quindío saludable y posible</t>
  </si>
  <si>
    <t>Salud ambiental</t>
  </si>
  <si>
    <t>Sexualidad, derechos sexuales y reproductivos</t>
  </si>
  <si>
    <t>Convivencia social y salud mental</t>
  </si>
  <si>
    <t>Estilos de vida saludable y condiciones no-transmisibles</t>
  </si>
  <si>
    <t>Vida saludable y enfermedades transmisibles</t>
  </si>
  <si>
    <t>Salud publica en emergencias y desastres</t>
  </si>
  <si>
    <t>Salud en el entorno laboral</t>
  </si>
  <si>
    <t>Fortalecimiento de la autoridad sanitaria</t>
  </si>
  <si>
    <t>Promoción social y gestión diferencial de poblaciones vulnerables.</t>
  </si>
  <si>
    <t>Plan de intervenciones colectivas en el modelo de APS</t>
  </si>
  <si>
    <t>Vigilancia en salud publica y del laboratorio departamental.</t>
  </si>
  <si>
    <t>Universalidad  del aseguramiento en salud para un bien común</t>
  </si>
  <si>
    <t>Garantizar  la promoción de la afiliación al sistema de seguridad social</t>
  </si>
  <si>
    <t xml:space="preserve">Garantizar la cofinanciación para el régimen subsidiado en el departamento del Quindío </t>
  </si>
  <si>
    <t>Asistencia técnica  a los actores del sistema en el proceso de aseguramiento de la población</t>
  </si>
  <si>
    <t>Inclusión social en la prestación y desarrollo de servicios de salud</t>
  </si>
  <si>
    <t>Mejoramiento del Sistema de Calidad  de los Servicios y la Atención de los Usuarios</t>
  </si>
  <si>
    <t>Fortalecimiento de la  gestión de la entidad territorial municipal</t>
  </si>
  <si>
    <t>Garantizar red de servicios en eventos de emergencias</t>
  </si>
  <si>
    <t>Garantizar el Sistema Obligatorio de Garantía de Calidad SOGC en las IPS del departamento</t>
  </si>
  <si>
    <t>Fortalecimiento financiero de la red de servicios publica</t>
  </si>
  <si>
    <t>Gestión Posible</t>
  </si>
  <si>
    <t>Apoyo y Fortalecimiento Institucional</t>
  </si>
  <si>
    <t>Atención Integral a la Primera Infancia</t>
  </si>
  <si>
    <t>Niños y Niñas en entornos Protectores-semillas infantiles-</t>
  </si>
  <si>
    <t xml:space="preserve">Educación Inicial Integral </t>
  </si>
  <si>
    <t>Promoción y  Protección  de la Familia</t>
  </si>
  <si>
    <t xml:space="preserve">Familias para la Construcción  del Quindío como  territorio de paz. </t>
  </si>
  <si>
    <t xml:space="preserve">Quindío departamento de derechos  de niñas, niños y adolescentes </t>
  </si>
  <si>
    <t xml:space="preserve"> "Sí para ti" atención integral a adolescentes y jóvenes </t>
  </si>
  <si>
    <t xml:space="preserve">Capacidad sin limites. </t>
  </si>
  <si>
    <t>Genero, Poblaciones vulnerables y con enfoque diferencial</t>
  </si>
  <si>
    <t>Prevención y Atención a la población en estado de vulnerabilidad  extrema y migrantes.</t>
  </si>
  <si>
    <t xml:space="preserve">Pervivencia de los pueblos indígenas en el marco de la Paz </t>
  </si>
  <si>
    <t xml:space="preserve">Población afro descendiente por el camino de la paz </t>
  </si>
  <si>
    <t>Sí a la diversidad sexual e identidad de género y su familia.</t>
  </si>
  <si>
    <t>Mujeres constructoras de Familia y de paz.</t>
  </si>
  <si>
    <t>Atención integral al Adulto Mayor</t>
  </si>
  <si>
    <t xml:space="preserve">Quindío para todas las edades </t>
  </si>
  <si>
    <t>Apoyo al deporte asociado</t>
  </si>
  <si>
    <t>Ligas deportivas del departamento del Quindío</t>
  </si>
  <si>
    <t>Apoyo al deporte asociado en el departamento del Quindio</t>
  </si>
  <si>
    <t xml:space="preserve">Apoyo a eventos deportivos </t>
  </si>
  <si>
    <t xml:space="preserve">Juegos intercolegiados </t>
  </si>
  <si>
    <t>Deporte formativo, deporte social comunitario y juegos  tradicionales.</t>
  </si>
  <si>
    <t>Si Recreación y actividad física para ti</t>
  </si>
  <si>
    <t xml:space="preserve"> Recreación,  para el Bien Común</t>
  </si>
  <si>
    <t>Actividad física, hábitos y estilos de vida saludables</t>
  </si>
  <si>
    <t>Deporte, recreación, actividad fisica en los municipios del departamento del Quindío</t>
  </si>
  <si>
    <t>Implementación y apoyo a los proyectos deportivos, recreativos y de actividad fisica en los municipios del Departamento del Quindío</t>
  </si>
  <si>
    <t>SEGURIDAD HUMANA</t>
  </si>
  <si>
    <t xml:space="preserve">Seguridad humana como dinamizador de la vida, dignidad y libertad en el Quindío </t>
  </si>
  <si>
    <t>Seguridad ciudadana  para prevención y control del delito</t>
  </si>
  <si>
    <t>Convivencia, Justicia  y Cultura de Paz</t>
  </si>
  <si>
    <t>Fortalecimiento de la seguridad vial Departamental</t>
  </si>
  <si>
    <t>Fortalecimiento de la seguridad vial  en el Departamento del Quindío</t>
  </si>
  <si>
    <t>Construcción de paz y reconciliación en el Quindío</t>
  </si>
  <si>
    <t>Plan de Acción Territorial para las Víctimas del Conflicto</t>
  </si>
  <si>
    <t>Protección y Garantías de no Repetición</t>
  </si>
  <si>
    <t>Preparados para la Paz Territorial</t>
  </si>
  <si>
    <t xml:space="preserve">El Quindío Departamento Resiliente </t>
  </si>
  <si>
    <t>Quindío protegiendo el futuro</t>
  </si>
  <si>
    <t>Fortalecimiento Institucional para la Gestión del Riesgo de Desastres como una Estrategia de Desarrollo</t>
  </si>
  <si>
    <t>BUEN GOBIERNO</t>
  </si>
  <si>
    <t>Quindío Transparente y Legal</t>
  </si>
  <si>
    <t>Quindío Ejemplar y Legal</t>
  </si>
  <si>
    <t>Veedurías y Rendición de Cuentas</t>
  </si>
  <si>
    <t>Poder Ciudadano</t>
  </si>
  <si>
    <t>Quindío Si, a la participación</t>
  </si>
  <si>
    <t>Comunales comprometidos con el Desarrollo</t>
  </si>
  <si>
    <t>Gestión Territorial</t>
  </si>
  <si>
    <t xml:space="preserve">Los instrumentos  de planificación como  ruta para el cumplimiento de la gestión pública  </t>
  </si>
  <si>
    <t>Gestión Tributaria y Financiera</t>
  </si>
  <si>
    <t>Modernización tecnológica y Administrativa</t>
  </si>
  <si>
    <t>COFINANCIACION CONVENIOS INTERADMINISTRATIVO NACION</t>
  </si>
  <si>
    <t xml:space="preserve">Cofinanciación Convenios Interadministrativos Nación </t>
  </si>
  <si>
    <t>ENE</t>
  </si>
  <si>
    <t>FEB</t>
  </si>
  <si>
    <t>MAR</t>
  </si>
  <si>
    <t>ABR</t>
  </si>
  <si>
    <t>JUL</t>
  </si>
  <si>
    <t>AGO</t>
  </si>
  <si>
    <t xml:space="preserve">MAY </t>
  </si>
  <si>
    <t xml:space="preserve">JUN </t>
  </si>
  <si>
    <t>SEP</t>
  </si>
  <si>
    <t>SEMAFOROS</t>
  </si>
  <si>
    <t>Satisfactorio (Entre 70% -79,99%)</t>
  </si>
  <si>
    <t>Medio (Entre 60%-69,99%)</t>
  </si>
  <si>
    <t>Bajo (Entre 40% - 59,99%)</t>
  </si>
  <si>
    <t>Critico (Entre 0% - 39,99%)</t>
  </si>
  <si>
    <t>SECTOR CENTRAL</t>
  </si>
  <si>
    <t xml:space="preserve">Sobresaliente  (Entre 80%-100%) </t>
  </si>
  <si>
    <t>A Noviembre 30 de 2017</t>
  </si>
  <si>
    <t>NOV</t>
  </si>
  <si>
    <t>OCT</t>
  </si>
  <si>
    <t>COFINANCIACION NACION</t>
  </si>
  <si>
    <t>0308 - 5 - 3 1 2 4 15 15 21 - 56</t>
  </si>
  <si>
    <t>Cofinanciacion Nacion</t>
  </si>
  <si>
    <t>DEPARTAMENTO DEL QUINDIO
EJECUCION GASTOS DE INVERSION POR SECRETARIA
DICIEMBRE 31 DE 2017</t>
  </si>
  <si>
    <t>A Diciembre 30 de 2017</t>
  </si>
  <si>
    <t>DIC</t>
  </si>
  <si>
    <t>Del 100% de los recursos del balance adicionados en la vigencia 2017 a  la Secretaría Administrativa, al 30 de diciembre comprometio el 1%</t>
  </si>
  <si>
    <t>A Diciembre 31 de 2017</t>
  </si>
  <si>
    <t>Del 100% de los recursos del balance adicionados en la vigencia 2017 a  la Secretaría de Planeación, al 31 de diciembre se ha certificado el  87%  de los cuales tiene comprometido el 100% y disponibles por certificar 13%</t>
  </si>
  <si>
    <t>Del 100% de los recursos del balance adicionados en la vigencia 2017 a  la Secretaría de Hacienda, al 30 de diciembre  se ha certificado el  56%  de los cuales tiene comprometidos el 100% y queda un 44% disponible por certificar</t>
  </si>
  <si>
    <t>Del 100% de los recursos del balance adicionados en la vigencia 2017 a  la Secretaría de Aguas e Infraestructura, al 31 de diciembre se ha certificado el  65%  de los cuales tiene comprometido un 72% quedando por comprometer un 28%,   Disponible por certificar  35%</t>
  </si>
  <si>
    <t>A diciembre 31 de 2017</t>
  </si>
  <si>
    <t>Del 100% de los recursos del balance adicionados en la vigencia 2017 a  la Secretaría del Interior, al 31 de diciembre se ha certificado el  65%  de los cuales tiene comprometido un 67% quedando por comprometer un 33%,  y disponible por certificar el 35%</t>
  </si>
  <si>
    <t>A diciembre 31  de 2017</t>
  </si>
  <si>
    <t>Del 100% de los recursos del balance adicionados en la vigencia 2017 a  la Secretaría de Cultura, al 31 de diciembre  se ha certificado el  61%  de los cuales tiene comprometido un 70% quedando por comprometer un 67%, y  disponible por certificar el 39%</t>
  </si>
  <si>
    <t>EJECUCIÓN PRESUPUESTAL PROYECTOS DE INVERSIÓN
Estructura Plan de Desarrollo "En Defensa del Bien Común" 2016-2019 
A 31 de Diciembre de 2017</t>
  </si>
  <si>
    <t>0308 - 5 - 3 1 2 4 15 2 - 56</t>
  </si>
  <si>
    <t>Construcion Cancha Sintetica y Adecuacion del Polideportivo en el Sector de Naranjal, Quimbaya Quindio</t>
  </si>
  <si>
    <t>COFINANCIACIÓN CONVENIOS INTERADMINISTRATIVO</t>
  </si>
  <si>
    <t>0308 - 5 - 3 1 4 23 77 1 - 56</t>
  </si>
  <si>
    <t>Implementacion Plataforma Tecnologica Para la Recoleccion Actualizada y Analisis de Datos de Siniestralidad Vial, Mapa de Siniestralidad e Insumos linea Basr Plan Seguridad Vial Quindio</t>
  </si>
  <si>
    <t>% EJECUCION
PROYECTOS DE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</si>
</sst>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(* #,##0_);_(* \(#,##0\);_(* &quot;-&quot;??_);_(@_)"/>
    <numFmt numFmtId="168" formatCode="#,##0_);\-#,##0"/>
    <numFmt numFmtId="169" formatCode="#,##0.00_);\-#,##0.00"/>
    <numFmt numFmtId="170" formatCode="_ &quot;$&quot;\ * #,##0.00_ ;_ &quot;$&quot;\ * \-#,##0.00_ ;_ &quot;$&quot;\ * &quot;-&quot;??_ ;_ @_ "/>
    <numFmt numFmtId="171" formatCode="_ [$€-2]\ * #,##0.00_ ;_ [$€-2]\ * \-#,##0.00_ ;_ [$€-2]\ * &quot;-&quot;??_ "/>
    <numFmt numFmtId="172" formatCode="_-* #,##0.00\ &quot;€&quot;_-;\-* #,##0.00\ &quot;€&quot;_-;_-* &quot;-&quot;??\ &quot;€&quot;_-;_-@_-"/>
    <numFmt numFmtId="173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4"/>
      <color theme="1"/>
      <name val="Arial"/>
      <family val="2"/>
    </font>
    <font>
      <sz val="10"/>
      <color indexed="8"/>
      <name val="MS Sans Serif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2"/>
      <color indexed="8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color rgb="FF313131"/>
      <name val="Arial"/>
      <family val="2"/>
    </font>
    <font>
      <b/>
      <sz val="11"/>
      <color theme="1"/>
      <name val="Arial"/>
      <family val="2"/>
    </font>
    <font>
      <sz val="10"/>
      <color indexed="8"/>
      <name val="MS Sans Serif"/>
      <family val="2"/>
    </font>
    <font>
      <b/>
      <sz val="12"/>
      <color indexed="8"/>
      <name val="Courier New"/>
      <family val="3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5" fillId="0" borderId="0"/>
    <xf numFmtId="166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/>
    <xf numFmtId="43" fontId="1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5" fillId="0" borderId="0"/>
    <xf numFmtId="17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26" fillId="0" borderId="0" applyFont="0" applyFill="0" applyBorder="0" applyAlignment="0" applyProtection="0"/>
  </cellStyleXfs>
  <cellXfs count="578">
    <xf numFmtId="0" fontId="0" fillId="0" borderId="0" xfId="0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2" borderId="5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0" fontId="2" fillId="0" borderId="6" xfId="0" applyFont="1" applyBorder="1" applyAlignment="1"/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" fillId="0" borderId="7" xfId="0" applyFont="1" applyBorder="1" applyAlignment="1"/>
    <xf numFmtId="0" fontId="2" fillId="0" borderId="11" xfId="0" applyFont="1" applyBorder="1" applyAlignment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justify"/>
    </xf>
    <xf numFmtId="9" fontId="5" fillId="0" borderId="5" xfId="2" applyNumberFormat="1" applyFont="1" applyFill="1" applyBorder="1" applyAlignment="1">
      <alignment horizontal="center" vertical="center"/>
    </xf>
    <xf numFmtId="3" fontId="2" fillId="0" borderId="0" xfId="0" applyNumberFormat="1" applyFont="1"/>
    <xf numFmtId="0" fontId="2" fillId="2" borderId="10" xfId="0" applyFont="1" applyFill="1" applyBorder="1" applyAlignment="1">
      <alignment horizontal="justify" vertical="justify"/>
    </xf>
    <xf numFmtId="3" fontId="2" fillId="0" borderId="5" xfId="0" applyNumberFormat="1" applyFont="1" applyFill="1" applyBorder="1" applyAlignment="1">
      <alignment horizontal="right" vertical="center"/>
    </xf>
    <xf numFmtId="9" fontId="5" fillId="4" borderId="5" xfId="2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 applyProtection="1">
      <alignment horizontal="right" vertical="center"/>
      <protection locked="0"/>
    </xf>
    <xf numFmtId="9" fontId="2" fillId="0" borderId="5" xfId="2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justify" vertical="center"/>
    </xf>
    <xf numFmtId="0" fontId="3" fillId="3" borderId="5" xfId="0" applyFont="1" applyFill="1" applyBorder="1" applyAlignment="1">
      <alignment horizontal="justify" vertical="center"/>
    </xf>
    <xf numFmtId="0" fontId="6" fillId="3" borderId="5" xfId="0" applyFont="1" applyFill="1" applyBorder="1" applyAlignment="1">
      <alignment horizontal="justify" vertical="center"/>
    </xf>
    <xf numFmtId="0" fontId="2" fillId="2" borderId="5" xfId="0" applyFont="1" applyFill="1" applyBorder="1"/>
    <xf numFmtId="0" fontId="7" fillId="2" borderId="5" xfId="0" applyFont="1" applyFill="1" applyBorder="1"/>
    <xf numFmtId="9" fontId="5" fillId="2" borderId="5" xfId="2" applyFont="1" applyFill="1" applyBorder="1" applyAlignment="1">
      <alignment vertical="center"/>
    </xf>
    <xf numFmtId="0" fontId="2" fillId="0" borderId="5" xfId="0" applyFont="1" applyBorder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9" fontId="2" fillId="0" borderId="5" xfId="2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/>
    </xf>
    <xf numFmtId="9" fontId="5" fillId="2" borderId="5" xfId="2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justify"/>
    </xf>
    <xf numFmtId="3" fontId="2" fillId="2" borderId="5" xfId="0" applyNumberFormat="1" applyFont="1" applyFill="1" applyBorder="1" applyAlignment="1">
      <alignment vertical="center"/>
    </xf>
    <xf numFmtId="9" fontId="5" fillId="6" borderId="5" xfId="2" applyNumberFormat="1" applyFont="1" applyFill="1" applyBorder="1" applyAlignment="1">
      <alignment horizontal="center" vertical="center"/>
    </xf>
    <xf numFmtId="3" fontId="2" fillId="0" borderId="5" xfId="0" applyNumberFormat="1" applyFont="1" applyBorder="1"/>
    <xf numFmtId="9" fontId="5" fillId="2" borderId="5" xfId="2" applyFont="1" applyFill="1" applyBorder="1" applyAlignment="1">
      <alignment horizontal="right" vertical="center"/>
    </xf>
    <xf numFmtId="4" fontId="2" fillId="0" borderId="0" xfId="0" applyNumberFormat="1" applyFont="1"/>
    <xf numFmtId="0" fontId="2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9" fontId="2" fillId="0" borderId="0" xfId="2" applyFont="1" applyFill="1" applyBorder="1" applyAlignment="1">
      <alignment horizontal="center"/>
    </xf>
    <xf numFmtId="43" fontId="2" fillId="0" borderId="0" xfId="0" applyNumberFormat="1" applyFont="1"/>
    <xf numFmtId="167" fontId="2" fillId="0" borderId="5" xfId="1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0" fontId="11" fillId="0" borderId="0" xfId="0" applyFont="1"/>
    <xf numFmtId="9" fontId="2" fillId="0" borderId="0" xfId="2" applyFont="1"/>
    <xf numFmtId="0" fontId="3" fillId="0" borderId="8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/>
    </xf>
    <xf numFmtId="3" fontId="2" fillId="2" borderId="5" xfId="0" applyNumberFormat="1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/>
    <xf numFmtId="3" fontId="5" fillId="2" borderId="0" xfId="0" applyNumberFormat="1" applyFont="1" applyFill="1" applyBorder="1" applyAlignment="1">
      <alignment horizontal="right" vertical="center"/>
    </xf>
    <xf numFmtId="3" fontId="5" fillId="2" borderId="0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wrapText="1"/>
    </xf>
    <xf numFmtId="9" fontId="2" fillId="0" borderId="5" xfId="2" applyFont="1" applyBorder="1" applyAlignment="1">
      <alignment horizontal="center"/>
    </xf>
    <xf numFmtId="0" fontId="4" fillId="3" borderId="5" xfId="0" applyFont="1" applyFill="1" applyBorder="1" applyAlignment="1">
      <alignment horizontal="justify" vertical="center" wrapText="1"/>
    </xf>
    <xf numFmtId="3" fontId="4" fillId="3" borderId="5" xfId="0" applyNumberFormat="1" applyFont="1" applyFill="1" applyBorder="1" applyAlignment="1">
      <alignment horizontal="right" vertical="center" wrapText="1"/>
    </xf>
    <xf numFmtId="3" fontId="4" fillId="3" borderId="9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wrapText="1"/>
    </xf>
    <xf numFmtId="9" fontId="2" fillId="0" borderId="5" xfId="2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4" fontId="2" fillId="2" borderId="5" xfId="0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  <protection locked="0"/>
    </xf>
    <xf numFmtId="4" fontId="2" fillId="2" borderId="5" xfId="0" applyNumberFormat="1" applyFont="1" applyFill="1" applyBorder="1" applyAlignment="1" applyProtection="1">
      <alignment horizontal="right" vertical="center"/>
      <protection locked="0"/>
    </xf>
    <xf numFmtId="4" fontId="2" fillId="0" borderId="5" xfId="0" applyNumberFormat="1" applyFont="1" applyFill="1" applyBorder="1" applyAlignment="1">
      <alignment horizontal="right" vertical="center"/>
    </xf>
    <xf numFmtId="169" fontId="13" fillId="0" borderId="5" xfId="4" applyNumberFormat="1" applyFont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>
      <alignment horizontal="justify" vertical="center"/>
    </xf>
    <xf numFmtId="0" fontId="6" fillId="2" borderId="5" xfId="0" applyFont="1" applyFill="1" applyBorder="1" applyAlignment="1">
      <alignment horizontal="justify" vertical="center"/>
    </xf>
    <xf numFmtId="9" fontId="5" fillId="2" borderId="5" xfId="2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justify" vertical="center"/>
    </xf>
    <xf numFmtId="0" fontId="2" fillId="0" borderId="0" xfId="0" applyFont="1" applyFill="1" applyBorder="1"/>
    <xf numFmtId="49" fontId="2" fillId="0" borderId="5" xfId="0" applyNumberFormat="1" applyFont="1" applyBorder="1" applyAlignment="1">
      <alignment horizontal="center"/>
    </xf>
    <xf numFmtId="0" fontId="2" fillId="3" borderId="5" xfId="0" applyFont="1" applyFill="1" applyBorder="1"/>
    <xf numFmtId="3" fontId="2" fillId="3" borderId="5" xfId="0" applyNumberFormat="1" applyFont="1" applyFill="1" applyBorder="1" applyAlignment="1">
      <alignment horizontal="right" vertical="center"/>
    </xf>
    <xf numFmtId="167" fontId="2" fillId="2" borderId="5" xfId="1" applyNumberFormat="1" applyFont="1" applyFill="1" applyBorder="1" applyAlignment="1">
      <alignment horizontal="right" vertical="center"/>
    </xf>
    <xf numFmtId="167" fontId="2" fillId="0" borderId="5" xfId="1" applyNumberFormat="1" applyFont="1" applyFill="1" applyBorder="1" applyAlignment="1">
      <alignment horizontal="right" vertical="center"/>
    </xf>
    <xf numFmtId="167" fontId="2" fillId="0" borderId="5" xfId="1" applyNumberFormat="1" applyFont="1" applyFill="1" applyBorder="1" applyAlignment="1" applyProtection="1">
      <alignment horizontal="right" vertical="center"/>
      <protection locked="0"/>
    </xf>
    <xf numFmtId="9" fontId="5" fillId="2" borderId="5" xfId="2" applyNumberFormat="1" applyFont="1" applyFill="1" applyBorder="1" applyAlignment="1">
      <alignment horizontal="right" vertical="center"/>
    </xf>
    <xf numFmtId="167" fontId="2" fillId="0" borderId="0" xfId="0" applyNumberFormat="1" applyFont="1"/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Fill="1" applyBorder="1" applyAlignment="1" applyProtection="1">
      <alignment vertical="center"/>
    </xf>
    <xf numFmtId="167" fontId="2" fillId="0" borderId="5" xfId="1" applyNumberFormat="1" applyFont="1" applyBorder="1" applyAlignment="1">
      <alignment horizontal="right" vertical="center"/>
    </xf>
    <xf numFmtId="9" fontId="2" fillId="0" borderId="5" xfId="2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3" borderId="5" xfId="0" applyFont="1" applyFill="1" applyBorder="1"/>
    <xf numFmtId="167" fontId="4" fillId="3" borderId="5" xfId="1" applyNumberFormat="1" applyFont="1" applyFill="1" applyBorder="1" applyAlignment="1">
      <alignment horizontal="right" vertical="center"/>
    </xf>
    <xf numFmtId="166" fontId="3" fillId="0" borderId="8" xfId="0" applyNumberFormat="1" applyFont="1" applyBorder="1" applyAlignment="1">
      <alignment horizontal="center" vertical="center"/>
    </xf>
    <xf numFmtId="43" fontId="2" fillId="2" borderId="5" xfId="3" applyNumberFormat="1" applyFont="1" applyFill="1" applyBorder="1" applyAlignment="1" applyProtection="1">
      <alignment horizontal="right" vertical="center"/>
      <protection locked="0"/>
    </xf>
    <xf numFmtId="9" fontId="5" fillId="5" borderId="5" xfId="2" applyNumberFormat="1" applyFont="1" applyFill="1" applyBorder="1" applyAlignment="1">
      <alignment horizontal="center" vertical="center"/>
    </xf>
    <xf numFmtId="9" fontId="2" fillId="0" borderId="0" xfId="2" applyFont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horizontal="right" vertical="center"/>
    </xf>
    <xf numFmtId="167" fontId="2" fillId="0" borderId="5" xfId="1" applyNumberFormat="1" applyFont="1" applyFill="1" applyBorder="1" applyAlignment="1">
      <alignment vertical="center"/>
    </xf>
    <xf numFmtId="167" fontId="2" fillId="2" borderId="5" xfId="1" applyNumberFormat="1" applyFont="1" applyFill="1" applyBorder="1" applyAlignment="1">
      <alignment vertical="center"/>
    </xf>
    <xf numFmtId="9" fontId="5" fillId="8" borderId="5" xfId="2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0" fontId="2" fillId="2" borderId="5" xfId="0" applyFont="1" applyFill="1" applyBorder="1" applyAlignment="1">
      <alignment horizontal="center" vertical="center"/>
    </xf>
    <xf numFmtId="3" fontId="2" fillId="0" borderId="0" xfId="0" applyNumberFormat="1" applyFont="1"/>
    <xf numFmtId="0" fontId="2" fillId="0" borderId="5" xfId="0" applyFont="1" applyBorder="1"/>
    <xf numFmtId="0" fontId="2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67" fontId="5" fillId="0" borderId="5" xfId="1" applyNumberFormat="1" applyFont="1" applyFill="1" applyBorder="1" applyAlignment="1">
      <alignment horizontal="right" vertical="center"/>
    </xf>
    <xf numFmtId="9" fontId="2" fillId="0" borderId="5" xfId="2" applyFont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 applyProtection="1">
      <alignment horizontal="right" vertical="center"/>
      <protection locked="0"/>
    </xf>
    <xf numFmtId="0" fontId="2" fillId="2" borderId="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/>
    </xf>
    <xf numFmtId="9" fontId="2" fillId="0" borderId="5" xfId="2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justify" vertical="center"/>
    </xf>
    <xf numFmtId="0" fontId="3" fillId="9" borderId="5" xfId="0" applyFont="1" applyFill="1" applyBorder="1" applyAlignment="1">
      <alignment vertical="center"/>
    </xf>
    <xf numFmtId="3" fontId="5" fillId="9" borderId="5" xfId="0" applyNumberFormat="1" applyFont="1" applyFill="1" applyBorder="1" applyAlignment="1">
      <alignment horizontal="right" vertical="center"/>
    </xf>
    <xf numFmtId="3" fontId="5" fillId="9" borderId="5" xfId="2" applyNumberFormat="1" applyFont="1" applyFill="1" applyBorder="1" applyAlignment="1">
      <alignment horizontal="right" vertical="center"/>
    </xf>
    <xf numFmtId="3" fontId="2" fillId="9" borderId="5" xfId="0" applyNumberFormat="1" applyFont="1" applyFill="1" applyBorder="1" applyAlignment="1">
      <alignment horizontal="center"/>
    </xf>
    <xf numFmtId="9" fontId="5" fillId="9" borderId="5" xfId="2" applyFont="1" applyFill="1" applyBorder="1" applyAlignment="1">
      <alignment vertical="center"/>
    </xf>
    <xf numFmtId="0" fontId="2" fillId="9" borderId="5" xfId="0" applyFont="1" applyFill="1" applyBorder="1" applyAlignment="1">
      <alignment horizontal="center"/>
    </xf>
    <xf numFmtId="3" fontId="5" fillId="9" borderId="5" xfId="1" applyNumberFormat="1" applyFont="1" applyFill="1" applyBorder="1" applyAlignment="1">
      <alignment horizontal="right" vertical="center"/>
    </xf>
    <xf numFmtId="9" fontId="2" fillId="9" borderId="5" xfId="2" applyFont="1" applyFill="1" applyBorder="1" applyAlignment="1">
      <alignment horizontal="center"/>
    </xf>
    <xf numFmtId="37" fontId="5" fillId="9" borderId="5" xfId="1" applyNumberFormat="1" applyFont="1" applyFill="1" applyBorder="1" applyAlignment="1">
      <alignment vertical="center"/>
    </xf>
    <xf numFmtId="167" fontId="5" fillId="9" borderId="5" xfId="1" applyNumberFormat="1" applyFont="1" applyFill="1" applyBorder="1" applyAlignment="1">
      <alignment vertical="center"/>
    </xf>
    <xf numFmtId="3" fontId="0" fillId="9" borderId="5" xfId="1" applyNumberFormat="1" applyFont="1" applyFill="1" applyBorder="1" applyAlignment="1">
      <alignment horizontal="right"/>
    </xf>
    <xf numFmtId="37" fontId="0" fillId="9" borderId="5" xfId="1" applyNumberFormat="1" applyFont="1" applyFill="1" applyBorder="1"/>
    <xf numFmtId="3" fontId="2" fillId="9" borderId="5" xfId="1" applyNumberFormat="1" applyFont="1" applyFill="1" applyBorder="1" applyAlignment="1">
      <alignment horizontal="right"/>
    </xf>
    <xf numFmtId="37" fontId="2" fillId="9" borderId="5" xfId="1" applyNumberFormat="1" applyFont="1" applyFill="1" applyBorder="1"/>
    <xf numFmtId="0" fontId="2" fillId="9" borderId="5" xfId="0" applyFont="1" applyFill="1" applyBorder="1"/>
    <xf numFmtId="9" fontId="2" fillId="9" borderId="5" xfId="2" applyFont="1" applyFill="1" applyBorder="1" applyAlignment="1">
      <alignment horizontal="center" vertical="center"/>
    </xf>
    <xf numFmtId="167" fontId="1" fillId="9" borderId="5" xfId="1" applyNumberFormat="1" applyFont="1" applyFill="1" applyBorder="1"/>
    <xf numFmtId="9" fontId="9" fillId="9" borderId="5" xfId="2" applyFont="1" applyFill="1" applyBorder="1" applyAlignment="1">
      <alignment horizontal="center"/>
    </xf>
    <xf numFmtId="167" fontId="9" fillId="9" borderId="5" xfId="1" applyNumberFormat="1" applyFont="1" applyFill="1" applyBorder="1"/>
    <xf numFmtId="168" fontId="10" fillId="9" borderId="5" xfId="0" applyNumberFormat="1" applyFont="1" applyFill="1" applyBorder="1" applyAlignment="1">
      <alignment horizontal="right" vertical="center"/>
    </xf>
    <xf numFmtId="167" fontId="2" fillId="9" borderId="5" xfId="1" applyNumberFormat="1" applyFont="1" applyFill="1" applyBorder="1"/>
    <xf numFmtId="167" fontId="2" fillId="9" borderId="5" xfId="0" applyNumberFormat="1" applyFont="1" applyFill="1" applyBorder="1"/>
    <xf numFmtId="167" fontId="2" fillId="9" borderId="5" xfId="1" applyNumberFormat="1" applyFont="1" applyFill="1" applyBorder="1" applyAlignment="1">
      <alignment horizontal="right"/>
    </xf>
    <xf numFmtId="167" fontId="2" fillId="0" borderId="0" xfId="0" applyNumberFormat="1" applyFont="1" applyFill="1"/>
    <xf numFmtId="167" fontId="5" fillId="9" borderId="5" xfId="1" applyNumberFormat="1" applyFont="1" applyFill="1" applyBorder="1"/>
    <xf numFmtId="168" fontId="8" fillId="9" borderId="5" xfId="4" applyNumberFormat="1" applyFont="1" applyFill="1" applyBorder="1" applyAlignment="1">
      <alignment horizontal="right" vertical="center"/>
    </xf>
    <xf numFmtId="168" fontId="2" fillId="0" borderId="0" xfId="0" applyNumberFormat="1" applyFont="1"/>
    <xf numFmtId="3" fontId="2" fillId="0" borderId="0" xfId="0" applyNumberFormat="1" applyFont="1" applyBorder="1"/>
    <xf numFmtId="167" fontId="2" fillId="0" borderId="0" xfId="1" applyNumberFormat="1" applyFont="1" applyFill="1"/>
    <xf numFmtId="3" fontId="2" fillId="9" borderId="5" xfId="0" applyNumberFormat="1" applyFont="1" applyFill="1" applyBorder="1"/>
    <xf numFmtId="0" fontId="4" fillId="0" borderId="0" xfId="0" applyFont="1" applyBorder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7" fontId="17" fillId="10" borderId="5" xfId="1" applyNumberFormat="1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167" fontId="5" fillId="0" borderId="5" xfId="1" applyNumberFormat="1" applyFont="1" applyFill="1" applyBorder="1" applyAlignment="1">
      <alignment horizontal="left" vertical="center"/>
    </xf>
    <xf numFmtId="9" fontId="5" fillId="0" borderId="5" xfId="2" applyFont="1" applyFill="1" applyBorder="1" applyAlignment="1">
      <alignment horizontal="center" vertical="center"/>
    </xf>
    <xf numFmtId="167" fontId="2" fillId="0" borderId="5" xfId="1" applyNumberFormat="1" applyFont="1" applyFill="1" applyBorder="1"/>
    <xf numFmtId="9" fontId="19" fillId="2" borderId="5" xfId="2" applyNumberFormat="1" applyFont="1" applyFill="1" applyBorder="1" applyAlignment="1">
      <alignment horizontal="center" vertical="center"/>
    </xf>
    <xf numFmtId="9" fontId="2" fillId="0" borderId="5" xfId="2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left"/>
    </xf>
    <xf numFmtId="3" fontId="5" fillId="0" borderId="5" xfId="0" applyNumberFormat="1" applyFont="1" applyFill="1" applyBorder="1" applyAlignment="1" applyProtection="1">
      <alignment horizontal="right" vertical="center"/>
    </xf>
    <xf numFmtId="4" fontId="5" fillId="0" borderId="5" xfId="0" applyNumberFormat="1" applyFont="1" applyFill="1" applyBorder="1" applyAlignment="1" applyProtection="1">
      <alignment vertical="center"/>
    </xf>
    <xf numFmtId="37" fontId="5" fillId="0" borderId="5" xfId="1" applyNumberFormat="1" applyFont="1" applyFill="1" applyBorder="1"/>
    <xf numFmtId="0" fontId="5" fillId="0" borderId="0" xfId="0" applyFont="1" applyFill="1"/>
    <xf numFmtId="167" fontId="5" fillId="0" borderId="5" xfId="1" applyNumberFormat="1" applyFont="1" applyFill="1" applyBorder="1"/>
    <xf numFmtId="3" fontId="5" fillId="0" borderId="5" xfId="0" applyNumberFormat="1" applyFont="1" applyFill="1" applyBorder="1" applyAlignment="1">
      <alignment horizontal="right" vertical="center"/>
    </xf>
    <xf numFmtId="9" fontId="19" fillId="5" borderId="5" xfId="2" applyNumberFormat="1" applyFont="1" applyFill="1" applyBorder="1" applyAlignment="1">
      <alignment horizontal="center" vertical="center"/>
    </xf>
    <xf numFmtId="167" fontId="17" fillId="10" borderId="14" xfId="1" applyNumberFormat="1" applyFont="1" applyFill="1" applyBorder="1" applyAlignment="1">
      <alignment vertical="center"/>
    </xf>
    <xf numFmtId="167" fontId="17" fillId="10" borderId="15" xfId="1" applyNumberFormat="1" applyFont="1" applyFill="1" applyBorder="1" applyAlignment="1">
      <alignment vertical="center"/>
    </xf>
    <xf numFmtId="167" fontId="17" fillId="10" borderId="5" xfId="1" applyNumberFormat="1" applyFont="1" applyFill="1" applyBorder="1" applyAlignment="1">
      <alignment horizontal="right" vertical="center"/>
    </xf>
    <xf numFmtId="9" fontId="17" fillId="10" borderId="5" xfId="2" applyFont="1" applyFill="1" applyBorder="1" applyAlignment="1">
      <alignment horizontal="center" vertical="center"/>
    </xf>
    <xf numFmtId="167" fontId="5" fillId="0" borderId="0" xfId="1" applyNumberFormat="1" applyFont="1" applyFill="1" applyBorder="1" applyAlignment="1">
      <alignment horizontal="left" vertical="center"/>
    </xf>
    <xf numFmtId="167" fontId="5" fillId="0" borderId="0" xfId="1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 wrapText="1"/>
    </xf>
    <xf numFmtId="0" fontId="17" fillId="10" borderId="4" xfId="0" applyFont="1" applyFill="1" applyBorder="1" applyAlignment="1">
      <alignment horizontal="left"/>
    </xf>
    <xf numFmtId="0" fontId="17" fillId="10" borderId="3" xfId="0" applyFont="1" applyFill="1" applyBorder="1" applyAlignment="1">
      <alignment horizontal="left"/>
    </xf>
    <xf numFmtId="167" fontId="17" fillId="10" borderId="5" xfId="0" applyNumberFormat="1" applyFont="1" applyFill="1" applyBorder="1"/>
    <xf numFmtId="9" fontId="17" fillId="10" borderId="5" xfId="2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7" fontId="2" fillId="0" borderId="0" xfId="1" applyNumberFormat="1" applyFont="1"/>
    <xf numFmtId="167" fontId="2" fillId="0" borderId="0" xfId="1" applyNumberFormat="1" applyFont="1" applyAlignment="1">
      <alignment horizontal="center"/>
    </xf>
    <xf numFmtId="0" fontId="17" fillId="10" borderId="0" xfId="0" applyFont="1" applyFill="1" applyBorder="1" applyAlignment="1">
      <alignment horizontal="left"/>
    </xf>
    <xf numFmtId="0" fontId="17" fillId="10" borderId="1" xfId="0" applyFont="1" applyFill="1" applyBorder="1" applyAlignment="1">
      <alignment horizontal="left"/>
    </xf>
    <xf numFmtId="167" fontId="17" fillId="10" borderId="5" xfId="1" applyNumberFormat="1" applyFont="1" applyFill="1" applyBorder="1"/>
    <xf numFmtId="167" fontId="20" fillId="10" borderId="5" xfId="1" applyNumberFormat="1" applyFont="1" applyFill="1" applyBorder="1" applyAlignment="1">
      <alignment horizontal="center" wrapText="1"/>
    </xf>
    <xf numFmtId="167" fontId="20" fillId="10" borderId="5" xfId="1" applyNumberFormat="1" applyFont="1" applyFill="1" applyBorder="1" applyAlignment="1">
      <alignment horizontal="center" vertical="center" wrapText="1"/>
    </xf>
    <xf numFmtId="0" fontId="21" fillId="0" borderId="0" xfId="0" applyFont="1"/>
    <xf numFmtId="167" fontId="17" fillId="10" borderId="13" xfId="1" applyNumberFormat="1" applyFont="1" applyFill="1" applyBorder="1" applyAlignment="1">
      <alignment vertical="center" wrapText="1"/>
    </xf>
    <xf numFmtId="167" fontId="17" fillId="10" borderId="15" xfId="1" applyNumberFormat="1" applyFont="1" applyFill="1" applyBorder="1" applyAlignment="1">
      <alignment vertical="center" wrapText="1"/>
    </xf>
    <xf numFmtId="167" fontId="17" fillId="10" borderId="5" xfId="1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justify" vertical="center" wrapText="1"/>
    </xf>
    <xf numFmtId="3" fontId="4" fillId="3" borderId="5" xfId="0" applyNumberFormat="1" applyFont="1" applyFill="1" applyBorder="1" applyAlignment="1">
      <alignment horizontal="right" vertical="center" wrapText="1"/>
    </xf>
    <xf numFmtId="43" fontId="2" fillId="2" borderId="5" xfId="1" applyFont="1" applyFill="1" applyBorder="1" applyAlignment="1" applyProtection="1">
      <alignment vertical="center"/>
      <protection locked="0"/>
    </xf>
    <xf numFmtId="43" fontId="2" fillId="0" borderId="10" xfId="1" applyFont="1" applyFill="1" applyBorder="1" applyAlignment="1" applyProtection="1">
      <alignment horizontal="right" vertical="center" wrapText="1"/>
      <protection locked="0"/>
    </xf>
    <xf numFmtId="43" fontId="3" fillId="3" borderId="5" xfId="1" applyFont="1" applyFill="1" applyBorder="1" applyAlignment="1">
      <alignment vertical="center"/>
    </xf>
    <xf numFmtId="3" fontId="2" fillId="0" borderId="13" xfId="0" applyNumberFormat="1" applyFont="1" applyBorder="1" applyAlignment="1">
      <alignment horizontal="right" vertical="center"/>
    </xf>
    <xf numFmtId="3" fontId="4" fillId="3" borderId="13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9" fontId="2" fillId="0" borderId="13" xfId="2" applyFont="1" applyBorder="1" applyAlignment="1">
      <alignment horizontal="center" vertical="center"/>
    </xf>
    <xf numFmtId="0" fontId="4" fillId="3" borderId="5" xfId="0" applyFont="1" applyFill="1" applyBorder="1" applyAlignment="1">
      <alignment horizontal="justify" wrapText="1"/>
    </xf>
    <xf numFmtId="9" fontId="4" fillId="3" borderId="5" xfId="2" applyFont="1" applyFill="1" applyBorder="1" applyAlignment="1">
      <alignment horizontal="center"/>
    </xf>
    <xf numFmtId="9" fontId="4" fillId="3" borderId="13" xfId="2" applyFont="1" applyFill="1" applyBorder="1" applyAlignment="1">
      <alignment horizontal="center" vertical="center"/>
    </xf>
    <xf numFmtId="9" fontId="4" fillId="3" borderId="5" xfId="2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3" fontId="3" fillId="0" borderId="0" xfId="1" applyFont="1" applyBorder="1" applyAlignment="1">
      <alignment vertical="center"/>
    </xf>
    <xf numFmtId="43" fontId="2" fillId="0" borderId="0" xfId="1" applyFont="1" applyBorder="1"/>
    <xf numFmtId="43" fontId="2" fillId="0" borderId="0" xfId="1" applyFont="1"/>
    <xf numFmtId="43" fontId="2" fillId="0" borderId="0" xfId="1" applyFont="1" applyAlignment="1">
      <alignment horizontal="center" wrapText="1"/>
    </xf>
    <xf numFmtId="43" fontId="2" fillId="0" borderId="0" xfId="1" applyFont="1" applyAlignment="1">
      <alignment horizontal="center"/>
    </xf>
    <xf numFmtId="0" fontId="3" fillId="12" borderId="4" xfId="0" applyFont="1" applyFill="1" applyBorder="1" applyAlignment="1">
      <alignment vertical="center"/>
    </xf>
    <xf numFmtId="0" fontId="3" fillId="12" borderId="14" xfId="0" applyFont="1" applyFill="1" applyBorder="1" applyAlignment="1">
      <alignment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justify" vertical="center" wrapText="1"/>
    </xf>
    <xf numFmtId="3" fontId="4" fillId="12" borderId="5" xfId="0" applyNumberFormat="1" applyFont="1" applyFill="1" applyBorder="1" applyAlignment="1">
      <alignment horizontal="right" vertical="center" wrapText="1"/>
    </xf>
    <xf numFmtId="0" fontId="2" fillId="0" borderId="22" xfId="0" applyFont="1" applyFill="1" applyBorder="1"/>
    <xf numFmtId="0" fontId="2" fillId="0" borderId="3" xfId="0" applyFont="1" applyBorder="1"/>
    <xf numFmtId="0" fontId="3" fillId="13" borderId="14" xfId="0" applyFont="1" applyFill="1" applyBorder="1" applyAlignment="1">
      <alignment horizontal="left" vertical="center" wrapText="1"/>
    </xf>
    <xf numFmtId="0" fontId="3" fillId="13" borderId="14" xfId="0" applyFont="1" applyFill="1" applyBorder="1" applyAlignment="1">
      <alignment vertical="center"/>
    </xf>
    <xf numFmtId="0" fontId="3" fillId="13" borderId="5" xfId="0" applyFont="1" applyFill="1" applyBorder="1" applyAlignment="1">
      <alignment horizontal="center" vertical="center"/>
    </xf>
    <xf numFmtId="0" fontId="4" fillId="13" borderId="5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justify" vertical="center" wrapText="1"/>
    </xf>
    <xf numFmtId="3" fontId="4" fillId="13" borderId="5" xfId="0" applyNumberFormat="1" applyFont="1" applyFill="1" applyBorder="1" applyAlignment="1">
      <alignment horizontal="right" vertical="center" wrapText="1"/>
    </xf>
    <xf numFmtId="0" fontId="2" fillId="0" borderId="18" xfId="0" applyFont="1" applyFill="1" applyBorder="1"/>
    <xf numFmtId="0" fontId="2" fillId="0" borderId="1" xfId="0" applyFont="1" applyFill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/>
    </xf>
    <xf numFmtId="43" fontId="2" fillId="0" borderId="0" xfId="1" applyFont="1" applyFill="1"/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justify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6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 applyProtection="1">
      <alignment vertical="center"/>
      <protection locked="0"/>
    </xf>
    <xf numFmtId="0" fontId="4" fillId="0" borderId="1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12" borderId="23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13" borderId="0" xfId="0" applyFont="1" applyFill="1" applyBorder="1" applyAlignment="1">
      <alignment horizontal="left" vertical="center" wrapText="1"/>
    </xf>
    <xf numFmtId="0" fontId="3" fillId="13" borderId="0" xfId="0" applyFont="1" applyFill="1" applyBorder="1" applyAlignment="1">
      <alignment vertical="center"/>
    </xf>
    <xf numFmtId="0" fontId="3" fillId="13" borderId="0" xfId="0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justify" vertical="center"/>
    </xf>
    <xf numFmtId="0" fontId="2" fillId="0" borderId="7" xfId="0" applyFont="1" applyFill="1" applyBorder="1"/>
    <xf numFmtId="0" fontId="3" fillId="0" borderId="11" xfId="0" applyFont="1" applyFill="1" applyBorder="1" applyAlignment="1">
      <alignment horizontal="left" vertical="center"/>
    </xf>
    <xf numFmtId="0" fontId="2" fillId="0" borderId="2" xfId="0" applyFont="1" applyFill="1" applyBorder="1"/>
    <xf numFmtId="0" fontId="3" fillId="0" borderId="18" xfId="0" applyFont="1" applyFill="1" applyBorder="1" applyAlignment="1">
      <alignment vertical="center" wrapText="1"/>
    </xf>
    <xf numFmtId="0" fontId="3" fillId="13" borderId="4" xfId="0" applyFont="1" applyFill="1" applyBorder="1" applyAlignment="1">
      <alignment horizontal="left" vertical="center" wrapText="1"/>
    </xf>
    <xf numFmtId="0" fontId="3" fillId="13" borderId="4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3" xfId="0" applyFont="1" applyFill="1" applyBorder="1"/>
    <xf numFmtId="0" fontId="5" fillId="0" borderId="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3" fontId="22" fillId="0" borderId="5" xfId="14" applyNumberFormat="1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 wrapText="1"/>
    </xf>
    <xf numFmtId="0" fontId="3" fillId="12" borderId="22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left" vertical="center"/>
    </xf>
    <xf numFmtId="0" fontId="4" fillId="12" borderId="14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13" borderId="4" xfId="19" applyNumberFormat="1" applyFont="1" applyFill="1" applyBorder="1" applyAlignment="1">
      <alignment horizontal="left" vertical="center" wrapText="1"/>
    </xf>
    <xf numFmtId="164" fontId="3" fillId="13" borderId="4" xfId="19" applyFont="1" applyFill="1" applyBorder="1" applyAlignment="1">
      <alignment vertical="center"/>
    </xf>
    <xf numFmtId="164" fontId="5" fillId="0" borderId="2" xfId="19" applyFont="1" applyFill="1" applyBorder="1" applyAlignment="1">
      <alignment vertical="center" wrapText="1"/>
    </xf>
    <xf numFmtId="164" fontId="5" fillId="0" borderId="3" xfId="19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2" xfId="19" applyNumberFormat="1" applyFont="1" applyFill="1" applyBorder="1" applyAlignment="1">
      <alignment horizontal="center" vertical="center" wrapText="1"/>
    </xf>
    <xf numFmtId="164" fontId="3" fillId="0" borderId="1" xfId="19" applyFont="1" applyFill="1" applyBorder="1" applyAlignment="1">
      <alignment horizontal="left" vertical="center"/>
    </xf>
    <xf numFmtId="0" fontId="3" fillId="0" borderId="6" xfId="19" applyNumberFormat="1" applyFont="1" applyFill="1" applyBorder="1" applyAlignment="1">
      <alignment horizontal="center" vertical="center" wrapText="1"/>
    </xf>
    <xf numFmtId="0" fontId="3" fillId="0" borderId="7" xfId="19" applyNumberFormat="1" applyFont="1" applyFill="1" applyBorder="1" applyAlignment="1">
      <alignment horizontal="center" vertical="center" wrapText="1"/>
    </xf>
    <xf numFmtId="164" fontId="3" fillId="0" borderId="11" xfId="19" applyFont="1" applyFill="1" applyBorder="1" applyAlignment="1">
      <alignment horizontal="left" vertical="center"/>
    </xf>
    <xf numFmtId="0" fontId="3" fillId="13" borderId="0" xfId="19" applyNumberFormat="1" applyFont="1" applyFill="1" applyBorder="1" applyAlignment="1">
      <alignment horizontal="left" vertical="center" wrapText="1"/>
    </xf>
    <xf numFmtId="164" fontId="3" fillId="13" borderId="0" xfId="19" applyFont="1" applyFill="1" applyBorder="1" applyAlignment="1">
      <alignment vertical="center"/>
    </xf>
    <xf numFmtId="164" fontId="3" fillId="13" borderId="8" xfId="19" applyFont="1" applyFill="1" applyBorder="1"/>
    <xf numFmtId="164" fontId="3" fillId="13" borderId="0" xfId="19" applyFont="1" applyFill="1" applyBorder="1" applyAlignment="1">
      <alignment horizontal="left" vertical="center"/>
    </xf>
    <xf numFmtId="164" fontId="3" fillId="13" borderId="4" xfId="19" applyFont="1" applyFill="1" applyBorder="1" applyAlignment="1">
      <alignment horizontal="left" vertical="center"/>
    </xf>
    <xf numFmtId="164" fontId="5" fillId="0" borderId="6" xfId="19" applyFont="1" applyFill="1" applyBorder="1" applyAlignment="1">
      <alignment vertical="center" wrapText="1"/>
    </xf>
    <xf numFmtId="164" fontId="5" fillId="0" borderId="1" xfId="19" applyFont="1" applyFill="1" applyBorder="1" applyAlignment="1">
      <alignment vertical="center" wrapText="1"/>
    </xf>
    <xf numFmtId="0" fontId="3" fillId="0" borderId="13" xfId="19" applyNumberFormat="1" applyFont="1" applyFill="1" applyBorder="1" applyAlignment="1">
      <alignment horizontal="center" vertical="center" wrapText="1"/>
    </xf>
    <xf numFmtId="164" fontId="5" fillId="0" borderId="7" xfId="19" applyFont="1" applyFill="1" applyBorder="1" applyAlignment="1">
      <alignment vertical="center" wrapText="1"/>
    </xf>
    <xf numFmtId="164" fontId="5" fillId="0" borderId="11" xfId="19" applyFont="1" applyFill="1" applyBorder="1" applyAlignment="1">
      <alignment vertical="center" wrapText="1"/>
    </xf>
    <xf numFmtId="0" fontId="3" fillId="0" borderId="14" xfId="19" applyNumberFormat="1" applyFont="1" applyFill="1" applyBorder="1" applyAlignment="1">
      <alignment horizontal="center" vertical="center" wrapText="1"/>
    </xf>
    <xf numFmtId="164" fontId="3" fillId="0" borderId="0" xfId="19" applyFont="1" applyFill="1" applyBorder="1" applyAlignment="1">
      <alignment horizontal="left" vertical="center"/>
    </xf>
    <xf numFmtId="164" fontId="5" fillId="0" borderId="0" xfId="19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64" fontId="3" fillId="0" borderId="8" xfId="19" applyFont="1" applyFill="1" applyBorder="1" applyAlignment="1">
      <alignment horizontal="left" vertical="center"/>
    </xf>
    <xf numFmtId="164" fontId="3" fillId="13" borderId="14" xfId="19" applyFont="1" applyFill="1" applyBorder="1"/>
    <xf numFmtId="0" fontId="3" fillId="0" borderId="4" xfId="19" applyNumberFormat="1" applyFont="1" applyFill="1" applyBorder="1" applyAlignment="1">
      <alignment horizontal="center" vertical="center" wrapText="1"/>
    </xf>
    <xf numFmtId="0" fontId="3" fillId="0" borderId="0" xfId="19" applyNumberFormat="1" applyFont="1" applyFill="1" applyBorder="1" applyAlignment="1">
      <alignment horizontal="center" vertical="center" wrapText="1"/>
    </xf>
    <xf numFmtId="0" fontId="3" fillId="0" borderId="8" xfId="19" applyNumberFormat="1" applyFont="1" applyFill="1" applyBorder="1" applyAlignment="1">
      <alignment horizontal="center" vertical="center" wrapText="1"/>
    </xf>
    <xf numFmtId="0" fontId="3" fillId="13" borderId="6" xfId="19" applyNumberFormat="1" applyFont="1" applyFill="1" applyBorder="1" applyAlignment="1">
      <alignment horizontal="left" vertical="center" wrapText="1"/>
    </xf>
    <xf numFmtId="164" fontId="3" fillId="13" borderId="1" xfId="19" applyFont="1" applyFill="1" applyBorder="1" applyAlignment="1">
      <alignment vertical="center"/>
    </xf>
    <xf numFmtId="164" fontId="3" fillId="13" borderId="0" xfId="19" applyFont="1" applyFill="1" applyBorder="1"/>
    <xf numFmtId="0" fontId="3" fillId="0" borderId="2" xfId="19" applyNumberFormat="1" applyFont="1" applyFill="1" applyBorder="1" applyAlignment="1">
      <alignment horizontal="left" vertical="center" wrapText="1"/>
    </xf>
    <xf numFmtId="164" fontId="3" fillId="0" borderId="3" xfId="19" applyFont="1" applyFill="1" applyBorder="1" applyAlignment="1">
      <alignment vertical="center"/>
    </xf>
    <xf numFmtId="0" fontId="3" fillId="0" borderId="6" xfId="19" applyNumberFormat="1" applyFont="1" applyFill="1" applyBorder="1" applyAlignment="1">
      <alignment horizontal="left" vertical="center" wrapText="1"/>
    </xf>
    <xf numFmtId="164" fontId="3" fillId="0" borderId="1" xfId="19" applyFont="1" applyFill="1" applyBorder="1" applyAlignment="1">
      <alignment vertical="center"/>
    </xf>
    <xf numFmtId="164" fontId="3" fillId="0" borderId="2" xfId="19" applyFont="1" applyFill="1" applyBorder="1"/>
    <xf numFmtId="164" fontId="3" fillId="0" borderId="6" xfId="19" applyFont="1" applyFill="1" applyBorder="1"/>
    <xf numFmtId="3" fontId="23" fillId="2" borderId="5" xfId="1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3" fillId="11" borderId="5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left" vertical="center"/>
    </xf>
    <xf numFmtId="0" fontId="3" fillId="12" borderId="8" xfId="0" applyFont="1" applyFill="1" applyBorder="1" applyAlignment="1">
      <alignment vertical="center"/>
    </xf>
    <xf numFmtId="0" fontId="3" fillId="12" borderId="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13" borderId="8" xfId="19" applyNumberFormat="1" applyFont="1" applyFill="1" applyBorder="1" applyAlignment="1">
      <alignment horizontal="left" vertical="center" wrapText="1"/>
    </xf>
    <xf numFmtId="164" fontId="3" fillId="13" borderId="8" xfId="19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 wrapText="1"/>
    </xf>
    <xf numFmtId="164" fontId="5" fillId="0" borderId="4" xfId="19" applyFont="1" applyFill="1" applyBorder="1" applyAlignment="1">
      <alignment vertical="center" wrapText="1"/>
    </xf>
    <xf numFmtId="164" fontId="3" fillId="13" borderId="14" xfId="19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3" fillId="12" borderId="20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left" vertical="center"/>
    </xf>
    <xf numFmtId="0" fontId="4" fillId="12" borderId="8" xfId="0" applyFont="1" applyFill="1" applyBorder="1" applyAlignment="1">
      <alignment horizontal="center" vertical="center" wrapText="1"/>
    </xf>
    <xf numFmtId="0" fontId="3" fillId="13" borderId="14" xfId="19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3" fillId="13" borderId="8" xfId="0" applyFont="1" applyFill="1" applyBorder="1"/>
    <xf numFmtId="0" fontId="3" fillId="13" borderId="0" xfId="0" applyFont="1" applyFill="1" applyBorder="1" applyAlignment="1">
      <alignment horizontal="left" vertical="center"/>
    </xf>
    <xf numFmtId="0" fontId="2" fillId="13" borderId="10" xfId="0" applyFont="1" applyFill="1" applyBorder="1" applyAlignment="1">
      <alignment vertical="center"/>
    </xf>
    <xf numFmtId="3" fontId="4" fillId="13" borderId="5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 applyProtection="1">
      <alignment horizontal="right" vertical="center"/>
    </xf>
    <xf numFmtId="4" fontId="2" fillId="2" borderId="9" xfId="0" applyNumberFormat="1" applyFont="1" applyFill="1" applyBorder="1" applyAlignment="1" applyProtection="1">
      <alignment horizontal="right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3" fontId="24" fillId="0" borderId="26" xfId="0" applyNumberFormat="1" applyFont="1" applyBorder="1" applyAlignment="1">
      <alignment horizontal="right" vertical="center"/>
    </xf>
    <xf numFmtId="43" fontId="9" fillId="0" borderId="0" xfId="1" applyFont="1"/>
    <xf numFmtId="0" fontId="9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horizontal="left" vertical="center" wrapText="1"/>
    </xf>
    <xf numFmtId="0" fontId="3" fillId="13" borderId="14" xfId="0" applyFont="1" applyFill="1" applyBorder="1" applyAlignment="1">
      <alignment horizontal="center" vertical="center"/>
    </xf>
    <xf numFmtId="0" fontId="4" fillId="13" borderId="14" xfId="0" applyFont="1" applyFill="1" applyBorder="1" applyAlignment="1">
      <alignment horizontal="center" vertical="center" wrapText="1"/>
    </xf>
    <xf numFmtId="164" fontId="3" fillId="13" borderId="14" xfId="19" applyFont="1" applyFill="1" applyBorder="1" applyAlignment="1">
      <alignment horizontal="left" vertical="center"/>
    </xf>
    <xf numFmtId="0" fontId="3" fillId="12" borderId="22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14" borderId="0" xfId="0" applyFont="1" applyFill="1" applyBorder="1" applyAlignment="1">
      <alignment horizontal="center" vertical="center" wrapText="1"/>
    </xf>
    <xf numFmtId="0" fontId="3" fillId="14" borderId="0" xfId="0" applyFont="1" applyFill="1" applyBorder="1" applyAlignment="1">
      <alignment horizontal="left" vertical="center"/>
    </xf>
    <xf numFmtId="0" fontId="4" fillId="14" borderId="5" xfId="0" applyFont="1" applyFill="1" applyBorder="1" applyAlignment="1">
      <alignment horizontal="justify" vertical="center" wrapText="1"/>
    </xf>
    <xf numFmtId="3" fontId="4" fillId="14" borderId="5" xfId="0" applyNumberFormat="1" applyFont="1" applyFill="1" applyBorder="1" applyAlignment="1">
      <alignment horizontal="right" vertical="center" wrapText="1"/>
    </xf>
    <xf numFmtId="0" fontId="3" fillId="14" borderId="15" xfId="0" applyFont="1" applyFill="1" applyBorder="1" applyAlignment="1">
      <alignment horizontal="left" vertical="center"/>
    </xf>
    <xf numFmtId="0" fontId="4" fillId="14" borderId="5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left" vertical="center"/>
    </xf>
    <xf numFmtId="0" fontId="3" fillId="14" borderId="8" xfId="0" applyFont="1" applyFill="1" applyBorder="1" applyAlignment="1">
      <alignment horizontal="left" vertical="center"/>
    </xf>
    <xf numFmtId="0" fontId="3" fillId="14" borderId="4" xfId="0" applyFont="1" applyFill="1" applyBorder="1" applyAlignment="1">
      <alignment horizontal="left" vertical="center"/>
    </xf>
    <xf numFmtId="0" fontId="3" fillId="14" borderId="13" xfId="0" applyFont="1" applyFill="1" applyBorder="1" applyAlignment="1">
      <alignment horizontal="center" vertical="center" wrapText="1"/>
    </xf>
    <xf numFmtId="0" fontId="3" fillId="14" borderId="0" xfId="19" applyNumberFormat="1" applyFont="1" applyFill="1" applyBorder="1" applyAlignment="1">
      <alignment horizontal="center" vertical="center" wrapText="1"/>
    </xf>
    <xf numFmtId="164" fontId="3" fillId="14" borderId="14" xfId="19" applyFont="1" applyFill="1" applyBorder="1" applyAlignment="1">
      <alignment horizontal="left" vertical="center"/>
    </xf>
    <xf numFmtId="0" fontId="3" fillId="14" borderId="8" xfId="19" applyNumberFormat="1" applyFont="1" applyFill="1" applyBorder="1" applyAlignment="1">
      <alignment horizontal="center" vertical="center" wrapText="1"/>
    </xf>
    <xf numFmtId="0" fontId="3" fillId="14" borderId="4" xfId="19" applyNumberFormat="1" applyFont="1" applyFill="1" applyBorder="1" applyAlignment="1">
      <alignment horizontal="center" vertical="center" wrapText="1"/>
    </xf>
    <xf numFmtId="0" fontId="3" fillId="14" borderId="14" xfId="19" applyNumberFormat="1" applyFont="1" applyFill="1" applyBorder="1" applyAlignment="1">
      <alignment horizontal="center" vertical="center" wrapText="1"/>
    </xf>
    <xf numFmtId="0" fontId="3" fillId="14" borderId="13" xfId="19" applyNumberFormat="1" applyFont="1" applyFill="1" applyBorder="1" applyAlignment="1">
      <alignment horizontal="center" vertical="center" wrapText="1"/>
    </xf>
    <xf numFmtId="164" fontId="3" fillId="14" borderId="8" xfId="19" applyFont="1" applyFill="1" applyBorder="1" applyAlignment="1">
      <alignment horizontal="left" vertical="center"/>
    </xf>
    <xf numFmtId="0" fontId="4" fillId="14" borderId="0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left" vertical="center"/>
    </xf>
    <xf numFmtId="0" fontId="2" fillId="14" borderId="5" xfId="0" applyFont="1" applyFill="1" applyBorder="1" applyAlignment="1">
      <alignment horizontal="justify" vertical="center"/>
    </xf>
    <xf numFmtId="167" fontId="4" fillId="14" borderId="5" xfId="1" applyNumberFormat="1" applyFont="1" applyFill="1" applyBorder="1" applyAlignment="1">
      <alignment horizontal="right" vertical="center"/>
    </xf>
    <xf numFmtId="0" fontId="2" fillId="14" borderId="10" xfId="0" applyFont="1" applyFill="1" applyBorder="1" applyAlignment="1">
      <alignment vertical="center"/>
    </xf>
    <xf numFmtId="3" fontId="4" fillId="14" borderId="5" xfId="0" applyNumberFormat="1" applyFont="1" applyFill="1" applyBorder="1" applyAlignment="1">
      <alignment horizontal="right" vertical="center"/>
    </xf>
    <xf numFmtId="0" fontId="24" fillId="0" borderId="25" xfId="0" applyFont="1" applyBorder="1" applyAlignment="1">
      <alignment horizontal="justify" vertical="center" wrapText="1"/>
    </xf>
    <xf numFmtId="0" fontId="3" fillId="13" borderId="13" xfId="19" applyNumberFormat="1" applyFont="1" applyFill="1" applyBorder="1" applyAlignment="1">
      <alignment horizontal="left" vertical="center" wrapText="1"/>
    </xf>
    <xf numFmtId="164" fontId="3" fillId="13" borderId="15" xfId="19" applyFont="1" applyFill="1" applyBorder="1" applyAlignment="1">
      <alignment vertical="center"/>
    </xf>
    <xf numFmtId="164" fontId="3" fillId="13" borderId="13" xfId="19" applyFont="1" applyFill="1" applyBorder="1"/>
    <xf numFmtId="0" fontId="4" fillId="14" borderId="13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4" fillId="0" borderId="5" xfId="0" applyFont="1" applyBorder="1"/>
    <xf numFmtId="3" fontId="4" fillId="3" borderId="5" xfId="0" applyNumberFormat="1" applyFont="1" applyFill="1" applyBorder="1" applyAlignment="1">
      <alignment horizontal="left"/>
    </xf>
    <xf numFmtId="43" fontId="2" fillId="0" borderId="5" xfId="1" applyNumberFormat="1" applyFont="1" applyFill="1" applyBorder="1" applyAlignment="1">
      <alignment horizontal="right" vertical="center"/>
    </xf>
    <xf numFmtId="43" fontId="2" fillId="2" borderId="5" xfId="1" applyNumberFormat="1" applyFont="1" applyFill="1" applyBorder="1" applyAlignment="1">
      <alignment horizontal="right" vertical="center"/>
    </xf>
    <xf numFmtId="43" fontId="3" fillId="3" borderId="5" xfId="1" applyNumberFormat="1" applyFont="1" applyFill="1" applyBorder="1" applyAlignment="1">
      <alignment horizontal="right" vertical="center"/>
    </xf>
    <xf numFmtId="4" fontId="0" fillId="0" borderId="0" xfId="1" applyNumberFormat="1" applyFont="1" applyAlignment="1">
      <alignment vertical="center"/>
    </xf>
    <xf numFmtId="4" fontId="2" fillId="2" borderId="5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justify" vertical="center"/>
    </xf>
    <xf numFmtId="3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horizontal="right" vertical="center"/>
    </xf>
    <xf numFmtId="9" fontId="2" fillId="7" borderId="5" xfId="2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2" fillId="8" borderId="0" xfId="0" applyFont="1" applyFill="1" applyAlignment="1" applyProtection="1">
      <alignment horizontal="center" vertical="center"/>
      <protection locked="0"/>
    </xf>
    <xf numFmtId="9" fontId="5" fillId="0" borderId="5" xfId="2" applyFont="1" applyFill="1" applyBorder="1" applyAlignment="1" applyProtection="1">
      <alignment horizontal="center" vertical="center" wrapText="1"/>
      <protection locked="0"/>
    </xf>
    <xf numFmtId="0" fontId="5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/>
    </xf>
    <xf numFmtId="0" fontId="4" fillId="0" borderId="5" xfId="0" applyNumberFormat="1" applyFont="1" applyFill="1" applyBorder="1" applyAlignment="1">
      <alignment horizontal="center" vertical="center" wrapText="1"/>
    </xf>
    <xf numFmtId="9" fontId="3" fillId="0" borderId="5" xfId="2" applyFont="1" applyFill="1" applyBorder="1" applyAlignment="1">
      <alignment horizontal="center" vertical="center" wrapText="1"/>
    </xf>
    <xf numFmtId="9" fontId="4" fillId="7" borderId="0" xfId="2" applyFont="1" applyFill="1" applyAlignment="1">
      <alignment horizontal="center" vertical="center"/>
    </xf>
    <xf numFmtId="0" fontId="0" fillId="0" borderId="0" xfId="0"/>
    <xf numFmtId="167" fontId="0" fillId="0" borderId="0" xfId="0" applyNumberFormat="1"/>
    <xf numFmtId="0" fontId="2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3" fontId="2" fillId="9" borderId="5" xfId="0" applyNumberFormat="1" applyFont="1" applyFill="1" applyBorder="1" applyAlignment="1">
      <alignment horizontal="right"/>
    </xf>
    <xf numFmtId="167" fontId="2" fillId="2" borderId="5" xfId="1" applyNumberFormat="1" applyFont="1" applyFill="1" applyBorder="1" applyAlignment="1" applyProtection="1">
      <alignment horizontal="right" vertical="center"/>
      <protection locked="0"/>
    </xf>
    <xf numFmtId="167" fontId="0" fillId="0" borderId="0" xfId="1" applyNumberFormat="1" applyFont="1" applyAlignment="1" applyProtection="1">
      <alignment horizontal="right" vertical="center"/>
      <protection locked="0"/>
    </xf>
    <xf numFmtId="167" fontId="3" fillId="3" borderId="5" xfId="1" applyNumberFormat="1" applyFont="1" applyFill="1" applyBorder="1" applyAlignment="1">
      <alignment horizontal="right" vertical="center"/>
    </xf>
    <xf numFmtId="3" fontId="23" fillId="2" borderId="5" xfId="1" applyNumberFormat="1" applyFont="1" applyFill="1" applyBorder="1" applyAlignment="1">
      <alignment horizontal="right" vertical="center" wrapText="1"/>
    </xf>
    <xf numFmtId="1" fontId="2" fillId="9" borderId="5" xfId="0" applyNumberFormat="1" applyFont="1" applyFill="1" applyBorder="1"/>
    <xf numFmtId="0" fontId="2" fillId="0" borderId="0" xfId="0" applyFont="1" applyFill="1" applyAlignment="1">
      <alignment horizontal="justify" wrapText="1"/>
    </xf>
    <xf numFmtId="3" fontId="2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169" fontId="13" fillId="0" borderId="5" xfId="0" applyNumberFormat="1" applyFont="1" applyBorder="1" applyAlignment="1">
      <alignment horizontal="right" vertical="center"/>
    </xf>
    <xf numFmtId="0" fontId="13" fillId="0" borderId="5" xfId="0" applyFont="1" applyFill="1" applyBorder="1" applyAlignment="1">
      <alignment horizontal="justify" vertical="center"/>
    </xf>
    <xf numFmtId="0" fontId="13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7" fontId="17" fillId="10" borderId="13" xfId="1" applyNumberFormat="1" applyFont="1" applyFill="1" applyBorder="1" applyAlignment="1">
      <alignment horizontal="center" vertical="center" wrapText="1"/>
    </xf>
    <xf numFmtId="167" fontId="17" fillId="10" borderId="15" xfId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67" fontId="5" fillId="0" borderId="5" xfId="1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167" fontId="20" fillId="10" borderId="13" xfId="1" applyNumberFormat="1" applyFont="1" applyFill="1" applyBorder="1" applyAlignment="1">
      <alignment horizontal="center" vertical="center" wrapText="1"/>
    </xf>
    <xf numFmtId="167" fontId="20" fillId="10" borderId="15" xfId="1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right" vertical="center" wrapText="1"/>
    </xf>
    <xf numFmtId="3" fontId="4" fillId="3" borderId="12" xfId="0" applyNumberFormat="1" applyFont="1" applyFill="1" applyBorder="1" applyAlignment="1">
      <alignment horizontal="right" vertical="center" wrapText="1"/>
    </xf>
    <xf numFmtId="3" fontId="4" fillId="3" borderId="10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9" fontId="24" fillId="0" borderId="26" xfId="2" applyNumberFormat="1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3" fontId="4" fillId="3" borderId="28" xfId="0" applyNumberFormat="1" applyFont="1" applyFill="1" applyBorder="1" applyAlignment="1">
      <alignment horizontal="center" vertical="center" wrapText="1"/>
    </xf>
    <xf numFmtId="3" fontId="4" fillId="3" borderId="29" xfId="0" applyNumberFormat="1" applyFont="1" applyFill="1" applyBorder="1" applyAlignment="1">
      <alignment horizontal="center" vertical="center" wrapText="1"/>
    </xf>
    <xf numFmtId="3" fontId="4" fillId="3" borderId="28" xfId="0" applyNumberFormat="1" applyFont="1" applyFill="1" applyBorder="1" applyAlignment="1">
      <alignment horizontal="right" vertical="center" wrapText="1"/>
    </xf>
    <xf numFmtId="9" fontId="4" fillId="12" borderId="21" xfId="2" applyNumberFormat="1" applyFont="1" applyFill="1" applyBorder="1" applyAlignment="1">
      <alignment horizontal="center" vertical="center" wrapText="1"/>
    </xf>
    <xf numFmtId="9" fontId="4" fillId="13" borderId="21" xfId="2" applyNumberFormat="1" applyFont="1" applyFill="1" applyBorder="1" applyAlignment="1">
      <alignment horizontal="center" vertical="center" wrapText="1"/>
    </xf>
    <xf numFmtId="9" fontId="4" fillId="14" borderId="21" xfId="2" applyNumberFormat="1" applyFont="1" applyFill="1" applyBorder="1" applyAlignment="1">
      <alignment horizontal="center" vertical="center" wrapText="1"/>
    </xf>
    <xf numFmtId="9" fontId="2" fillId="2" borderId="21" xfId="2" applyNumberFormat="1" applyFont="1" applyFill="1" applyBorder="1" applyAlignment="1">
      <alignment horizontal="center" vertical="center"/>
    </xf>
    <xf numFmtId="9" fontId="2" fillId="2" borderId="21" xfId="2" applyNumberFormat="1" applyFont="1" applyFill="1" applyBorder="1" applyAlignment="1" applyProtection="1">
      <alignment horizontal="center" vertical="center"/>
      <protection locked="0"/>
    </xf>
    <xf numFmtId="9" fontId="2" fillId="0" borderId="21" xfId="2" applyNumberFormat="1" applyFont="1" applyFill="1" applyBorder="1" applyAlignment="1">
      <alignment horizontal="center" vertical="center"/>
    </xf>
    <xf numFmtId="9" fontId="2" fillId="0" borderId="21" xfId="2" applyNumberFormat="1" applyFont="1" applyFill="1" applyBorder="1" applyAlignment="1" applyProtection="1">
      <alignment horizontal="center" vertical="center"/>
      <protection locked="0"/>
    </xf>
    <xf numFmtId="10" fontId="2" fillId="0" borderId="21" xfId="2" applyNumberFormat="1" applyFont="1" applyFill="1" applyBorder="1" applyAlignment="1">
      <alignment horizontal="center" vertical="center"/>
    </xf>
    <xf numFmtId="9" fontId="2" fillId="2" borderId="19" xfId="2" applyNumberFormat="1" applyFont="1" applyFill="1" applyBorder="1" applyAlignment="1" applyProtection="1">
      <alignment horizontal="center" vertical="center"/>
      <protection locked="0"/>
    </xf>
    <xf numFmtId="9" fontId="2" fillId="2" borderId="19" xfId="2" applyNumberFormat="1" applyFont="1" applyFill="1" applyBorder="1" applyAlignment="1">
      <alignment horizontal="center" vertical="center"/>
    </xf>
    <xf numFmtId="9" fontId="4" fillId="14" borderId="19" xfId="2" applyNumberFormat="1" applyFont="1" applyFill="1" applyBorder="1" applyAlignment="1">
      <alignment horizontal="center" vertical="center" wrapText="1"/>
    </xf>
    <xf numFmtId="9" fontId="23" fillId="2" borderId="21" xfId="2" applyNumberFormat="1" applyFont="1" applyFill="1" applyBorder="1" applyAlignment="1">
      <alignment horizontal="center" vertical="center" wrapText="1"/>
    </xf>
    <xf numFmtId="9" fontId="4" fillId="14" borderId="19" xfId="2" applyNumberFormat="1" applyFont="1" applyFill="1" applyBorder="1" applyAlignment="1">
      <alignment horizontal="center" vertical="center"/>
    </xf>
    <xf numFmtId="9" fontId="4" fillId="14" borderId="21" xfId="2" applyNumberFormat="1" applyFont="1" applyFill="1" applyBorder="1" applyAlignment="1">
      <alignment horizontal="center" vertical="center"/>
    </xf>
    <xf numFmtId="9" fontId="2" fillId="2" borderId="21" xfId="2" applyNumberFormat="1" applyFont="1" applyFill="1" applyBorder="1" applyAlignment="1" applyProtection="1">
      <alignment horizontal="center" vertical="center"/>
    </xf>
    <xf numFmtId="9" fontId="4" fillId="13" borderId="21" xfId="2" applyNumberFormat="1" applyFont="1" applyFill="1" applyBorder="1" applyAlignment="1">
      <alignment horizontal="center" vertical="center"/>
    </xf>
    <xf numFmtId="9" fontId="2" fillId="2" borderId="19" xfId="2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0" xfId="0" applyFont="1" applyFill="1" applyBorder="1" applyAlignment="1">
      <alignment horizontal="justify" vertical="center"/>
    </xf>
    <xf numFmtId="0" fontId="2" fillId="2" borderId="12" xfId="0" applyFont="1" applyFill="1" applyBorder="1" applyAlignment="1">
      <alignment horizontal="justify" vertical="center"/>
    </xf>
    <xf numFmtId="0" fontId="2" fillId="0" borderId="9" xfId="0" applyFont="1" applyFill="1" applyBorder="1" applyAlignment="1">
      <alignment horizontal="justify" vertical="center"/>
    </xf>
    <xf numFmtId="0" fontId="2" fillId="0" borderId="10" xfId="0" applyFont="1" applyFill="1" applyBorder="1" applyAlignment="1">
      <alignment horizontal="justify" vertical="center"/>
    </xf>
    <xf numFmtId="0" fontId="2" fillId="0" borderId="12" xfId="0" applyFont="1" applyFill="1" applyBorder="1" applyAlignment="1">
      <alignment horizontal="justify" vertical="center"/>
    </xf>
    <xf numFmtId="0" fontId="2" fillId="0" borderId="9" xfId="0" applyFont="1" applyFill="1" applyBorder="1" applyAlignment="1">
      <alignment horizontal="justify" vertical="center" wrapText="1"/>
    </xf>
    <xf numFmtId="0" fontId="2" fillId="0" borderId="12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 applyProtection="1">
      <alignment horizontal="justify" vertical="center"/>
    </xf>
    <xf numFmtId="0" fontId="2" fillId="2" borderId="10" xfId="0" applyFont="1" applyFill="1" applyBorder="1" applyAlignment="1" applyProtection="1">
      <alignment horizontal="justify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31" xfId="0" applyFont="1" applyFill="1" applyBorder="1" applyAlignment="1" applyProtection="1">
      <alignment horizontal="justify" vertical="center"/>
    </xf>
    <xf numFmtId="0" fontId="4" fillId="3" borderId="30" xfId="0" applyFont="1" applyFill="1" applyBorder="1" applyAlignment="1">
      <alignment horizontal="center" vertical="center" wrapText="1"/>
    </xf>
  </cellXfs>
  <cellStyles count="38">
    <cellStyle name="Excel Built-in Normal" xfId="8"/>
    <cellStyle name="Millares" xfId="1" builtinId="3"/>
    <cellStyle name="Millares [0] 2" xfId="6"/>
    <cellStyle name="Millares [0] 3" xfId="19"/>
    <cellStyle name="Millares [0] 4" xfId="33"/>
    <cellStyle name="Millares [0] 5" xfId="37"/>
    <cellStyle name="Millares 11" xfId="31"/>
    <cellStyle name="Millares 2" xfId="5"/>
    <cellStyle name="Millares 2 2" xfId="13"/>
    <cellStyle name="Millares 2 2 2" xfId="18"/>
    <cellStyle name="Millares 2 2 3" xfId="24"/>
    <cellStyle name="Millares 2 2 4" xfId="28"/>
    <cellStyle name="Millares 3" xfId="16"/>
    <cellStyle name="Millares 3 2" xfId="27"/>
    <cellStyle name="Millares 3 3" xfId="29"/>
    <cellStyle name="Millares 3 7 2" xfId="25"/>
    <cellStyle name="Millares 4" xfId="9"/>
    <cellStyle name="Millares 5" xfId="17"/>
    <cellStyle name="Millares 6" xfId="7"/>
    <cellStyle name="Millares 7" xfId="26"/>
    <cellStyle name="Moneda" xfId="3" builtinId="4"/>
    <cellStyle name="Moneda [0] 2" xfId="30"/>
    <cellStyle name="Moneda 2" xfId="11"/>
    <cellStyle name="Moneda 3" xfId="22"/>
    <cellStyle name="Moneda 4" xfId="32"/>
    <cellStyle name="Moneda 5" xfId="35"/>
    <cellStyle name="Moneda 6" xfId="36"/>
    <cellStyle name="Moneda 7" xfId="34"/>
    <cellStyle name="Normal" xfId="0" builtinId="0"/>
    <cellStyle name="Normal 2" xfId="4"/>
    <cellStyle name="Normal 2 2" xfId="20"/>
    <cellStyle name="Normal 2 2 2" xfId="12"/>
    <cellStyle name="Normal 3" xfId="14"/>
    <cellStyle name="Normal 4" xfId="23"/>
    <cellStyle name="Porcentaje" xfId="2" builtinId="5"/>
    <cellStyle name="Porcentaje 2" xfId="10"/>
    <cellStyle name="Porcentaje 3" xfId="15"/>
    <cellStyle name="Porcentaje 4" xfId="21"/>
  </cellStyles>
  <dxfs count="88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00"/>
              <a:t>Departamento</a:t>
            </a:r>
            <a:r>
              <a:rPr lang="es-CO" sz="1000" baseline="0"/>
              <a:t> del Quindío</a:t>
            </a:r>
          </a:p>
          <a:p>
            <a:pPr>
              <a:defRPr sz="1000"/>
            </a:pPr>
            <a:r>
              <a:rPr lang="es-CO" sz="1000" baseline="0"/>
              <a:t>% de Ejecución Gastos de Inversion </a:t>
            </a:r>
          </a:p>
          <a:p>
            <a:pPr>
              <a:defRPr sz="1000"/>
            </a:pPr>
            <a:r>
              <a:rPr lang="es-CO" sz="1000" baseline="0"/>
              <a:t>Por Unidad Ejecutora III Trimestre de 2017</a:t>
            </a:r>
            <a:endParaRPr lang="es-CO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'EJE SECRETARIAS'!$D$2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('EJE SECRETARIAS'!$A$3:$A$15,'EJE SECRETARIAS'!$A$18:$A$20,'EJE SECRETARIAS'!$A$23)</c:f>
              <c:strCache>
                <c:ptCount val="17"/>
                <c:pt idx="0">
                  <c:v>304</c:v>
                </c:pt>
                <c:pt idx="1">
                  <c:v>305</c:v>
                </c:pt>
                <c:pt idx="2">
                  <c:v>307</c:v>
                </c:pt>
                <c:pt idx="3">
                  <c:v>308</c:v>
                </c:pt>
                <c:pt idx="4">
                  <c:v>309</c:v>
                </c:pt>
                <c:pt idx="5">
                  <c:v>310</c:v>
                </c:pt>
                <c:pt idx="6">
                  <c:v>311</c:v>
                </c:pt>
                <c:pt idx="7">
                  <c:v>312</c:v>
                </c:pt>
                <c:pt idx="8">
                  <c:v>313</c:v>
                </c:pt>
                <c:pt idx="9">
                  <c:v>314</c:v>
                </c:pt>
                <c:pt idx="10">
                  <c:v>316</c:v>
                </c:pt>
                <c:pt idx="11">
                  <c:v>317</c:v>
                </c:pt>
                <c:pt idx="12">
                  <c:v>318</c:v>
                </c:pt>
                <c:pt idx="13">
                  <c:v>319</c:v>
                </c:pt>
                <c:pt idx="14">
                  <c:v>320</c:v>
                </c:pt>
                <c:pt idx="15">
                  <c:v>321</c:v>
                </c:pt>
                <c:pt idx="16">
                  <c:v>TOTAL</c:v>
                </c:pt>
              </c:strCache>
            </c:strRef>
          </c:cat>
          <c:val>
            <c:numRef>
              <c:f>('EJE SECRETARIAS'!$D$3:$D$15,'EJE SECRETARIAS'!$D$18:$D$20,'EJE SECRETARIAS'!$D$23)</c:f>
              <c:numCache>
                <c:formatCode>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82-4CD1-B895-8BE5093A16DF}"/>
            </c:ext>
          </c:extLst>
        </c:ser>
        <c:ser>
          <c:idx val="1"/>
          <c:order val="1"/>
          <c:tx>
            <c:strRef>
              <c:f>'EJE SECRETARIAS'!$F$2</c:f>
              <c:strCache>
                <c:ptCount val="1"/>
                <c:pt idx="0">
                  <c:v>% CDP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('EJE SECRETARIAS'!$A$3:$A$15,'EJE SECRETARIAS'!$A$18:$A$20,'EJE SECRETARIAS'!$A$23)</c:f>
              <c:strCache>
                <c:ptCount val="17"/>
                <c:pt idx="0">
                  <c:v>304</c:v>
                </c:pt>
                <c:pt idx="1">
                  <c:v>305</c:v>
                </c:pt>
                <c:pt idx="2">
                  <c:v>307</c:v>
                </c:pt>
                <c:pt idx="3">
                  <c:v>308</c:v>
                </c:pt>
                <c:pt idx="4">
                  <c:v>309</c:v>
                </c:pt>
                <c:pt idx="5">
                  <c:v>310</c:v>
                </c:pt>
                <c:pt idx="6">
                  <c:v>311</c:v>
                </c:pt>
                <c:pt idx="7">
                  <c:v>312</c:v>
                </c:pt>
                <c:pt idx="8">
                  <c:v>313</c:v>
                </c:pt>
                <c:pt idx="9">
                  <c:v>314</c:v>
                </c:pt>
                <c:pt idx="10">
                  <c:v>316</c:v>
                </c:pt>
                <c:pt idx="11">
                  <c:v>317</c:v>
                </c:pt>
                <c:pt idx="12">
                  <c:v>318</c:v>
                </c:pt>
                <c:pt idx="13">
                  <c:v>319</c:v>
                </c:pt>
                <c:pt idx="14">
                  <c:v>320</c:v>
                </c:pt>
                <c:pt idx="15">
                  <c:v>321</c:v>
                </c:pt>
                <c:pt idx="16">
                  <c:v>TOTAL</c:v>
                </c:pt>
              </c:strCache>
            </c:strRef>
          </c:cat>
          <c:val>
            <c:numRef>
              <c:f>('EJE SECRETARIAS'!$F$3:$F$15,'EJE SECRETARIAS'!$F$18:$F$20,'EJE SECRETARIAS'!$F$23)</c:f>
              <c:numCache>
                <c:formatCode>0%</c:formatCode>
                <c:ptCount val="17"/>
                <c:pt idx="0">
                  <c:v>0.25201826978650044</c:v>
                </c:pt>
                <c:pt idx="1">
                  <c:v>0.86989671351542419</c:v>
                </c:pt>
                <c:pt idx="2">
                  <c:v>0.90778627700229442</c:v>
                </c:pt>
                <c:pt idx="3">
                  <c:v>0.66492184978656643</c:v>
                </c:pt>
                <c:pt idx="4">
                  <c:v>0.57688683863026557</c:v>
                </c:pt>
                <c:pt idx="5">
                  <c:v>0.61715577334531135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82-4CD1-B895-8BE5093A16DF}"/>
            </c:ext>
          </c:extLst>
        </c:ser>
        <c:ser>
          <c:idx val="2"/>
          <c:order val="2"/>
          <c:tx>
            <c:strRef>
              <c:f>'EJE SECRETARIAS'!$H$2</c:f>
              <c:strCache>
                <c:ptCount val="1"/>
                <c:pt idx="0">
                  <c:v>% RP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('EJE SECRETARIAS'!$A$3:$A$15,'EJE SECRETARIAS'!$A$18:$A$20,'EJE SECRETARIAS'!$A$23)</c:f>
              <c:strCache>
                <c:ptCount val="17"/>
                <c:pt idx="0">
                  <c:v>304</c:v>
                </c:pt>
                <c:pt idx="1">
                  <c:v>305</c:v>
                </c:pt>
                <c:pt idx="2">
                  <c:v>307</c:v>
                </c:pt>
                <c:pt idx="3">
                  <c:v>308</c:v>
                </c:pt>
                <c:pt idx="4">
                  <c:v>309</c:v>
                </c:pt>
                <c:pt idx="5">
                  <c:v>310</c:v>
                </c:pt>
                <c:pt idx="6">
                  <c:v>311</c:v>
                </c:pt>
                <c:pt idx="7">
                  <c:v>312</c:v>
                </c:pt>
                <c:pt idx="8">
                  <c:v>313</c:v>
                </c:pt>
                <c:pt idx="9">
                  <c:v>314</c:v>
                </c:pt>
                <c:pt idx="10">
                  <c:v>316</c:v>
                </c:pt>
                <c:pt idx="11">
                  <c:v>317</c:v>
                </c:pt>
                <c:pt idx="12">
                  <c:v>318</c:v>
                </c:pt>
                <c:pt idx="13">
                  <c:v>319</c:v>
                </c:pt>
                <c:pt idx="14">
                  <c:v>320</c:v>
                </c:pt>
                <c:pt idx="15">
                  <c:v>321</c:v>
                </c:pt>
                <c:pt idx="16">
                  <c:v>TOTAL</c:v>
                </c:pt>
              </c:strCache>
            </c:strRef>
          </c:cat>
          <c:val>
            <c:numRef>
              <c:f>('EJE SECRETARIAS'!$H$3:$H$15,'EJE SECRETARIAS'!$H$18:$H$20,'EJE SECRETARIAS'!$H$23)</c:f>
              <c:numCache>
                <c:formatCode>0%</c:formatCode>
                <c:ptCount val="17"/>
                <c:pt idx="0">
                  <c:v>0.25201826978650044</c:v>
                </c:pt>
                <c:pt idx="1">
                  <c:v>0.86989671351542419</c:v>
                </c:pt>
                <c:pt idx="2">
                  <c:v>0.90778627700229442</c:v>
                </c:pt>
                <c:pt idx="3">
                  <c:v>0.66492184978656643</c:v>
                </c:pt>
                <c:pt idx="4">
                  <c:v>0.57688683863026557</c:v>
                </c:pt>
                <c:pt idx="5">
                  <c:v>0.61715577334531135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582-4CD1-B895-8BE5093A16DF}"/>
            </c:ext>
          </c:extLst>
        </c:ser>
        <c:ser>
          <c:idx val="3"/>
          <c:order val="3"/>
          <c:tx>
            <c:strRef>
              <c:f>'EJE SECRETARIAS'!$J$2</c:f>
              <c:strCache>
                <c:ptCount val="1"/>
                <c:pt idx="0">
                  <c:v>% OBLIG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('EJE SECRETARIAS'!$A$3:$A$15,'EJE SECRETARIAS'!$A$18:$A$20,'EJE SECRETARIAS'!$A$23)</c:f>
              <c:strCache>
                <c:ptCount val="17"/>
                <c:pt idx="0">
                  <c:v>304</c:v>
                </c:pt>
                <c:pt idx="1">
                  <c:v>305</c:v>
                </c:pt>
                <c:pt idx="2">
                  <c:v>307</c:v>
                </c:pt>
                <c:pt idx="3">
                  <c:v>308</c:v>
                </c:pt>
                <c:pt idx="4">
                  <c:v>309</c:v>
                </c:pt>
                <c:pt idx="5">
                  <c:v>310</c:v>
                </c:pt>
                <c:pt idx="6">
                  <c:v>311</c:v>
                </c:pt>
                <c:pt idx="7">
                  <c:v>312</c:v>
                </c:pt>
                <c:pt idx="8">
                  <c:v>313</c:v>
                </c:pt>
                <c:pt idx="9">
                  <c:v>314</c:v>
                </c:pt>
                <c:pt idx="10">
                  <c:v>316</c:v>
                </c:pt>
                <c:pt idx="11">
                  <c:v>317</c:v>
                </c:pt>
                <c:pt idx="12">
                  <c:v>318</c:v>
                </c:pt>
                <c:pt idx="13">
                  <c:v>319</c:v>
                </c:pt>
                <c:pt idx="14">
                  <c:v>320</c:v>
                </c:pt>
                <c:pt idx="15">
                  <c:v>321</c:v>
                </c:pt>
                <c:pt idx="16">
                  <c:v>TOTAL</c:v>
                </c:pt>
              </c:strCache>
            </c:strRef>
          </c:cat>
          <c:val>
            <c:numRef>
              <c:f>('EJE SECRETARIAS'!$J$3:$J$15,'EJE SECRETARIAS'!$J$18:$J$20,'EJE SECRETARIAS'!$J$23)</c:f>
              <c:numCache>
                <c:formatCode>0%</c:formatCode>
                <c:ptCount val="17"/>
                <c:pt idx="0">
                  <c:v>0.88126380831929019</c:v>
                </c:pt>
                <c:pt idx="1">
                  <c:v>0.84557942742045267</c:v>
                </c:pt>
                <c:pt idx="2">
                  <c:v>0.92718002861672111</c:v>
                </c:pt>
                <c:pt idx="3">
                  <c:v>0.88882125754436747</c:v>
                </c:pt>
                <c:pt idx="4">
                  <c:v>0.97879799996305428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582-4CD1-B895-8BE5093A1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9646312"/>
        <c:axId val="250657944"/>
        <c:axId val="0"/>
      </c:bar3DChart>
      <c:catAx>
        <c:axId val="249646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Unidades</a:t>
                </a:r>
                <a:r>
                  <a:rPr lang="es-CO" baseline="0"/>
                  <a:t> Ejecutoras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657944"/>
        <c:crosses val="autoZero"/>
        <c:auto val="1"/>
        <c:lblAlgn val="ctr"/>
        <c:lblOffset val="100"/>
        <c:noMultiLvlLbl val="0"/>
      </c:catAx>
      <c:valAx>
        <c:axId val="250657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9646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00"/>
              <a:t>Secretaría</a:t>
            </a:r>
            <a:r>
              <a:rPr lang="es-CO" sz="1000" baseline="0"/>
              <a:t> Planeación</a:t>
            </a:r>
          </a:p>
          <a:p>
            <a:pPr>
              <a:defRPr sz="1000"/>
            </a:pPr>
            <a:r>
              <a:rPr lang="es-CO" sz="1000"/>
              <a:t>Estado</a:t>
            </a:r>
            <a:r>
              <a:rPr lang="es-CO" sz="1000" baseline="0"/>
              <a:t> de recursos comprometido de la vigencia y recursos del Balance </a:t>
            </a:r>
          </a:p>
          <a:p>
            <a:pPr>
              <a:defRPr sz="1000"/>
            </a:pPr>
            <a:r>
              <a:rPr lang="es-CO" sz="1000" baseline="0"/>
              <a:t>a diciembre 31 de 2017</a:t>
            </a:r>
            <a:endParaRPr lang="es-CO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PLANEACION!$D$80</c:f>
              <c:strCache>
                <c:ptCount val="1"/>
                <c:pt idx="0">
                  <c:v>Vigencia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PLANEACION!$E$79:$M$79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PLANEACION!$E$80:$M$80</c:f>
              <c:numCache>
                <c:formatCode>#,##0</c:formatCode>
                <c:ptCount val="9"/>
                <c:pt idx="0">
                  <c:v>1366000000</c:v>
                </c:pt>
                <c:pt idx="1">
                  <c:v>1180021287.23</c:v>
                </c:pt>
                <c:pt idx="2" formatCode="0%">
                  <c:v>0.86385160119326498</c:v>
                </c:pt>
                <c:pt idx="3">
                  <c:v>1180021287.23</c:v>
                </c:pt>
                <c:pt idx="4" formatCode="0%">
                  <c:v>1</c:v>
                </c:pt>
                <c:pt idx="5">
                  <c:v>0</c:v>
                </c:pt>
                <c:pt idx="6" formatCode="0%">
                  <c:v>0</c:v>
                </c:pt>
                <c:pt idx="7">
                  <c:v>185978712.76999998</c:v>
                </c:pt>
                <c:pt idx="8" formatCode="0%">
                  <c:v>0.13614839880673499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0F-4D88-A86E-611020ECEBA8}"/>
            </c:ext>
          </c:extLst>
        </c:ser>
        <c:ser>
          <c:idx val="1"/>
          <c:order val="1"/>
          <c:tx>
            <c:strRef>
              <c:f>PLANEACION!$D$81</c:f>
              <c:strCache>
                <c:ptCount val="1"/>
                <c:pt idx="0">
                  <c:v>Superavit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PLANEACION!$E$79:$M$79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PLANEACION!$E$81:$M$81</c:f>
              <c:numCache>
                <c:formatCode>#,##0</c:formatCode>
                <c:ptCount val="9"/>
                <c:pt idx="0">
                  <c:v>190000000</c:v>
                </c:pt>
                <c:pt idx="1">
                  <c:v>173537999</c:v>
                </c:pt>
                <c:pt idx="2" formatCode="0%">
                  <c:v>0.91335788947368424</c:v>
                </c:pt>
                <c:pt idx="3">
                  <c:v>173537999</c:v>
                </c:pt>
                <c:pt idx="4" formatCode="0%">
                  <c:v>1</c:v>
                </c:pt>
                <c:pt idx="5">
                  <c:v>0</c:v>
                </c:pt>
                <c:pt idx="6" formatCode="0%">
                  <c:v>0</c:v>
                </c:pt>
                <c:pt idx="7">
                  <c:v>16462001</c:v>
                </c:pt>
                <c:pt idx="8" formatCode="0%">
                  <c:v>8.6642110526315791E-2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0F-4D88-A86E-611020ECEBA8}"/>
            </c:ext>
          </c:extLst>
        </c:ser>
        <c:ser>
          <c:idx val="2"/>
          <c:order val="2"/>
          <c:tx>
            <c:strRef>
              <c:f>PLANEACION!$D$82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PLANEACION!$E$79:$M$79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PLANEACION!$E$82:$M$82</c:f>
              <c:numCache>
                <c:formatCode>_(* #,##0_);_(* \(#,##0\);_(* "-"??_);_(@_)</c:formatCode>
                <c:ptCount val="9"/>
                <c:pt idx="0">
                  <c:v>1556000000</c:v>
                </c:pt>
                <c:pt idx="1">
                  <c:v>1353559286.23</c:v>
                </c:pt>
                <c:pt idx="2" formatCode="0%">
                  <c:v>0.86989671351542419</c:v>
                </c:pt>
                <c:pt idx="3">
                  <c:v>1353559286.23</c:v>
                </c:pt>
                <c:pt idx="4" formatCode="0%">
                  <c:v>1</c:v>
                </c:pt>
                <c:pt idx="5">
                  <c:v>0</c:v>
                </c:pt>
                <c:pt idx="6" formatCode="0%">
                  <c:v>0</c:v>
                </c:pt>
                <c:pt idx="7">
                  <c:v>202440713.76999998</c:v>
                </c:pt>
                <c:pt idx="8" formatCode="0%">
                  <c:v>0.13010328648457584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0F-4D88-A86E-611020ECE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8782800"/>
        <c:axId val="248782408"/>
        <c:axId val="0"/>
      </c:bar3DChart>
      <c:catAx>
        <c:axId val="248782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Ejecución por tipo de recurso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8782408"/>
        <c:crosses val="autoZero"/>
        <c:auto val="1"/>
        <c:lblAlgn val="ctr"/>
        <c:lblOffset val="100"/>
        <c:noMultiLvlLbl val="0"/>
      </c:catAx>
      <c:valAx>
        <c:axId val="248782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Gastos</a:t>
                </a:r>
                <a:r>
                  <a:rPr lang="es-CO" baseline="0"/>
                  <a:t> de Inversión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878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s-CO" sz="1050">
                <a:solidFill>
                  <a:srgbClr val="FF0000"/>
                </a:solidFill>
              </a:rPr>
              <a:t>Secretaria</a:t>
            </a:r>
            <a:r>
              <a:rPr lang="es-CO" sz="1050" baseline="0">
                <a:solidFill>
                  <a:srgbClr val="FF0000"/>
                </a:solidFill>
              </a:rPr>
              <a:t> Hacienda</a:t>
            </a:r>
          </a:p>
          <a:p>
            <a:pPr>
              <a:defRPr sz="1050">
                <a:solidFill>
                  <a:srgbClr val="FF0000"/>
                </a:solidFill>
              </a:defRPr>
            </a:pPr>
            <a:r>
              <a:rPr lang="es-CO" sz="1050" baseline="0">
                <a:solidFill>
                  <a:srgbClr val="FF0000"/>
                </a:solidFill>
              </a:rPr>
              <a:t>Ejecución Gastos de Inversión</a:t>
            </a:r>
          </a:p>
          <a:p>
            <a:pPr>
              <a:defRPr sz="1050">
                <a:solidFill>
                  <a:srgbClr val="FF0000"/>
                </a:solidFill>
              </a:defRPr>
            </a:pPr>
            <a:r>
              <a:rPr lang="es-CO" sz="1050" baseline="0">
                <a:solidFill>
                  <a:srgbClr val="FF0000"/>
                </a:solidFill>
              </a:rPr>
              <a:t>III Trimestre de 2017</a:t>
            </a:r>
            <a:endParaRPr lang="es-CO" sz="105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38034226102665825"/>
          <c:y val="3.2498305993813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HACIENDA!$E$43</c:f>
              <c:strCache>
                <c:ptCount val="1"/>
                <c:pt idx="0">
                  <c:v>Recursos Propios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HACIENDA!$F$42:$K$42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HACIENDA!$F$43:$K$43</c:f>
              <c:numCache>
                <c:formatCode>#,##0</c:formatCode>
                <c:ptCount val="6"/>
                <c:pt idx="0">
                  <c:v>1860063094</c:v>
                </c:pt>
                <c:pt idx="1">
                  <c:v>1708549514</c:v>
                </c:pt>
                <c:pt idx="2">
                  <c:v>1708549514</c:v>
                </c:pt>
                <c:pt idx="3">
                  <c:v>1583925384</c:v>
                </c:pt>
                <c:pt idx="4">
                  <c:v>1583925384</c:v>
                </c:pt>
                <c:pt idx="5">
                  <c:v>151513580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26-4034-8D2E-74023BFCA274}"/>
            </c:ext>
          </c:extLst>
        </c:ser>
        <c:ser>
          <c:idx val="1"/>
          <c:order val="1"/>
          <c:tx>
            <c:strRef>
              <c:f>HACIENDA!$E$44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HACIENDA!$F$42:$K$42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HACIENDA!$F$44:$K$44</c:f>
              <c:numCache>
                <c:formatCode>0%</c:formatCode>
                <c:ptCount val="6"/>
                <c:pt idx="0">
                  <c:v>1</c:v>
                </c:pt>
                <c:pt idx="1">
                  <c:v>0.90778627700229442</c:v>
                </c:pt>
                <c:pt idx="2">
                  <c:v>0.90778627700229442</c:v>
                </c:pt>
                <c:pt idx="3">
                  <c:v>0.92718002861672111</c:v>
                </c:pt>
                <c:pt idx="4">
                  <c:v>0.92718002861672111</c:v>
                </c:pt>
                <c:pt idx="5">
                  <c:v>9.2213722997705541E-2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C26-4034-8D2E-74023BFCA274}"/>
            </c:ext>
          </c:extLst>
        </c:ser>
        <c:ser>
          <c:idx val="2"/>
          <c:order val="2"/>
          <c:tx>
            <c:strRef>
              <c:f>HACIENDA!$E$45</c:f>
              <c:strCache>
                <c:ptCount val="1"/>
                <c:pt idx="0">
                  <c:v>Fondo Rentas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HACIENDA!$F$42:$K$42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HACIENDA!$F$45:$K$45</c:f>
              <c:numCache>
                <c:formatCode>#,##0</c:formatCode>
                <c:ptCount val="6"/>
                <c:pt idx="0">
                  <c:v>80296670</c:v>
                </c:pt>
                <c:pt idx="1">
                  <c:v>69664665</c:v>
                </c:pt>
                <c:pt idx="2">
                  <c:v>69664665</c:v>
                </c:pt>
                <c:pt idx="3">
                  <c:v>69664665</c:v>
                </c:pt>
                <c:pt idx="4">
                  <c:v>69664665</c:v>
                </c:pt>
                <c:pt idx="5">
                  <c:v>10632005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26-4034-8D2E-74023BFCA274}"/>
            </c:ext>
          </c:extLst>
        </c:ser>
        <c:ser>
          <c:idx val="3"/>
          <c:order val="3"/>
          <c:tx>
            <c:strRef>
              <c:f>HACIENDA!$E$46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HACIENDA!$F$42:$K$42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HACIENDA!$F$46:$K$46</c:f>
              <c:numCache>
                <c:formatCode>0%</c:formatCode>
                <c:ptCount val="6"/>
                <c:pt idx="0">
                  <c:v>1</c:v>
                </c:pt>
                <c:pt idx="1">
                  <c:v>0.86759095987417656</c:v>
                </c:pt>
                <c:pt idx="2">
                  <c:v>0.86759095987417656</c:v>
                </c:pt>
                <c:pt idx="3">
                  <c:v>1</c:v>
                </c:pt>
                <c:pt idx="4">
                  <c:v>1</c:v>
                </c:pt>
                <c:pt idx="5">
                  <c:v>0.13240904012582341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C26-4034-8D2E-74023BFCA274}"/>
            </c:ext>
          </c:extLst>
        </c:ser>
        <c:ser>
          <c:idx val="4"/>
          <c:order val="4"/>
          <c:tx>
            <c:strRef>
              <c:f>HACIENDA!$E$47</c:f>
              <c:strCache>
                <c:ptCount val="1"/>
                <c:pt idx="0">
                  <c:v>Cofinanciación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HACIENDA!$F$42:$K$42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HACIENDA!$F$47:$K$47</c:f>
              <c:numCache>
                <c:formatCode>#,##0</c:formatCode>
                <c:ptCount val="6"/>
                <c:pt idx="0">
                  <c:v>290374603</c:v>
                </c:pt>
                <c:pt idx="1">
                  <c:v>246815867</c:v>
                </c:pt>
                <c:pt idx="2">
                  <c:v>246815867</c:v>
                </c:pt>
                <c:pt idx="3">
                  <c:v>223977367</c:v>
                </c:pt>
                <c:pt idx="4">
                  <c:v>223977367</c:v>
                </c:pt>
                <c:pt idx="5">
                  <c:v>43558736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C26-4034-8D2E-74023BFCA274}"/>
            </c:ext>
          </c:extLst>
        </c:ser>
        <c:ser>
          <c:idx val="5"/>
          <c:order val="5"/>
          <c:tx>
            <c:strRef>
              <c:f>HACIENDA!$E$48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HACIENDA!$F$42:$K$42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HACIENDA!$F$48:$K$48</c:f>
              <c:numCache>
                <c:formatCode>0%</c:formatCode>
                <c:ptCount val="6"/>
                <c:pt idx="0">
                  <c:v>1</c:v>
                </c:pt>
                <c:pt idx="1">
                  <c:v>1544980.6850000001</c:v>
                </c:pt>
                <c:pt idx="2">
                  <c:v>0.72274569405911682</c:v>
                </c:pt>
                <c:pt idx="3">
                  <c:v>1473204.0249999999</c:v>
                </c:pt>
                <c:pt idx="4">
                  <c:v>0.68916839924073836</c:v>
                </c:pt>
                <c:pt idx="5">
                  <c:v>492281.31199999998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26-4034-8D2E-74023BFCA274}"/>
            </c:ext>
          </c:extLst>
        </c:ser>
        <c:ser>
          <c:idx val="6"/>
          <c:order val="6"/>
          <c:tx>
            <c:strRef>
              <c:f>HACIENDA!$E$49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HACIENDA!$F$42:$K$42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HACIENDA!$F$49:$K$49</c:f>
              <c:numCache>
                <c:formatCode>#,##0</c:formatCode>
                <c:ptCount val="6"/>
                <c:pt idx="0">
                  <c:v>2230734367</c:v>
                </c:pt>
                <c:pt idx="1">
                  <c:v>2025030046</c:v>
                </c:pt>
                <c:pt idx="2">
                  <c:v>2025030046</c:v>
                </c:pt>
                <c:pt idx="3">
                  <c:v>1877567416</c:v>
                </c:pt>
                <c:pt idx="4">
                  <c:v>1877567416</c:v>
                </c:pt>
                <c:pt idx="5">
                  <c:v>205704321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C26-4034-8D2E-74023BFCA274}"/>
            </c:ext>
          </c:extLst>
        </c:ser>
        <c:ser>
          <c:idx val="7"/>
          <c:order val="7"/>
          <c:tx>
            <c:strRef>
              <c:f>HACIENDA!$E$50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HACIENDA!$F$42:$K$42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HACIENDA!$F$50:$K$50</c:f>
              <c:numCache>
                <c:formatCode>0%</c:formatCode>
                <c:ptCount val="6"/>
                <c:pt idx="0">
                  <c:v>1</c:v>
                </c:pt>
                <c:pt idx="1">
                  <c:v>0.90778627700229442</c:v>
                </c:pt>
                <c:pt idx="2">
                  <c:v>0.90778627700229442</c:v>
                </c:pt>
                <c:pt idx="3">
                  <c:v>0.92718002861672111</c:v>
                </c:pt>
                <c:pt idx="4">
                  <c:v>0.92718002861672111</c:v>
                </c:pt>
                <c:pt idx="5">
                  <c:v>9.2213722997705541E-2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C26-4034-8D2E-74023BFCA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8781232"/>
        <c:axId val="250008560"/>
      </c:barChart>
      <c:catAx>
        <c:axId val="248781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Inversión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008560"/>
        <c:crosses val="autoZero"/>
        <c:auto val="1"/>
        <c:lblAlgn val="ctr"/>
        <c:lblOffset val="100"/>
        <c:noMultiLvlLbl val="0"/>
      </c:catAx>
      <c:valAx>
        <c:axId val="25000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Gastos</a:t>
                </a:r>
                <a:r>
                  <a:rPr lang="es-CO" baseline="0"/>
                  <a:t> de Inversión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8781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00"/>
              <a:t>Secretaría</a:t>
            </a:r>
            <a:r>
              <a:rPr lang="es-CO" sz="1000" baseline="0"/>
              <a:t> de Hacienda</a:t>
            </a:r>
          </a:p>
          <a:p>
            <a:pPr>
              <a:defRPr sz="1000"/>
            </a:pPr>
            <a:r>
              <a:rPr lang="es-CO" sz="1000" baseline="0"/>
              <a:t>Comparativo Ejecuciones por mes</a:t>
            </a:r>
          </a:p>
          <a:p>
            <a:pPr>
              <a:defRPr sz="1000"/>
            </a:pPr>
            <a:r>
              <a:rPr lang="es-CO" sz="1000" baseline="0"/>
              <a:t>Vigencia 2017</a:t>
            </a:r>
          </a:p>
          <a:p>
            <a:pPr>
              <a:defRPr sz="1000"/>
            </a:pPr>
            <a:r>
              <a:rPr lang="es-CO" sz="1000"/>
              <a:t>(en miles de pesos)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HACIENDA!$E$28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(HACIENDA!$F$27:$J$27,HACIENDA!$M$27:$N$27)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(HACIENDA!$F$28:$J$28,HACIENDA!$M$28:$N$28)</c:f>
              <c:numCache>
                <c:formatCode>_(* #,##0_);_(* \(#,##0\);_(* "-"??_);_(@_)</c:formatCode>
                <c:ptCount val="7"/>
                <c:pt idx="0">
                  <c:v>1921200</c:v>
                </c:pt>
                <c:pt idx="1">
                  <c:v>441235.69199999998</c:v>
                </c:pt>
                <c:pt idx="2" formatCode="0%">
                  <c:v>0.22966671455340412</c:v>
                </c:pt>
                <c:pt idx="3">
                  <c:v>176766</c:v>
                </c:pt>
                <c:pt idx="4" formatCode="0%">
                  <c:v>9.2008119925046844E-2</c:v>
                </c:pt>
                <c:pt idx="5">
                  <c:v>1479964.308</c:v>
                </c:pt>
                <c:pt idx="6" formatCode="0%">
                  <c:v>0.77033328544659585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0F-4E74-826F-842BB3609E00}"/>
            </c:ext>
          </c:extLst>
        </c:ser>
        <c:ser>
          <c:idx val="1"/>
          <c:order val="1"/>
          <c:tx>
            <c:strRef>
              <c:f>HACIENDA!$E$29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(HACIENDA!$F$27:$J$27,HACIENDA!$M$27:$N$27)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(HACIENDA!$F$29:$J$29,HACIENDA!$M$29:$N$29)</c:f>
              <c:numCache>
                <c:formatCode>_(* #,##0_);_(* \(#,##0\);_(* "-"??_);_(@_)</c:formatCode>
                <c:ptCount val="7"/>
                <c:pt idx="0">
                  <c:v>2137654.6379999998</c:v>
                </c:pt>
                <c:pt idx="1">
                  <c:v>1263475.692</c:v>
                </c:pt>
                <c:pt idx="2" formatCode="0%">
                  <c:v>0.59105697877469776</c:v>
                </c:pt>
                <c:pt idx="3">
                  <c:v>650095.69200000004</c:v>
                </c:pt>
                <c:pt idx="4" formatCode="0%">
                  <c:v>0.3041163340623782</c:v>
                </c:pt>
                <c:pt idx="5">
                  <c:v>874178.94599999976</c:v>
                </c:pt>
                <c:pt idx="6" formatCode="0%">
                  <c:v>0.40894302122530229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0F-4E74-826F-842BB3609E00}"/>
            </c:ext>
          </c:extLst>
        </c:ser>
        <c:ser>
          <c:idx val="2"/>
          <c:order val="2"/>
          <c:tx>
            <c:strRef>
              <c:f>HACIENDA!$E$30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(HACIENDA!$F$27:$J$27,HACIENDA!$M$27:$N$27)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(HACIENDA!$F$30:$J$30,HACIENDA!$M$30:$N$30)</c:f>
              <c:numCache>
                <c:formatCode>_(* #,##0_);_(* \(#,##0\);_(* "-"??_);_(@_)</c:formatCode>
                <c:ptCount val="7"/>
                <c:pt idx="0">
                  <c:v>2137654.6379999998</c:v>
                </c:pt>
                <c:pt idx="1">
                  <c:v>1419224.0249999999</c:v>
                </c:pt>
                <c:pt idx="2" formatCode="0%">
                  <c:v>0.6639164249318743</c:v>
                </c:pt>
                <c:pt idx="3">
                  <c:v>1398944.0249999999</c:v>
                </c:pt>
                <c:pt idx="4" formatCode="0%">
                  <c:v>0.65442939197552452</c:v>
                </c:pt>
                <c:pt idx="5">
                  <c:v>718430.6129999999</c:v>
                </c:pt>
                <c:pt idx="6" formatCode="0%">
                  <c:v>0.33608357506812564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90F-4E74-826F-842BB3609E00}"/>
            </c:ext>
          </c:extLst>
        </c:ser>
        <c:ser>
          <c:idx val="3"/>
          <c:order val="3"/>
          <c:tx>
            <c:strRef>
              <c:f>HACIENDA!$E$31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(HACIENDA!$F$27:$J$27,HACIENDA!$M$27:$N$27)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(HACIENDA!$F$31:$J$31,HACIENDA!$M$31:$N$31)</c:f>
              <c:numCache>
                <c:formatCode>_(* #,##0_);_(* \(#,##0\);_(* "-"??_);_(@_)</c:formatCode>
                <c:ptCount val="7"/>
                <c:pt idx="0">
                  <c:v>2137654.6379999998</c:v>
                </c:pt>
                <c:pt idx="1">
                  <c:v>1459064.0249999999</c:v>
                </c:pt>
                <c:pt idx="2" formatCode="0%">
                  <c:v>0.68255367310647874</c:v>
                </c:pt>
                <c:pt idx="3">
                  <c:v>1360884.0249999999</c:v>
                </c:pt>
                <c:pt idx="4" formatCode="0%">
                  <c:v>0.6366248320978779</c:v>
                </c:pt>
                <c:pt idx="5">
                  <c:v>678590.6129999999</c:v>
                </c:pt>
                <c:pt idx="6" formatCode="0%">
                  <c:v>0.31744632689352131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90F-4E74-826F-842BB3609E00}"/>
            </c:ext>
          </c:extLst>
        </c:ser>
        <c:ser>
          <c:idx val="4"/>
          <c:order val="4"/>
          <c:tx>
            <c:strRef>
              <c:f>HACIENDA!$E$32</c:f>
              <c:strCache>
                <c:ptCount val="1"/>
                <c:pt idx="0">
                  <c:v>MAY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(HACIENDA!$F$27:$J$27,HACIENDA!$M$27:$N$27)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(HACIENDA!$F$32:$J$32,HACIENDA!$M$32:$N$32)</c:f>
              <c:numCache>
                <c:formatCode>_(* #,##0_);_(* \(#,##0\);_(* "-"??_);_(@_)</c:formatCode>
                <c:ptCount val="7"/>
                <c:pt idx="0">
                  <c:v>2137654.6379999998</c:v>
                </c:pt>
                <c:pt idx="1">
                  <c:v>1521404.0249999999</c:v>
                </c:pt>
                <c:pt idx="2" formatCode="0%">
                  <c:v>0.71171647559655993</c:v>
                </c:pt>
                <c:pt idx="3">
                  <c:v>1433204.0249999999</c:v>
                </c:pt>
                <c:pt idx="4" formatCode="0%">
                  <c:v>0.67045630267989065</c:v>
                </c:pt>
                <c:pt idx="5">
                  <c:v>616250.6129999999</c:v>
                </c:pt>
                <c:pt idx="6" formatCode="0%">
                  <c:v>0.28828352440344013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90F-4E74-826F-842BB3609E00}"/>
            </c:ext>
          </c:extLst>
        </c:ser>
        <c:ser>
          <c:idx val="5"/>
          <c:order val="5"/>
          <c:tx>
            <c:strRef>
              <c:f>HACIENDA!$E$33</c:f>
              <c:strCache>
                <c:ptCount val="1"/>
                <c:pt idx="0">
                  <c:v>JUN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(HACIENDA!$F$27:$J$27,HACIENDA!$M$27:$N$27)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(HACIENDA!$F$33:$J$33,HACIENDA!$M$33:$N$33)</c:f>
              <c:numCache>
                <c:formatCode>_(* #,##0_);_(* \(#,##0\);_(* "-"??_);_(@_)</c:formatCode>
                <c:ptCount val="7"/>
                <c:pt idx="0">
                  <c:v>2137654.6379999998</c:v>
                </c:pt>
                <c:pt idx="1">
                  <c:v>1544980.6850000001</c:v>
                </c:pt>
                <c:pt idx="2" formatCode="0%">
                  <c:v>0.72274569405911682</c:v>
                </c:pt>
                <c:pt idx="3">
                  <c:v>1473204.0249999999</c:v>
                </c:pt>
                <c:pt idx="4" formatCode="0%">
                  <c:v>0.68916839924073836</c:v>
                </c:pt>
                <c:pt idx="5">
                  <c:v>592673.95299999975</c:v>
                </c:pt>
                <c:pt idx="6" formatCode="0%">
                  <c:v>0.27725430594088313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90F-4E74-826F-842BB3609E00}"/>
            </c:ext>
          </c:extLst>
        </c:ser>
        <c:ser>
          <c:idx val="6"/>
          <c:order val="6"/>
          <c:tx>
            <c:strRef>
              <c:f>HACIENDA!$E$34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(HACIENDA!$F$27:$J$27,HACIENDA!$M$27:$N$27)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(HACIENDA!$F$34:$J$34,HACIENDA!$M$34:$N$34)</c:f>
              <c:numCache>
                <c:formatCode>_(* #,##0_);_(* \(#,##0\);_(* "-"??_);_(@_)</c:formatCode>
                <c:ptCount val="7"/>
                <c:pt idx="0">
                  <c:v>2230734.3670000001</c:v>
                </c:pt>
                <c:pt idx="1">
                  <c:v>1713382.952</c:v>
                </c:pt>
                <c:pt idx="2" formatCode="0%">
                  <c:v>0.76808022387006147</c:v>
                </c:pt>
                <c:pt idx="3">
                  <c:v>1573244.6850000001</c:v>
                </c:pt>
                <c:pt idx="4" formatCode="0%">
                  <c:v>0.7052586396092404</c:v>
                </c:pt>
                <c:pt idx="5">
                  <c:v>517351.41499999998</c:v>
                </c:pt>
                <c:pt idx="6" formatCode="0%">
                  <c:v>0.23191977612993844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90F-4E74-826F-842BB3609E00}"/>
            </c:ext>
          </c:extLst>
        </c:ser>
        <c:ser>
          <c:idx val="7"/>
          <c:order val="7"/>
          <c:tx>
            <c:strRef>
              <c:f>HACIENDA!$E$35</c:f>
              <c:strCache>
                <c:ptCount val="1"/>
                <c:pt idx="0">
                  <c:v>AGO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(HACIENDA!$F$27:$J$27,HACIENDA!$M$27:$N$27)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(HACIENDA!$F$35:$J$35,HACIENDA!$M$35:$N$35)</c:f>
              <c:numCache>
                <c:formatCode>_(* #,##0_);_(* \(#,##0\);_(* "-"??_);_(@_)</c:formatCode>
                <c:ptCount val="7"/>
                <c:pt idx="0">
                  <c:v>2230734.3670000001</c:v>
                </c:pt>
                <c:pt idx="1">
                  <c:v>1901508.7709999999</c:v>
                </c:pt>
                <c:pt idx="2" formatCode="0%">
                  <c:v>0.85241380557436841</c:v>
                </c:pt>
                <c:pt idx="3">
                  <c:v>1818436.605</c:v>
                </c:pt>
                <c:pt idx="4" formatCode="0%">
                  <c:v>0.81517397674090697</c:v>
                </c:pt>
                <c:pt idx="5">
                  <c:v>329225.59600000002</c:v>
                </c:pt>
                <c:pt idx="6" formatCode="0%">
                  <c:v>0.14758619442563151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F7-4771-8FD1-D04A1274F925}"/>
            </c:ext>
          </c:extLst>
        </c:ser>
        <c:ser>
          <c:idx val="8"/>
          <c:order val="8"/>
          <c:tx>
            <c:strRef>
              <c:f>HACIENDA!$E$36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(HACIENDA!$F$27:$J$27,HACIENDA!$M$27:$N$27)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(HACIENDA!$F$36:$J$36,HACIENDA!$M$36:$N$36)</c:f>
              <c:numCache>
                <c:formatCode>_(* #,##0_);_(* \(#,##0\);_(* "-"??_);_(@_)</c:formatCode>
                <c:ptCount val="7"/>
                <c:pt idx="0">
                  <c:v>2230734.3670000001</c:v>
                </c:pt>
                <c:pt idx="1">
                  <c:v>1907575.4369999999</c:v>
                </c:pt>
                <c:pt idx="2" formatCode="0%">
                  <c:v>0.85513338800863148</c:v>
                </c:pt>
                <c:pt idx="3">
                  <c:v>1843769.9369999999</c:v>
                </c:pt>
                <c:pt idx="4" formatCode="0%">
                  <c:v>0.8265304754683056</c:v>
                </c:pt>
                <c:pt idx="5">
                  <c:v>323158.93</c:v>
                </c:pt>
                <c:pt idx="6" formatCode="0%">
                  <c:v>0.14486661199136849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F7-4771-8FD1-D04A1274F925}"/>
            </c:ext>
          </c:extLst>
        </c:ser>
        <c:ser>
          <c:idx val="9"/>
          <c:order val="9"/>
          <c:tx>
            <c:strRef>
              <c:f>HACIENDA!$E$37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(HACIENDA!$F$27:$J$27,HACIENDA!$M$27:$N$27)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(HACIENDA!$F$37:$J$37,HACIENDA!$M$37:$N$37)</c:f>
              <c:numCache>
                <c:formatCode>_(* #,##0_);_(* \(#,##0\);_(* "-"??_);_(@_)</c:formatCode>
                <c:ptCount val="7"/>
                <c:pt idx="0">
                  <c:v>2230734.3670000001</c:v>
                </c:pt>
                <c:pt idx="1">
                  <c:v>2051270.223</c:v>
                </c:pt>
                <c:pt idx="2" formatCode="0%">
                  <c:v>0.91954929880721203</c:v>
                </c:pt>
                <c:pt idx="3">
                  <c:v>1918043</c:v>
                </c:pt>
                <c:pt idx="4" formatCode="0%">
                  <c:v>0.85982581717225137</c:v>
                </c:pt>
                <c:pt idx="5">
                  <c:v>179464.144</c:v>
                </c:pt>
                <c:pt idx="6" formatCode="0%">
                  <c:v>8.0450701192787966E-2</c:v>
                </c:pt>
              </c:numCache>
            </c:numRef>
          </c:val>
        </c:ser>
        <c:ser>
          <c:idx val="10"/>
          <c:order val="10"/>
          <c:tx>
            <c:strRef>
              <c:f>HACIENDA!$E$38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(HACIENDA!$F$27:$J$27,HACIENDA!$M$27:$N$27)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(HACIENDA!$F$38:$J$38,HACIENDA!$M$38:$N$38)</c:f>
              <c:numCache>
                <c:formatCode>_(* #,##0_);_(* \(#,##0\);_(* "-"??_);_(@_)</c:formatCode>
                <c:ptCount val="7"/>
                <c:pt idx="0">
                  <c:v>2230734.3670000001</c:v>
                </c:pt>
                <c:pt idx="1">
                  <c:v>2055022.223</c:v>
                </c:pt>
                <c:pt idx="2" formatCode="0%">
                  <c:v>0.92123125612830969</c:v>
                </c:pt>
                <c:pt idx="3">
                  <c:v>1920189</c:v>
                </c:pt>
                <c:pt idx="4" formatCode="0%">
                  <c:v>0.86078783220718624</c:v>
                </c:pt>
                <c:pt idx="5">
                  <c:v>175712.144</c:v>
                </c:pt>
                <c:pt idx="6" formatCode="0%">
                  <c:v>7.8768743871690208E-2</c:v>
                </c:pt>
              </c:numCache>
            </c:numRef>
          </c:val>
        </c:ser>
        <c:ser>
          <c:idx val="11"/>
          <c:order val="11"/>
          <c:tx>
            <c:strRef>
              <c:f>HACIENDA!$E$39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(HACIENDA!$F$27:$J$27,HACIENDA!$M$27:$N$27)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(HACIENDA!$F$39:$J$39,HACIENDA!$M$39:$N$39)</c:f>
              <c:numCache>
                <c:formatCode>_(* #,##0_);_(* \(#,##0\);_(* "-"??_);_(@_)</c:formatCode>
                <c:ptCount val="7"/>
                <c:pt idx="0">
                  <c:v>2230734.3670000001</c:v>
                </c:pt>
                <c:pt idx="1">
                  <c:v>2025030.0460000001</c:v>
                </c:pt>
                <c:pt idx="2" formatCode="0%">
                  <c:v>0.90778627700229442</c:v>
                </c:pt>
                <c:pt idx="3">
                  <c:v>2025030.0460000001</c:v>
                </c:pt>
                <c:pt idx="4" formatCode="0%">
                  <c:v>0.90778627700229442</c:v>
                </c:pt>
                <c:pt idx="5">
                  <c:v>205704.321</c:v>
                </c:pt>
                <c:pt idx="6" formatCode="0%">
                  <c:v>9.2213722997705527E-2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009736"/>
        <c:axId val="250010128"/>
        <c:axId val="0"/>
      </c:bar3DChart>
      <c:catAx>
        <c:axId val="25000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Ejecucion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010128"/>
        <c:crosses val="autoZero"/>
        <c:auto val="1"/>
        <c:lblAlgn val="ctr"/>
        <c:lblOffset val="100"/>
        <c:noMultiLvlLbl val="0"/>
      </c:catAx>
      <c:valAx>
        <c:axId val="25001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Gastos</a:t>
                </a:r>
                <a:r>
                  <a:rPr lang="es-CO" baseline="0"/>
                  <a:t> de Inversión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009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00"/>
              <a:t>Secretaría</a:t>
            </a:r>
            <a:r>
              <a:rPr lang="es-CO" sz="1000" baseline="0"/>
              <a:t> Hacienda </a:t>
            </a:r>
          </a:p>
          <a:p>
            <a:pPr>
              <a:defRPr sz="1000"/>
            </a:pPr>
            <a:r>
              <a:rPr lang="es-CO" sz="1000"/>
              <a:t>Estado</a:t>
            </a:r>
            <a:r>
              <a:rPr lang="es-CO" sz="1000" baseline="0"/>
              <a:t> de recursos comprometido de la vigencia y recursos del Balance </a:t>
            </a:r>
          </a:p>
          <a:p>
            <a:pPr>
              <a:defRPr sz="1000"/>
            </a:pPr>
            <a:r>
              <a:rPr lang="es-CO" sz="1000" baseline="0"/>
              <a:t>a diciembre 31  de 2017</a:t>
            </a:r>
            <a:endParaRPr lang="es-CO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HACIENDA!$D$84</c:f>
              <c:strCache>
                <c:ptCount val="1"/>
                <c:pt idx="0">
                  <c:v>Vigencia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HACIENDA!$E$83:$M$83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HACIENDA!$E$84:$M$84</c:f>
              <c:numCache>
                <c:formatCode>#,##0</c:formatCode>
                <c:ptCount val="9"/>
                <c:pt idx="0">
                  <c:v>2009605166</c:v>
                </c:pt>
                <c:pt idx="1">
                  <c:v>1866650612</c:v>
                </c:pt>
                <c:pt idx="2" formatCode="0%">
                  <c:v>0.9288643578257999</c:v>
                </c:pt>
                <c:pt idx="3">
                  <c:v>1866650612</c:v>
                </c:pt>
                <c:pt idx="4" formatCode="0%">
                  <c:v>1</c:v>
                </c:pt>
                <c:pt idx="5">
                  <c:v>0</c:v>
                </c:pt>
                <c:pt idx="6" formatCode="0%">
                  <c:v>0</c:v>
                </c:pt>
                <c:pt idx="7">
                  <c:v>142954554</c:v>
                </c:pt>
                <c:pt idx="8" formatCode="0%">
                  <c:v>7.1135642174200098E-2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73-4B51-8426-E06654A341CB}"/>
            </c:ext>
          </c:extLst>
        </c:ser>
        <c:ser>
          <c:idx val="1"/>
          <c:order val="1"/>
          <c:tx>
            <c:strRef>
              <c:f>HACIENDA!$D$85</c:f>
              <c:strCache>
                <c:ptCount val="1"/>
                <c:pt idx="0">
                  <c:v>Superavit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HACIENDA!$E$83:$M$83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HACIENDA!$E$85:$M$85</c:f>
              <c:numCache>
                <c:formatCode>#,##0</c:formatCode>
                <c:ptCount val="9"/>
                <c:pt idx="0">
                  <c:v>221129201</c:v>
                </c:pt>
                <c:pt idx="1">
                  <c:v>158379434</c:v>
                </c:pt>
                <c:pt idx="2" formatCode="0%">
                  <c:v>0.71623030013118893</c:v>
                </c:pt>
                <c:pt idx="3">
                  <c:v>123046913</c:v>
                </c:pt>
                <c:pt idx="4" formatCode="0%">
                  <c:v>0.77691219050574456</c:v>
                </c:pt>
                <c:pt idx="5">
                  <c:v>35332521</c:v>
                </c:pt>
                <c:pt idx="6" formatCode="0%">
                  <c:v>0.22308780949425541</c:v>
                </c:pt>
                <c:pt idx="7">
                  <c:v>62749767</c:v>
                </c:pt>
                <c:pt idx="8" formatCode="0%">
                  <c:v>0.28376969986881107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73-4B51-8426-E06654A341CB}"/>
            </c:ext>
          </c:extLst>
        </c:ser>
        <c:ser>
          <c:idx val="2"/>
          <c:order val="2"/>
          <c:tx>
            <c:strRef>
              <c:f>HACIENDA!$D$86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HACIENDA!$E$83:$M$83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HACIENDA!$E$86:$M$86</c:f>
              <c:numCache>
                <c:formatCode>_(* #,##0_);_(* \(#,##0\);_(* "-"??_);_(@_)</c:formatCode>
                <c:ptCount val="9"/>
                <c:pt idx="0">
                  <c:v>2230734367</c:v>
                </c:pt>
                <c:pt idx="1">
                  <c:v>2025030046</c:v>
                </c:pt>
                <c:pt idx="2" formatCode="0%">
                  <c:v>0.90778627700229442</c:v>
                </c:pt>
                <c:pt idx="3">
                  <c:v>1989697525</c:v>
                </c:pt>
                <c:pt idx="4" formatCode="0%">
                  <c:v>0.98255210036523077</c:v>
                </c:pt>
                <c:pt idx="5">
                  <c:v>35332521</c:v>
                </c:pt>
                <c:pt idx="6" formatCode="0%">
                  <c:v>1.7447899634769171E-2</c:v>
                </c:pt>
                <c:pt idx="7">
                  <c:v>205704321</c:v>
                </c:pt>
                <c:pt idx="8" formatCode="0%">
                  <c:v>9.2213722997705541E-2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73-4B51-8426-E06654A34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011304"/>
        <c:axId val="250011696"/>
        <c:axId val="0"/>
      </c:bar3DChart>
      <c:catAx>
        <c:axId val="250011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Ejecución por tipo de recurso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011696"/>
        <c:crosses val="autoZero"/>
        <c:auto val="1"/>
        <c:lblAlgn val="ctr"/>
        <c:lblOffset val="100"/>
        <c:noMultiLvlLbl val="0"/>
      </c:catAx>
      <c:valAx>
        <c:axId val="25001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Recursos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011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rgbClr val="FF0000"/>
                </a:solidFill>
              </a:rPr>
              <a:t>Estado de Ejecución </a:t>
            </a:r>
          </a:p>
          <a:p>
            <a:pPr>
              <a:defRPr sz="1050" b="1">
                <a:solidFill>
                  <a:srgbClr val="FF0000"/>
                </a:solidFill>
              </a:defRPr>
            </a:pPr>
            <a:r>
              <a:rPr lang="en-US" sz="1050" b="1">
                <a:solidFill>
                  <a:srgbClr val="FF0000"/>
                </a:solidFill>
              </a:rPr>
              <a:t>Secretaría de Aguas e Infraestructura</a:t>
            </a:r>
          </a:p>
          <a:p>
            <a:pPr>
              <a:defRPr sz="1050" b="1">
                <a:solidFill>
                  <a:srgbClr val="FF0000"/>
                </a:solidFill>
              </a:defRPr>
            </a:pPr>
            <a:r>
              <a:rPr lang="en-US" sz="1050" b="1">
                <a:solidFill>
                  <a:srgbClr val="FF0000"/>
                </a:solidFill>
              </a:rPr>
              <a:t>III Trimestre  </a:t>
            </a:r>
            <a:r>
              <a:rPr lang="en-US" sz="1050" b="1" baseline="0">
                <a:solidFill>
                  <a:srgbClr val="FF0000"/>
                </a:solidFill>
              </a:rPr>
              <a:t>de 2017</a:t>
            </a:r>
            <a:endParaRPr lang="en-US" sz="1050" b="1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INFRAESTRUCTURA!$F$54</c:f>
              <c:strCache>
                <c:ptCount val="1"/>
                <c:pt idx="0">
                  <c:v>APROPIACIÓN DEFINITIVA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INFRAESTRUCTURA!$E$55:$E$68</c:f>
              <c:strCache>
                <c:ptCount val="14"/>
                <c:pt idx="0">
                  <c:v>Estampilla Prodesarrollo</c:v>
                </c:pt>
                <c:pt idx="1">
                  <c:v>Porcentaje</c:v>
                </c:pt>
                <c:pt idx="2">
                  <c:v>SGP AP y SB</c:v>
                </c:pt>
                <c:pt idx="3">
                  <c:v>Porcentaje</c:v>
                </c:pt>
                <c:pt idx="4">
                  <c:v>Sobretasa ACPM</c:v>
                </c:pt>
                <c:pt idx="5">
                  <c:v>Porcentaje</c:v>
                </c:pt>
                <c:pt idx="6">
                  <c:v>Recursos Ordinarios</c:v>
                </c:pt>
                <c:pt idx="7">
                  <c:v>Porcentaje</c:v>
                </c:pt>
                <c:pt idx="8">
                  <c:v>Superavit CAE La Primavera</c:v>
                </c:pt>
                <c:pt idx="9">
                  <c:v>Porcentaje</c:v>
                </c:pt>
                <c:pt idx="10">
                  <c:v>Cofinanciacion Nacion</c:v>
                </c:pt>
                <c:pt idx="11">
                  <c:v>Porcentaje</c:v>
                </c:pt>
                <c:pt idx="12">
                  <c:v>Total</c:v>
                </c:pt>
                <c:pt idx="13">
                  <c:v>Porcentaje</c:v>
                </c:pt>
              </c:strCache>
            </c:strRef>
          </c:cat>
          <c:val>
            <c:numRef>
              <c:f>INFRAESTRUCTURA!$F$55:$F$68</c:f>
              <c:numCache>
                <c:formatCode>0%</c:formatCode>
                <c:ptCount val="14"/>
                <c:pt idx="0" formatCode="_(* #,##0_);_(* \(#,##0\);_(* &quot;-&quot;??_);_(@_)">
                  <c:v>9884120547.2099991</c:v>
                </c:pt>
                <c:pt idx="1">
                  <c:v>1</c:v>
                </c:pt>
                <c:pt idx="2" formatCode="_(* #,##0_);_(* \(#,##0\);_(* &quot;-&quot;??_);_(@_)">
                  <c:v>2432800182</c:v>
                </c:pt>
                <c:pt idx="3">
                  <c:v>1</c:v>
                </c:pt>
                <c:pt idx="4" formatCode="_(* #,##0_);_(* \(#,##0\);_(* &quot;-&quot;??_);_(@_)">
                  <c:v>636637204.07000005</c:v>
                </c:pt>
                <c:pt idx="5">
                  <c:v>1</c:v>
                </c:pt>
                <c:pt idx="6" formatCode="_(* #,##0_);_(* \(#,##0\);_(* &quot;-&quot;??_);_(@_)">
                  <c:v>1538701078</c:v>
                </c:pt>
                <c:pt idx="7">
                  <c:v>1</c:v>
                </c:pt>
                <c:pt idx="8" formatCode="_(* #,##0_);_(* \(#,##0\);_(* &quot;-&quot;??_);_(@_)">
                  <c:v>128000000</c:v>
                </c:pt>
                <c:pt idx="9">
                  <c:v>1</c:v>
                </c:pt>
                <c:pt idx="10" formatCode="_(* #,##0_);_(* \(#,##0\);_(* &quot;-&quot;??_);_(@_)">
                  <c:v>56061566</c:v>
                </c:pt>
                <c:pt idx="11">
                  <c:v>1</c:v>
                </c:pt>
                <c:pt idx="12" formatCode="_(* #,##0_);_(* \(#,##0\);_(* &quot;-&quot;??_);_(@_)">
                  <c:v>14676320577.279999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8-466C-A2F8-3F7C5BF30347}"/>
            </c:ext>
          </c:extLst>
        </c:ser>
        <c:ser>
          <c:idx val="1"/>
          <c:order val="1"/>
          <c:tx>
            <c:strRef>
              <c:f>INFRAESTRUCTURA!$G$54</c:f>
              <c:strCache>
                <c:ptCount val="1"/>
                <c:pt idx="0">
                  <c:v>CERTIFICADOS DE DISPONIBILIDAD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INFRAESTRUCTURA!$E$55:$E$68</c:f>
              <c:strCache>
                <c:ptCount val="14"/>
                <c:pt idx="0">
                  <c:v>Estampilla Prodesarrollo</c:v>
                </c:pt>
                <c:pt idx="1">
                  <c:v>Porcentaje</c:v>
                </c:pt>
                <c:pt idx="2">
                  <c:v>SGP AP y SB</c:v>
                </c:pt>
                <c:pt idx="3">
                  <c:v>Porcentaje</c:v>
                </c:pt>
                <c:pt idx="4">
                  <c:v>Sobretasa ACPM</c:v>
                </c:pt>
                <c:pt idx="5">
                  <c:v>Porcentaje</c:v>
                </c:pt>
                <c:pt idx="6">
                  <c:v>Recursos Ordinarios</c:v>
                </c:pt>
                <c:pt idx="7">
                  <c:v>Porcentaje</c:v>
                </c:pt>
                <c:pt idx="8">
                  <c:v>Superavit CAE La Primavera</c:v>
                </c:pt>
                <c:pt idx="9">
                  <c:v>Porcentaje</c:v>
                </c:pt>
                <c:pt idx="10">
                  <c:v>Cofinanciacion Nacion</c:v>
                </c:pt>
                <c:pt idx="11">
                  <c:v>Porcentaje</c:v>
                </c:pt>
                <c:pt idx="12">
                  <c:v>Total</c:v>
                </c:pt>
                <c:pt idx="13">
                  <c:v>Porcentaje</c:v>
                </c:pt>
              </c:strCache>
            </c:strRef>
          </c:cat>
          <c:val>
            <c:numRef>
              <c:f>INFRAESTRUCTURA!$G$55:$G$68</c:f>
              <c:numCache>
                <c:formatCode>0%</c:formatCode>
                <c:ptCount val="14"/>
                <c:pt idx="0" formatCode="_(* #,##0_);_(* \(#,##0\);_(* &quot;-&quot;??_);_(@_)">
                  <c:v>6148925621.79</c:v>
                </c:pt>
                <c:pt idx="1">
                  <c:v>0.62210143961929554</c:v>
                </c:pt>
                <c:pt idx="2" formatCode="_(* #,##0_);_(* \(#,##0\);_(* &quot;-&quot;??_);_(@_)">
                  <c:v>2427064367</c:v>
                </c:pt>
                <c:pt idx="3">
                  <c:v>0.99764229917342218</c:v>
                </c:pt>
                <c:pt idx="4" formatCode="_(* #,##0_);_(* \(#,##0\);_(* &quot;-&quot;??_);_(@_)">
                  <c:v>534121651.06999999</c:v>
                </c:pt>
                <c:pt idx="5">
                  <c:v>0.83897335508414905</c:v>
                </c:pt>
                <c:pt idx="6" formatCode="_(* #,##0_);_(* \(#,##0\);_(* &quot;-&quot;??_);_(@_)">
                  <c:v>1203756160.45</c:v>
                </c:pt>
                <c:pt idx="7">
                  <c:v>0.78231969656812061</c:v>
                </c:pt>
                <c:pt idx="8" formatCode="_(* #,##0_);_(* \(#,##0\);_(* &quot;-&quot;??_);_(@_)">
                  <c:v>127997027</c:v>
                </c:pt>
                <c:pt idx="9">
                  <c:v>0.78231969656812061</c:v>
                </c:pt>
                <c:pt idx="10" formatCode="_(* #,##0_);_(* \(#,##0\);_(* &quot;-&quot;??_);_(@_)">
                  <c:v>56061566</c:v>
                </c:pt>
                <c:pt idx="11">
                  <c:v>0.99997677343750002</c:v>
                </c:pt>
                <c:pt idx="12" formatCode="_(* #,##0_);_(* \(#,##0\);_(* &quot;-&quot;??_);_(@_)">
                  <c:v>10497926393.309999</c:v>
                </c:pt>
                <c:pt idx="13">
                  <c:v>0.71529688507632805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78-466C-A2F8-3F7C5BF30347}"/>
            </c:ext>
          </c:extLst>
        </c:ser>
        <c:ser>
          <c:idx val="2"/>
          <c:order val="2"/>
          <c:tx>
            <c:strRef>
              <c:f>INFRAESTRUCTURA!$H$54</c:f>
              <c:strCache>
                <c:ptCount val="1"/>
                <c:pt idx="0">
                  <c:v>COMPROMISOS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INFRAESTRUCTURA!$E$55:$E$68</c:f>
              <c:strCache>
                <c:ptCount val="14"/>
                <c:pt idx="0">
                  <c:v>Estampilla Prodesarrollo</c:v>
                </c:pt>
                <c:pt idx="1">
                  <c:v>Porcentaje</c:v>
                </c:pt>
                <c:pt idx="2">
                  <c:v>SGP AP y SB</c:v>
                </c:pt>
                <c:pt idx="3">
                  <c:v>Porcentaje</c:v>
                </c:pt>
                <c:pt idx="4">
                  <c:v>Sobretasa ACPM</c:v>
                </c:pt>
                <c:pt idx="5">
                  <c:v>Porcentaje</c:v>
                </c:pt>
                <c:pt idx="6">
                  <c:v>Recursos Ordinarios</c:v>
                </c:pt>
                <c:pt idx="7">
                  <c:v>Porcentaje</c:v>
                </c:pt>
                <c:pt idx="8">
                  <c:v>Superavit CAE La Primavera</c:v>
                </c:pt>
                <c:pt idx="9">
                  <c:v>Porcentaje</c:v>
                </c:pt>
                <c:pt idx="10">
                  <c:v>Cofinanciacion Nacion</c:v>
                </c:pt>
                <c:pt idx="11">
                  <c:v>Porcentaje</c:v>
                </c:pt>
                <c:pt idx="12">
                  <c:v>Total</c:v>
                </c:pt>
                <c:pt idx="13">
                  <c:v>Porcentaje</c:v>
                </c:pt>
              </c:strCache>
            </c:strRef>
          </c:cat>
          <c:val>
            <c:numRef>
              <c:f>INFRAESTRUCTURA!$H$55:$H$68</c:f>
              <c:numCache>
                <c:formatCode>0%</c:formatCode>
                <c:ptCount val="14"/>
                <c:pt idx="0" formatCode="_(* #,##0_);_(* \(#,##0\);_(* &quot;-&quot;??_);_(@_)">
                  <c:v>6148925621.79</c:v>
                </c:pt>
                <c:pt idx="1">
                  <c:v>0.62210143961929554</c:v>
                </c:pt>
                <c:pt idx="2" formatCode="_(* #,##0_);_(* \(#,##0\);_(* &quot;-&quot;??_);_(@_)">
                  <c:v>2427064367</c:v>
                </c:pt>
                <c:pt idx="3">
                  <c:v>0.99764229917342218</c:v>
                </c:pt>
                <c:pt idx="4" formatCode="_(* #,##0_);_(* \(#,##0\);_(* &quot;-&quot;??_);_(@_)">
                  <c:v>534121651.06999999</c:v>
                </c:pt>
                <c:pt idx="5">
                  <c:v>0.83897335508414905</c:v>
                </c:pt>
                <c:pt idx="6" formatCode="_(* #,##0_);_(* \(#,##0\);_(* &quot;-&quot;??_);_(@_)">
                  <c:v>1203756160.45</c:v>
                </c:pt>
                <c:pt idx="7">
                  <c:v>0.78231969656812061</c:v>
                </c:pt>
                <c:pt idx="8" formatCode="_(* #,##0_);_(* \(#,##0\);_(* &quot;-&quot;??_);_(@_)">
                  <c:v>127997027</c:v>
                </c:pt>
                <c:pt idx="9">
                  <c:v>0.78231969656812061</c:v>
                </c:pt>
                <c:pt idx="10" formatCode="_(* #,##0_);_(* \(#,##0\);_(* &quot;-&quot;??_);_(@_)">
                  <c:v>56061566</c:v>
                </c:pt>
                <c:pt idx="11">
                  <c:v>0.99997677343750002</c:v>
                </c:pt>
                <c:pt idx="12" formatCode="_(* #,##0_);_(* \(#,##0\);_(* &quot;-&quot;??_);_(@_)">
                  <c:v>10497926393.309999</c:v>
                </c:pt>
                <c:pt idx="13">
                  <c:v>0.71529688507632805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78-466C-A2F8-3F7C5BF30347}"/>
            </c:ext>
          </c:extLst>
        </c:ser>
        <c:ser>
          <c:idx val="3"/>
          <c:order val="3"/>
          <c:tx>
            <c:strRef>
              <c:f>INFRAESTRUCTURA!$I$54</c:f>
              <c:strCache>
                <c:ptCount val="1"/>
                <c:pt idx="0">
                  <c:v>OBLIGACIONES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INFRAESTRUCTURA!$E$55:$E$68</c:f>
              <c:strCache>
                <c:ptCount val="14"/>
                <c:pt idx="0">
                  <c:v>Estampilla Prodesarrollo</c:v>
                </c:pt>
                <c:pt idx="1">
                  <c:v>Porcentaje</c:v>
                </c:pt>
                <c:pt idx="2">
                  <c:v>SGP AP y SB</c:v>
                </c:pt>
                <c:pt idx="3">
                  <c:v>Porcentaje</c:v>
                </c:pt>
                <c:pt idx="4">
                  <c:v>Sobretasa ACPM</c:v>
                </c:pt>
                <c:pt idx="5">
                  <c:v>Porcentaje</c:v>
                </c:pt>
                <c:pt idx="6">
                  <c:v>Recursos Ordinarios</c:v>
                </c:pt>
                <c:pt idx="7">
                  <c:v>Porcentaje</c:v>
                </c:pt>
                <c:pt idx="8">
                  <c:v>Superavit CAE La Primavera</c:v>
                </c:pt>
                <c:pt idx="9">
                  <c:v>Porcentaje</c:v>
                </c:pt>
                <c:pt idx="10">
                  <c:v>Cofinanciacion Nacion</c:v>
                </c:pt>
                <c:pt idx="11">
                  <c:v>Porcentaje</c:v>
                </c:pt>
                <c:pt idx="12">
                  <c:v>Total</c:v>
                </c:pt>
                <c:pt idx="13">
                  <c:v>Porcentaje</c:v>
                </c:pt>
              </c:strCache>
            </c:strRef>
          </c:cat>
          <c:val>
            <c:numRef>
              <c:f>INFRAESTRUCTURA!$I$55:$I$68</c:f>
              <c:numCache>
                <c:formatCode>0%</c:formatCode>
                <c:ptCount val="14"/>
                <c:pt idx="0" formatCode="_(* #,##0_);_(* \(#,##0\);_(* &quot;-&quot;??_);_(@_)">
                  <c:v>5158531855.9899998</c:v>
                </c:pt>
                <c:pt idx="1">
                  <c:v>0.83893222544596513</c:v>
                </c:pt>
                <c:pt idx="2" formatCode="_(* #,##0_);_(* \(#,##0\);_(* &quot;-&quot;??_);_(@_)">
                  <c:v>2427064367</c:v>
                </c:pt>
                <c:pt idx="3">
                  <c:v>0</c:v>
                </c:pt>
                <c:pt idx="4" formatCode="_(* #,##0_);_(* \(#,##0\);_(* &quot;-&quot;??_);_(@_)">
                  <c:v>376661651.06999999</c:v>
                </c:pt>
                <c:pt idx="5">
                  <c:v>0.70519824522267138</c:v>
                </c:pt>
                <c:pt idx="6" formatCode="_(* #,##0_);_(* \(#,##0\);_(* &quot;-&quot;??_);_(@_)">
                  <c:v>1184463671.45</c:v>
                </c:pt>
                <c:pt idx="7">
                  <c:v>0.98397309219768569</c:v>
                </c:pt>
                <c:pt idx="8" formatCode="_(* #,##0_);_(* \(#,##0\);_(* &quot;-&quot;??_);_(@_)">
                  <c:v>127997027</c:v>
                </c:pt>
                <c:pt idx="9">
                  <c:v>0</c:v>
                </c:pt>
                <c:pt idx="10" formatCode="_(* #,##0_);_(* \(#,##0\);_(* &quot;-&quot;??_);_(@_)">
                  <c:v>56061566</c:v>
                </c:pt>
                <c:pt idx="11">
                  <c:v>0</c:v>
                </c:pt>
                <c:pt idx="12" formatCode="_(* #,##0_);_(* \(#,##0\);_(* &quot;-&quot;??_);_(@_)">
                  <c:v>9330780138.5100002</c:v>
                </c:pt>
                <c:pt idx="13">
                  <c:v>0.88882125754436747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78-466C-A2F8-3F7C5BF30347}"/>
            </c:ext>
          </c:extLst>
        </c:ser>
        <c:ser>
          <c:idx val="4"/>
          <c:order val="4"/>
          <c:tx>
            <c:strRef>
              <c:f>INFRAESTRUCTURA!$J$54</c:f>
              <c:strCache>
                <c:ptCount val="1"/>
                <c:pt idx="0">
                  <c:v>PAGOS ACUMULADOS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INFRAESTRUCTURA!$E$55:$E$68</c:f>
              <c:strCache>
                <c:ptCount val="14"/>
                <c:pt idx="0">
                  <c:v>Estampilla Prodesarrollo</c:v>
                </c:pt>
                <c:pt idx="1">
                  <c:v>Porcentaje</c:v>
                </c:pt>
                <c:pt idx="2">
                  <c:v>SGP AP y SB</c:v>
                </c:pt>
                <c:pt idx="3">
                  <c:v>Porcentaje</c:v>
                </c:pt>
                <c:pt idx="4">
                  <c:v>Sobretasa ACPM</c:v>
                </c:pt>
                <c:pt idx="5">
                  <c:v>Porcentaje</c:v>
                </c:pt>
                <c:pt idx="6">
                  <c:v>Recursos Ordinarios</c:v>
                </c:pt>
                <c:pt idx="7">
                  <c:v>Porcentaje</c:v>
                </c:pt>
                <c:pt idx="8">
                  <c:v>Superavit CAE La Primavera</c:v>
                </c:pt>
                <c:pt idx="9">
                  <c:v>Porcentaje</c:v>
                </c:pt>
                <c:pt idx="10">
                  <c:v>Cofinanciacion Nacion</c:v>
                </c:pt>
                <c:pt idx="11">
                  <c:v>Porcentaje</c:v>
                </c:pt>
                <c:pt idx="12">
                  <c:v>Total</c:v>
                </c:pt>
                <c:pt idx="13">
                  <c:v>Porcentaje</c:v>
                </c:pt>
              </c:strCache>
            </c:strRef>
          </c:cat>
          <c:val>
            <c:numRef>
              <c:f>INFRAESTRUCTURA!$J$55:$J$68</c:f>
              <c:numCache>
                <c:formatCode>0%</c:formatCode>
                <c:ptCount val="14"/>
                <c:pt idx="0" formatCode="_(* #,##0_);_(* \(#,##0\);_(* &quot;-&quot;??_);_(@_)">
                  <c:v>5158531855.9899998</c:v>
                </c:pt>
                <c:pt idx="1">
                  <c:v>0.83893222544596513</c:v>
                </c:pt>
                <c:pt idx="2" formatCode="_(* #,##0_);_(* \(#,##0\);_(* &quot;-&quot;??_);_(@_)">
                  <c:v>2351386975</c:v>
                </c:pt>
                <c:pt idx="3">
                  <c:v>0</c:v>
                </c:pt>
                <c:pt idx="4" formatCode="_(* #,##0_);_(* \(#,##0\);_(* &quot;-&quot;??_);_(@_)">
                  <c:v>376661651.06999999</c:v>
                </c:pt>
                <c:pt idx="5">
                  <c:v>0.70519824522267138</c:v>
                </c:pt>
                <c:pt idx="6" formatCode="_(* #,##0_);_(* \(#,##0\);_(* &quot;-&quot;??_);_(@_)">
                  <c:v>1184463671.45</c:v>
                </c:pt>
                <c:pt idx="7">
                  <c:v>0.98397309219768569</c:v>
                </c:pt>
                <c:pt idx="8" formatCode="_(* #,##0_);_(* \(#,##0\);_(* &quot;-&quot;??_);_(@_)">
                  <c:v>127997027</c:v>
                </c:pt>
                <c:pt idx="9">
                  <c:v>0</c:v>
                </c:pt>
                <c:pt idx="10" formatCode="_(* #,##0_);_(* \(#,##0\);_(* &quot;-&quot;??_);_(@_)">
                  <c:v>56061566</c:v>
                </c:pt>
                <c:pt idx="11">
                  <c:v>0</c:v>
                </c:pt>
                <c:pt idx="12" formatCode="_(* #,##0_);_(* \(#,##0\);_(* &quot;-&quot;??_);_(@_)">
                  <c:v>9255102746.5100002</c:v>
                </c:pt>
                <c:pt idx="13">
                  <c:v>0.88161246323921527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78-466C-A2F8-3F7C5BF30347}"/>
            </c:ext>
          </c:extLst>
        </c:ser>
        <c:ser>
          <c:idx val="5"/>
          <c:order val="5"/>
          <c:tx>
            <c:strRef>
              <c:f>INFRAESTRUCTURA!$K$54</c:f>
              <c:strCache>
                <c:ptCount val="1"/>
                <c:pt idx="0">
                  <c:v>SALDO DISPONIBLE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INFRAESTRUCTURA!$E$55:$E$68</c:f>
              <c:strCache>
                <c:ptCount val="14"/>
                <c:pt idx="0">
                  <c:v>Estampilla Prodesarrollo</c:v>
                </c:pt>
                <c:pt idx="1">
                  <c:v>Porcentaje</c:v>
                </c:pt>
                <c:pt idx="2">
                  <c:v>SGP AP y SB</c:v>
                </c:pt>
                <c:pt idx="3">
                  <c:v>Porcentaje</c:v>
                </c:pt>
                <c:pt idx="4">
                  <c:v>Sobretasa ACPM</c:v>
                </c:pt>
                <c:pt idx="5">
                  <c:v>Porcentaje</c:v>
                </c:pt>
                <c:pt idx="6">
                  <c:v>Recursos Ordinarios</c:v>
                </c:pt>
                <c:pt idx="7">
                  <c:v>Porcentaje</c:v>
                </c:pt>
                <c:pt idx="8">
                  <c:v>Superavit CAE La Primavera</c:v>
                </c:pt>
                <c:pt idx="9">
                  <c:v>Porcentaje</c:v>
                </c:pt>
                <c:pt idx="10">
                  <c:v>Cofinanciacion Nacion</c:v>
                </c:pt>
                <c:pt idx="11">
                  <c:v>Porcentaje</c:v>
                </c:pt>
                <c:pt idx="12">
                  <c:v>Total</c:v>
                </c:pt>
                <c:pt idx="13">
                  <c:v>Porcentaje</c:v>
                </c:pt>
              </c:strCache>
            </c:strRef>
          </c:cat>
          <c:val>
            <c:numRef>
              <c:f>INFRAESTRUCTURA!$K$55:$K$68</c:f>
              <c:numCache>
                <c:formatCode>0%</c:formatCode>
                <c:ptCount val="14"/>
                <c:pt idx="0" formatCode="_(* #,##0_);_(* \(#,##0\);_(* &quot;-&quot;??_);_(@_)">
                  <c:v>3735194925.4200001</c:v>
                </c:pt>
                <c:pt idx="1">
                  <c:v>0.37789856038070452</c:v>
                </c:pt>
                <c:pt idx="2" formatCode="_(* #,##0_);_(* \(#,##0\);_(* &quot;-&quot;??_);_(@_)">
                  <c:v>5735815</c:v>
                </c:pt>
                <c:pt idx="3">
                  <c:v>2.3577008265777909E-3</c:v>
                </c:pt>
                <c:pt idx="4" formatCode="_(* #,##0_);_(* \(#,##0\);_(* &quot;-&quot;??_);_(@_)">
                  <c:v>102515553.00000006</c:v>
                </c:pt>
                <c:pt idx="5">
                  <c:v>0.16102664491585097</c:v>
                </c:pt>
                <c:pt idx="6" formatCode="_(* #,##0_);_(* \(#,##0\);_(* &quot;-&quot;??_);_(@_)">
                  <c:v>334944917.55000001</c:v>
                </c:pt>
                <c:pt idx="7">
                  <c:v>0.21768030343187944</c:v>
                </c:pt>
                <c:pt idx="8" formatCode="_(* #,##0_);_(* \(#,##0\);_(* &quot;-&quot;??_);_(@_)">
                  <c:v>2973</c:v>
                </c:pt>
                <c:pt idx="9">
                  <c:v>0.21768030343187944</c:v>
                </c:pt>
                <c:pt idx="10" formatCode="_(* #,##0_);_(* \(#,##0\);_(* &quot;-&quot;??_);_(@_)">
                  <c:v>0</c:v>
                </c:pt>
                <c:pt idx="11">
                  <c:v>2.32265625E-5</c:v>
                </c:pt>
                <c:pt idx="12" formatCode="_(* #,##0_);_(* \(#,##0\);_(* &quot;-&quot;??_);_(@_)">
                  <c:v>4178394183.9700003</c:v>
                </c:pt>
                <c:pt idx="13">
                  <c:v>0.28470311492367206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C78-466C-A2F8-3F7C5BF30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9039152"/>
        <c:axId val="249039544"/>
      </c:barChart>
      <c:catAx>
        <c:axId val="249039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Ejecución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9039544"/>
        <c:crosses val="autoZero"/>
        <c:auto val="1"/>
        <c:lblAlgn val="ctr"/>
        <c:lblOffset val="100"/>
        <c:noMultiLvlLbl val="0"/>
      </c:catAx>
      <c:valAx>
        <c:axId val="24903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Gastos</a:t>
                </a:r>
                <a:r>
                  <a:rPr lang="es-CO" baseline="0"/>
                  <a:t> de Inversión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90391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50"/>
              <a:t>Secretaría de Aguas e Infraestructura</a:t>
            </a:r>
          </a:p>
          <a:p>
            <a:pPr>
              <a:defRPr sz="1050"/>
            </a:pPr>
            <a:r>
              <a:rPr lang="es-CO" sz="1050"/>
              <a:t>Comparativo</a:t>
            </a:r>
            <a:r>
              <a:rPr lang="es-CO" sz="1050" baseline="0"/>
              <a:t> ejecución por mes</a:t>
            </a:r>
          </a:p>
          <a:p>
            <a:pPr>
              <a:defRPr sz="1050"/>
            </a:pPr>
            <a:r>
              <a:rPr lang="es-CO" sz="1050" baseline="0"/>
              <a:t>Vigencia 2017</a:t>
            </a:r>
          </a:p>
          <a:p>
            <a:pPr>
              <a:defRPr sz="1050"/>
            </a:pPr>
            <a:r>
              <a:rPr lang="es-CO" sz="1050" baseline="0"/>
              <a:t>(en miles de pesos)</a:t>
            </a:r>
            <a:endParaRPr lang="es-CO" sz="1050"/>
          </a:p>
        </c:rich>
      </c:tx>
      <c:layout>
        <c:manualLayout>
          <c:xMode val="edge"/>
          <c:yMode val="edge"/>
          <c:x val="0.316502356491715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INFRAESTRUCTURA!$E$41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(INFRAESTRUCTURA!$F$40:$J$40,INFRAESTRUCTURA!$M$40:$N$40)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(INFRAESTRUCTURA!$F$41:$J$41,INFRAESTRUCTURA!$M$41:$N$41)</c:f>
              <c:numCache>
                <c:formatCode>_(* #,##0_);_(* \(#,##0\);_(* "-"??_);_(@_)</c:formatCode>
                <c:ptCount val="7"/>
                <c:pt idx="0">
                  <c:v>10267506.145</c:v>
                </c:pt>
                <c:pt idx="1">
                  <c:v>540037.495</c:v>
                </c:pt>
                <c:pt idx="2" formatCode="0%">
                  <c:v>5.2596754009539483E-2</c:v>
                </c:pt>
                <c:pt idx="3">
                  <c:v>67220</c:v>
                </c:pt>
                <c:pt idx="4" formatCode="0%">
                  <c:v>6.546867277282745E-3</c:v>
                </c:pt>
                <c:pt idx="5">
                  <c:v>9727468.6500000004</c:v>
                </c:pt>
                <c:pt idx="6" formatCode="0%">
                  <c:v>0.94740324599046055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1A-493B-90F6-2ED070DBF59A}"/>
            </c:ext>
          </c:extLst>
        </c:ser>
        <c:ser>
          <c:idx val="1"/>
          <c:order val="1"/>
          <c:tx>
            <c:strRef>
              <c:f>INFRAESTRUCTURA!$E$42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(INFRAESTRUCTURA!$F$40:$J$40,INFRAESTRUCTURA!$M$40:$N$40)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(INFRAESTRUCTURA!$F$42:$J$42,INFRAESTRUCTURA!$M$42:$N$42)</c:f>
              <c:numCache>
                <c:formatCode>_(* #,##0_);_(* \(#,##0\);_(* "-"??_);_(@_)</c:formatCode>
                <c:ptCount val="7"/>
                <c:pt idx="0">
                  <c:v>14469840.704</c:v>
                </c:pt>
                <c:pt idx="1">
                  <c:v>1759825.348</c:v>
                </c:pt>
                <c:pt idx="2" formatCode="0%">
                  <c:v>0.12162022955190648</c:v>
                </c:pt>
                <c:pt idx="3">
                  <c:v>785418.24797999999</c:v>
                </c:pt>
                <c:pt idx="4" formatCode="0%">
                  <c:v>5.4279674810993689E-2</c:v>
                </c:pt>
                <c:pt idx="5">
                  <c:v>12710015.356000001</c:v>
                </c:pt>
                <c:pt idx="6" formatCode="0%">
                  <c:v>0.87837977044809357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1A-493B-90F6-2ED070DBF59A}"/>
            </c:ext>
          </c:extLst>
        </c:ser>
        <c:ser>
          <c:idx val="2"/>
          <c:order val="2"/>
          <c:tx>
            <c:strRef>
              <c:f>INFRAESTRUCTURA!$E$43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(INFRAESTRUCTURA!$F$40:$J$40,INFRAESTRUCTURA!$M$40:$N$40)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(INFRAESTRUCTURA!$F$43:$J$43,INFRAESTRUCTURA!$M$43:$N$43)</c:f>
              <c:numCache>
                <c:formatCode>_(* #,##0_);_(* \(#,##0\);_(* "-"??_);_(@_)</c:formatCode>
                <c:ptCount val="7"/>
                <c:pt idx="0">
                  <c:v>14469840.704</c:v>
                </c:pt>
                <c:pt idx="1">
                  <c:v>2163447.077</c:v>
                </c:pt>
                <c:pt idx="2" formatCode="0%">
                  <c:v>0.14951422902685743</c:v>
                </c:pt>
                <c:pt idx="3">
                  <c:v>1089237.6269400001</c:v>
                </c:pt>
                <c:pt idx="4" formatCode="0%">
                  <c:v>7.5276407613726837E-2</c:v>
                </c:pt>
                <c:pt idx="5">
                  <c:v>12306393.627</c:v>
                </c:pt>
                <c:pt idx="6" formatCode="0%">
                  <c:v>0.8504857709731426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1A-493B-90F6-2ED070DBF59A}"/>
            </c:ext>
          </c:extLst>
        </c:ser>
        <c:ser>
          <c:idx val="3"/>
          <c:order val="3"/>
          <c:tx>
            <c:strRef>
              <c:f>INFRAESTRUCTURA!$E$44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(INFRAESTRUCTURA!$F$40:$J$40,INFRAESTRUCTURA!$M$40:$N$40)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(INFRAESTRUCTURA!$F$44:$J$44,INFRAESTRUCTURA!$M$44:$N$44)</c:f>
              <c:numCache>
                <c:formatCode>_(* #,##0_);_(* \(#,##0\);_(* "-"??_);_(@_)</c:formatCode>
                <c:ptCount val="7"/>
                <c:pt idx="0">
                  <c:v>14469840.704</c:v>
                </c:pt>
                <c:pt idx="1">
                  <c:v>4287143.2429999998</c:v>
                </c:pt>
                <c:pt idx="2" formatCode="0%">
                  <c:v>0.29628130196449742</c:v>
                </c:pt>
                <c:pt idx="3">
                  <c:v>3570141.8485300001</c:v>
                </c:pt>
                <c:pt idx="4" formatCode="0%">
                  <c:v>0.2467298653497326</c:v>
                </c:pt>
                <c:pt idx="5">
                  <c:v>10182697.460999999</c:v>
                </c:pt>
                <c:pt idx="6" formatCode="0%">
                  <c:v>0.70371869803550258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01A-493B-90F6-2ED070DBF59A}"/>
            </c:ext>
          </c:extLst>
        </c:ser>
        <c:ser>
          <c:idx val="4"/>
          <c:order val="4"/>
          <c:tx>
            <c:strRef>
              <c:f>INFRAESTRUCTURA!$E$45</c:f>
              <c:strCache>
                <c:ptCount val="1"/>
                <c:pt idx="0">
                  <c:v>MAY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(INFRAESTRUCTURA!$F$40:$J$40,INFRAESTRUCTURA!$M$40:$N$40)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(INFRAESTRUCTURA!$F$45:$J$45,INFRAESTRUCTURA!$M$45:$N$45)</c:f>
              <c:numCache>
                <c:formatCode>_(* #,##0_);_(* \(#,##0\);_(* "-"??_);_(@_)</c:formatCode>
                <c:ptCount val="7"/>
                <c:pt idx="0">
                  <c:v>14469840.704</c:v>
                </c:pt>
                <c:pt idx="1">
                  <c:v>4862593.5958400005</c:v>
                </c:pt>
                <c:pt idx="2" formatCode="0%">
                  <c:v>0.33605025067731392</c:v>
                </c:pt>
                <c:pt idx="3">
                  <c:v>3807558.2040300001</c:v>
                </c:pt>
                <c:pt idx="4" formatCode="0%">
                  <c:v>0.26313753426307246</c:v>
                </c:pt>
                <c:pt idx="5">
                  <c:v>9607247.1081600003</c:v>
                </c:pt>
                <c:pt idx="6" formatCode="0%">
                  <c:v>0.66394974932268613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01A-493B-90F6-2ED070DBF59A}"/>
            </c:ext>
          </c:extLst>
        </c:ser>
        <c:ser>
          <c:idx val="5"/>
          <c:order val="5"/>
          <c:tx>
            <c:strRef>
              <c:f>INFRAESTRUCTURA!$E$46</c:f>
              <c:strCache>
                <c:ptCount val="1"/>
                <c:pt idx="0">
                  <c:v>JUN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(INFRAESTRUCTURA!$F$40:$J$40,INFRAESTRUCTURA!$M$40:$N$40)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(INFRAESTRUCTURA!$F$46:$J$46,INFRAESTRUCTURA!$M$46:$N$46)</c:f>
              <c:numCache>
                <c:formatCode>_(* #,##0_);_(* \(#,##0\);_(* "-"??_);_(@_)</c:formatCode>
                <c:ptCount val="7"/>
                <c:pt idx="0">
                  <c:v>14469840.704</c:v>
                </c:pt>
                <c:pt idx="1">
                  <c:v>6100403.4053999996</c:v>
                </c:pt>
                <c:pt idx="2" formatCode="0%">
                  <c:v>0.42159437205923228</c:v>
                </c:pt>
                <c:pt idx="3">
                  <c:v>4098761.2054299996</c:v>
                </c:pt>
                <c:pt idx="4" formatCode="0%">
                  <c:v>0.28326235853425463</c:v>
                </c:pt>
                <c:pt idx="5">
                  <c:v>8369437.2986000003</c:v>
                </c:pt>
                <c:pt idx="6" formatCode="0%">
                  <c:v>0.57840562794076766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01A-493B-90F6-2ED070DBF59A}"/>
            </c:ext>
          </c:extLst>
        </c:ser>
        <c:ser>
          <c:idx val="6"/>
          <c:order val="6"/>
          <c:tx>
            <c:strRef>
              <c:f>INFRAESTRUCTURA!$E$47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(INFRAESTRUCTURA!$F$40:$J$40,INFRAESTRUCTURA!$M$40:$N$40)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(INFRAESTRUCTURA!$F$47:$J$47,INFRAESTRUCTURA!$M$47:$N$47)</c:f>
              <c:numCache>
                <c:formatCode>_(* #,##0_);_(* \(#,##0\);_(* "-"??_);_(@_)</c:formatCode>
                <c:ptCount val="7"/>
                <c:pt idx="0">
                  <c:v>14787527.534</c:v>
                </c:pt>
                <c:pt idx="1">
                  <c:v>9841313.1404799987</c:v>
                </c:pt>
                <c:pt idx="2" formatCode="0%">
                  <c:v>0.6655144423469378</c:v>
                </c:pt>
                <c:pt idx="3">
                  <c:v>4526210.1552499998</c:v>
                </c:pt>
                <c:pt idx="4" formatCode="0%">
                  <c:v>0.30608295706250954</c:v>
                </c:pt>
                <c:pt idx="5">
                  <c:v>4946214.3935200013</c:v>
                </c:pt>
                <c:pt idx="6" formatCode="0%">
                  <c:v>0.33448555765306215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01A-493B-90F6-2ED070DBF59A}"/>
            </c:ext>
          </c:extLst>
        </c:ser>
        <c:ser>
          <c:idx val="7"/>
          <c:order val="7"/>
          <c:tx>
            <c:strRef>
              <c:f>INFRAESTRUCTURA!$E$48</c:f>
              <c:strCache>
                <c:ptCount val="1"/>
                <c:pt idx="0">
                  <c:v>AGO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(INFRAESTRUCTURA!$F$40:$J$40,INFRAESTRUCTURA!$M$40:$N$40)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(INFRAESTRUCTURA!$F$48:$J$48,INFRAESTRUCTURA!$M$48:$N$48)</c:f>
              <c:numCache>
                <c:formatCode>_(* #,##0_);_(* \(#,##0\);_(* "-"??_);_(@_)</c:formatCode>
                <c:ptCount val="7"/>
                <c:pt idx="0">
                  <c:v>14787527.534</c:v>
                </c:pt>
                <c:pt idx="1">
                  <c:v>10065135.95248</c:v>
                </c:pt>
                <c:pt idx="2" formatCode="0%">
                  <c:v>0.68065036087594</c:v>
                </c:pt>
                <c:pt idx="3">
                  <c:v>4935998.7222499996</c:v>
                </c:pt>
                <c:pt idx="4" formatCode="0%">
                  <c:v>0.33379472740801186</c:v>
                </c:pt>
                <c:pt idx="5">
                  <c:v>4722391.5815200005</c:v>
                </c:pt>
                <c:pt idx="6" formatCode="0%">
                  <c:v>0.31934963912405995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89-4C78-8573-2B536B00F3B4}"/>
            </c:ext>
          </c:extLst>
        </c:ser>
        <c:ser>
          <c:idx val="8"/>
          <c:order val="8"/>
          <c:tx>
            <c:strRef>
              <c:f>INFRAESTRUCTURA!$E$49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(INFRAESTRUCTURA!$F$40:$J$40,INFRAESTRUCTURA!$M$40:$N$40)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(INFRAESTRUCTURA!$F$49:$J$49,INFRAESTRUCTURA!$M$49:$N$49)</c:f>
              <c:numCache>
                <c:formatCode>_(* #,##0_);_(* \(#,##0\);_(* "-"??_);_(@_)</c:formatCode>
                <c:ptCount val="7"/>
                <c:pt idx="0">
                  <c:v>14787527.534</c:v>
                </c:pt>
                <c:pt idx="1">
                  <c:v>10134478.21748</c:v>
                </c:pt>
                <c:pt idx="2" formatCode="0%">
                  <c:v>0.68533960083445011</c:v>
                </c:pt>
                <c:pt idx="3">
                  <c:v>8805555.3262499999</c:v>
                </c:pt>
                <c:pt idx="4" formatCode="0%">
                  <c:v>0.5954717789031303</c:v>
                </c:pt>
                <c:pt idx="5">
                  <c:v>4653049.3165200008</c:v>
                </c:pt>
                <c:pt idx="6" formatCode="0%">
                  <c:v>0.31466039916555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89-4C78-8573-2B536B00F3B4}"/>
            </c:ext>
          </c:extLst>
        </c:ser>
        <c:ser>
          <c:idx val="9"/>
          <c:order val="9"/>
          <c:tx>
            <c:strRef>
              <c:f>INFRAESTRUCTURA!$E$50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(INFRAESTRUCTURA!$F$40:$J$40,INFRAESTRUCTURA!$M$40:$N$40)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(INFRAESTRUCTURA!$F$50:$J$50,INFRAESTRUCTURA!$M$50:$N$50)</c:f>
              <c:numCache>
                <c:formatCode>_(* #,##0_);_(* \(#,##0\);_(* "-"??_);_(@_)</c:formatCode>
                <c:ptCount val="7"/>
                <c:pt idx="0">
                  <c:v>14787527.534</c:v>
                </c:pt>
                <c:pt idx="1">
                  <c:v>11045635.325479999</c:v>
                </c:pt>
                <c:pt idx="2" formatCode="0%">
                  <c:v>0.74695619670587177</c:v>
                </c:pt>
                <c:pt idx="3">
                  <c:v>9552504.5492499992</c:v>
                </c:pt>
                <c:pt idx="4" formatCode="0%">
                  <c:v>0.64598388928010764</c:v>
                </c:pt>
                <c:pt idx="5">
                  <c:v>3741892.2085199999</c:v>
                </c:pt>
                <c:pt idx="6" formatCode="0%">
                  <c:v>0.25304380329412812</c:v>
                </c:pt>
              </c:numCache>
            </c:numRef>
          </c:val>
        </c:ser>
        <c:ser>
          <c:idx val="10"/>
          <c:order val="10"/>
          <c:tx>
            <c:strRef>
              <c:f>INFRAESTRUCTURA!$E$51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(INFRAESTRUCTURA!$F$40:$J$40,INFRAESTRUCTURA!$M$40:$N$40)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(INFRAESTRUCTURA!$F$51:$J$51,INFRAESTRUCTURA!$M$51:$N$51)</c:f>
              <c:numCache>
                <c:formatCode>_(* #,##0_);_(* \(#,##0\);_(* "-"??_);_(@_)</c:formatCode>
                <c:ptCount val="7"/>
                <c:pt idx="0">
                  <c:v>14863589.1</c:v>
                </c:pt>
                <c:pt idx="1">
                  <c:v>14357791.288479999</c:v>
                </c:pt>
                <c:pt idx="2" formatCode="0%">
                  <c:v>0.96597068123203156</c:v>
                </c:pt>
                <c:pt idx="3">
                  <c:v>9793113.3344100006</c:v>
                </c:pt>
                <c:pt idx="4" formatCode="0%">
                  <c:v>0.65886598913111782</c:v>
                </c:pt>
                <c:pt idx="5">
                  <c:v>505797.81151999999</c:v>
                </c:pt>
                <c:pt idx="6" formatCode="0%">
                  <c:v>3.4029318767968365E-2</c:v>
                </c:pt>
              </c:numCache>
            </c:numRef>
          </c:val>
        </c:ser>
        <c:ser>
          <c:idx val="11"/>
          <c:order val="11"/>
          <c:tx>
            <c:strRef>
              <c:f>INFRAESTRUCTURA!$E$52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(INFRAESTRUCTURA!$F$40:$J$40,INFRAESTRUCTURA!$M$40:$N$40)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(INFRAESTRUCTURA!$F$52:$J$52,INFRAESTRUCTURA!$M$52:$N$52)</c:f>
              <c:numCache>
                <c:formatCode>_(* #,##0_);_(* \(#,##0\);_(* "-"??_);_(@_)</c:formatCode>
                <c:ptCount val="7"/>
                <c:pt idx="0">
                  <c:v>15788210.895279998</c:v>
                </c:pt>
                <c:pt idx="1">
                  <c:v>10497926.393309999</c:v>
                </c:pt>
                <c:pt idx="2" formatCode="0%">
                  <c:v>0.66492184978656654</c:v>
                </c:pt>
                <c:pt idx="3">
                  <c:v>10497926.393309999</c:v>
                </c:pt>
                <c:pt idx="4" formatCode="0%">
                  <c:v>0.66492184978656654</c:v>
                </c:pt>
                <c:pt idx="5">
                  <c:v>5290284.5019699996</c:v>
                </c:pt>
                <c:pt idx="6" formatCode="0%">
                  <c:v>0.33507815021343357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9040720"/>
        <c:axId val="249041112"/>
      </c:barChart>
      <c:catAx>
        <c:axId val="24904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Ejecución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9041112"/>
        <c:crosses val="autoZero"/>
        <c:auto val="1"/>
        <c:lblAlgn val="ctr"/>
        <c:lblOffset val="100"/>
        <c:noMultiLvlLbl val="0"/>
      </c:catAx>
      <c:valAx>
        <c:axId val="24904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Gsstos</a:t>
                </a:r>
                <a:r>
                  <a:rPr lang="es-CO" baseline="0"/>
                  <a:t> de Inversión</a:t>
                </a:r>
                <a:endParaRPr lang="es-CO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90407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00"/>
              <a:t>Secretaría</a:t>
            </a:r>
            <a:r>
              <a:rPr lang="es-CO" sz="1000" baseline="0"/>
              <a:t> Aguas e Infraestructura </a:t>
            </a:r>
          </a:p>
          <a:p>
            <a:pPr>
              <a:defRPr sz="1000"/>
            </a:pPr>
            <a:r>
              <a:rPr lang="es-CO" sz="1000"/>
              <a:t>Estado</a:t>
            </a:r>
            <a:r>
              <a:rPr lang="es-CO" sz="1000" baseline="0"/>
              <a:t> de recursos comprometido de la vigencia y recursos del Balance </a:t>
            </a:r>
          </a:p>
          <a:p>
            <a:pPr>
              <a:defRPr sz="1000"/>
            </a:pPr>
            <a:r>
              <a:rPr lang="es-CO" sz="1000" baseline="0"/>
              <a:t>a  diciembre 31 de 2017</a:t>
            </a:r>
            <a:endParaRPr lang="es-CO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INFRAESTRUCTURA!$D$107</c:f>
              <c:strCache>
                <c:ptCount val="1"/>
                <c:pt idx="0">
                  <c:v>Vigencia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INFRAESTRUCTURA!$E$106:$M$106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INFRAESTRUCTURA!$E$107:$M$107</c:f>
              <c:numCache>
                <c:formatCode>#,##0</c:formatCode>
                <c:ptCount val="9"/>
                <c:pt idx="0">
                  <c:v>10379686018.280001</c:v>
                </c:pt>
                <c:pt idx="1">
                  <c:v>7671431331.0600004</c:v>
                </c:pt>
                <c:pt idx="2" formatCode="0%">
                  <c:v>0.73908125135477076</c:v>
                </c:pt>
                <c:pt idx="3">
                  <c:v>7671431331.0600004</c:v>
                </c:pt>
                <c:pt idx="4" formatCode="0%">
                  <c:v>1</c:v>
                </c:pt>
                <c:pt idx="5">
                  <c:v>0</c:v>
                </c:pt>
                <c:pt idx="6" formatCode="0%">
                  <c:v>0</c:v>
                </c:pt>
                <c:pt idx="7">
                  <c:v>2708254687.2200003</c:v>
                </c:pt>
                <c:pt idx="8" formatCode="0%">
                  <c:v>0.26091874864522929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C4-4563-B107-E13014AD8252}"/>
            </c:ext>
          </c:extLst>
        </c:ser>
        <c:ser>
          <c:idx val="1"/>
          <c:order val="1"/>
          <c:tx>
            <c:strRef>
              <c:f>INFRAESTRUCTURA!$D$108</c:f>
              <c:strCache>
                <c:ptCount val="1"/>
                <c:pt idx="0">
                  <c:v>Superavit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INFRAESTRUCTURA!$E$106:$M$106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INFRAESTRUCTURA!$E$108:$M$108</c:f>
              <c:numCache>
                <c:formatCode>#,##0</c:formatCode>
                <c:ptCount val="9"/>
                <c:pt idx="0">
                  <c:v>4296634559</c:v>
                </c:pt>
                <c:pt idx="1">
                  <c:v>2826495062.25</c:v>
                </c:pt>
                <c:pt idx="2" formatCode="0%">
                  <c:v>0.65783929804536123</c:v>
                </c:pt>
                <c:pt idx="3">
                  <c:v>2826495062.25</c:v>
                </c:pt>
                <c:pt idx="4" formatCode="0%">
                  <c:v>1</c:v>
                </c:pt>
                <c:pt idx="5">
                  <c:v>0</c:v>
                </c:pt>
                <c:pt idx="6" formatCode="0%">
                  <c:v>0</c:v>
                </c:pt>
                <c:pt idx="7">
                  <c:v>1470139496.75</c:v>
                </c:pt>
                <c:pt idx="8" formatCode="0%">
                  <c:v>0.34216070195463882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3C4-4563-B107-E13014AD8252}"/>
            </c:ext>
          </c:extLst>
        </c:ser>
        <c:ser>
          <c:idx val="2"/>
          <c:order val="2"/>
          <c:tx>
            <c:strRef>
              <c:f>INFRAESTRUCTURA!$D$109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INFRAESTRUCTURA!$E$106:$M$106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INFRAESTRUCTURA!$E$109:$M$109</c:f>
              <c:numCache>
                <c:formatCode>_(* #,##0_);_(* \(#,##0\);_(* "-"??_);_(@_)</c:formatCode>
                <c:ptCount val="9"/>
                <c:pt idx="0">
                  <c:v>14676320577.280001</c:v>
                </c:pt>
                <c:pt idx="1">
                  <c:v>10497926393.310001</c:v>
                </c:pt>
                <c:pt idx="2" formatCode="0%">
                  <c:v>0.71529688507632805</c:v>
                </c:pt>
                <c:pt idx="3">
                  <c:v>10497926393.310001</c:v>
                </c:pt>
                <c:pt idx="4" formatCode="0%">
                  <c:v>1</c:v>
                </c:pt>
                <c:pt idx="5">
                  <c:v>0</c:v>
                </c:pt>
                <c:pt idx="6" formatCode="0%">
                  <c:v>0</c:v>
                </c:pt>
                <c:pt idx="7">
                  <c:v>4178394183.9700003</c:v>
                </c:pt>
                <c:pt idx="8" formatCode="0%">
                  <c:v>0.28470311492367201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3C4-4563-B107-E13014AD8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9042288"/>
        <c:axId val="280718192"/>
        <c:axId val="0"/>
      </c:bar3DChart>
      <c:catAx>
        <c:axId val="24904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Ejecución por tipo de recurso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0718192"/>
        <c:crosses val="autoZero"/>
        <c:auto val="1"/>
        <c:lblAlgn val="ctr"/>
        <c:lblOffset val="100"/>
        <c:noMultiLvlLbl val="0"/>
      </c:catAx>
      <c:valAx>
        <c:axId val="28071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Recursos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9042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s-CO" sz="1100">
                <a:solidFill>
                  <a:srgbClr val="FF0000"/>
                </a:solidFill>
              </a:rPr>
              <a:t>Secretaria</a:t>
            </a:r>
            <a:r>
              <a:rPr lang="es-CO" sz="1100" baseline="0">
                <a:solidFill>
                  <a:srgbClr val="FF0000"/>
                </a:solidFill>
              </a:rPr>
              <a:t> del Interior</a:t>
            </a:r>
          </a:p>
          <a:p>
            <a:pPr>
              <a:defRPr sz="1100">
                <a:solidFill>
                  <a:srgbClr val="FF0000"/>
                </a:solidFill>
              </a:defRPr>
            </a:pPr>
            <a:r>
              <a:rPr lang="es-CO" sz="1100" baseline="0">
                <a:solidFill>
                  <a:srgbClr val="FF0000"/>
                </a:solidFill>
              </a:rPr>
              <a:t>Ejecución Gastos de Inversión</a:t>
            </a:r>
          </a:p>
          <a:p>
            <a:pPr>
              <a:defRPr sz="1100">
                <a:solidFill>
                  <a:srgbClr val="FF0000"/>
                </a:solidFill>
              </a:defRPr>
            </a:pPr>
            <a:r>
              <a:rPr lang="es-CO" sz="1100" baseline="0">
                <a:solidFill>
                  <a:srgbClr val="FF0000"/>
                </a:solidFill>
              </a:rPr>
              <a:t>III Trimestre  de 2017</a:t>
            </a:r>
            <a:endParaRPr lang="es-CO" sz="110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38843373493975902"/>
          <c:y val="3.24831757291849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INTERIOR!$E$53</c:f>
              <c:strCache>
                <c:ptCount val="1"/>
                <c:pt idx="0">
                  <c:v>Recursos Ordinarios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INTERIOR!$F$52:$K$52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INTERIOR!$F$53:$K$53</c:f>
              <c:numCache>
                <c:formatCode>#,##0</c:formatCode>
                <c:ptCount val="6"/>
                <c:pt idx="0">
                  <c:v>2204349776</c:v>
                </c:pt>
                <c:pt idx="1">
                  <c:v>1668887374</c:v>
                </c:pt>
                <c:pt idx="2">
                  <c:v>1668887374</c:v>
                </c:pt>
                <c:pt idx="3">
                  <c:v>1658895598</c:v>
                </c:pt>
                <c:pt idx="4">
                  <c:v>1658895598</c:v>
                </c:pt>
                <c:pt idx="5">
                  <c:v>535462402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A0-45D6-AD69-59BB4FA1AA27}"/>
            </c:ext>
          </c:extLst>
        </c:ser>
        <c:ser>
          <c:idx val="1"/>
          <c:order val="1"/>
          <c:tx>
            <c:strRef>
              <c:f>INTERIOR!$E$54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INTERIOR!$F$52:$K$52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INTERIOR!$F$54:$K$54</c:f>
              <c:numCache>
                <c:formatCode>0%</c:formatCode>
                <c:ptCount val="6"/>
                <c:pt idx="0">
                  <c:v>1</c:v>
                </c:pt>
                <c:pt idx="1">
                  <c:v>0.75708827708293791</c:v>
                </c:pt>
                <c:pt idx="2">
                  <c:v>0.75708827708293791</c:v>
                </c:pt>
                <c:pt idx="3">
                  <c:v>0.9940129117424793</c:v>
                </c:pt>
                <c:pt idx="4">
                  <c:v>0.9940129117424793</c:v>
                </c:pt>
                <c:pt idx="5">
                  <c:v>0.24291172291706215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7A0-45D6-AD69-59BB4FA1AA27}"/>
            </c:ext>
          </c:extLst>
        </c:ser>
        <c:ser>
          <c:idx val="2"/>
          <c:order val="2"/>
          <c:tx>
            <c:strRef>
              <c:f>INTERIOR!$E$55</c:f>
              <c:strCache>
                <c:ptCount val="1"/>
                <c:pt idx="0">
                  <c:v>Fondo de seguridad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INTERIOR!$F$52:$K$52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INTERIOR!$F$55:$K$55</c:f>
              <c:numCache>
                <c:formatCode>#,##0</c:formatCode>
                <c:ptCount val="6"/>
                <c:pt idx="0">
                  <c:v>9145274815.1000004</c:v>
                </c:pt>
                <c:pt idx="1">
                  <c:v>4878561676</c:v>
                </c:pt>
                <c:pt idx="2">
                  <c:v>4878561676</c:v>
                </c:pt>
                <c:pt idx="3">
                  <c:v>4749734437</c:v>
                </c:pt>
                <c:pt idx="4">
                  <c:v>4749734437</c:v>
                </c:pt>
                <c:pt idx="5">
                  <c:v>4266713139.0999999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7A0-45D6-AD69-59BB4FA1AA27}"/>
            </c:ext>
          </c:extLst>
        </c:ser>
        <c:ser>
          <c:idx val="3"/>
          <c:order val="3"/>
          <c:tx>
            <c:strRef>
              <c:f>INTERIOR!$E$56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INTERIOR!$F$52:$K$52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INTERIOR!$F$56:$K$56</c:f>
              <c:numCache>
                <c:formatCode>0%</c:formatCode>
                <c:ptCount val="6"/>
                <c:pt idx="0">
                  <c:v>1</c:v>
                </c:pt>
                <c:pt idx="1">
                  <c:v>0.53345162115247546</c:v>
                </c:pt>
                <c:pt idx="2">
                  <c:v>0.53345162115247546</c:v>
                </c:pt>
                <c:pt idx="3">
                  <c:v>0.97359319251127574</c:v>
                </c:pt>
                <c:pt idx="4">
                  <c:v>0.97359319251127574</c:v>
                </c:pt>
                <c:pt idx="5">
                  <c:v>0.46654837884752454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7A0-45D6-AD69-59BB4FA1AA27}"/>
            </c:ext>
          </c:extLst>
        </c:ser>
        <c:ser>
          <c:idx val="4"/>
          <c:order val="4"/>
          <c:tx>
            <c:strRef>
              <c:f>INTERIOR!$E$57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INTERIOR!$F$52:$K$52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INTERIOR!$F$57:$K$57</c:f>
              <c:numCache>
                <c:formatCode>#,##0</c:formatCode>
                <c:ptCount val="6"/>
                <c:pt idx="0">
                  <c:v>11349624591.1</c:v>
                </c:pt>
                <c:pt idx="1">
                  <c:v>6547449050</c:v>
                </c:pt>
                <c:pt idx="2">
                  <c:v>6547449050</c:v>
                </c:pt>
                <c:pt idx="3">
                  <c:v>6408630035</c:v>
                </c:pt>
                <c:pt idx="4">
                  <c:v>6408630035</c:v>
                </c:pt>
                <c:pt idx="5">
                  <c:v>4802175541.1000004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7A0-45D6-AD69-59BB4FA1AA27}"/>
            </c:ext>
          </c:extLst>
        </c:ser>
        <c:ser>
          <c:idx val="5"/>
          <c:order val="5"/>
          <c:tx>
            <c:strRef>
              <c:f>INTERIOR!$E$58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INTERIOR!$F$52:$K$52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INTERIOR!$F$58:$K$58</c:f>
              <c:numCache>
                <c:formatCode>0%</c:formatCode>
                <c:ptCount val="6"/>
                <c:pt idx="0">
                  <c:v>1</c:v>
                </c:pt>
                <c:pt idx="1">
                  <c:v>0.57688683863026557</c:v>
                </c:pt>
                <c:pt idx="2">
                  <c:v>0.57688683863026557</c:v>
                </c:pt>
                <c:pt idx="3">
                  <c:v>0.97879799996305428</c:v>
                </c:pt>
                <c:pt idx="4">
                  <c:v>0.97879799996305428</c:v>
                </c:pt>
                <c:pt idx="5">
                  <c:v>0.42311316136973443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7A0-45D6-AD69-59BB4FA1A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0719368"/>
        <c:axId val="280719760"/>
      </c:barChart>
      <c:catAx>
        <c:axId val="280719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Ejecución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0719760"/>
        <c:crosses val="autoZero"/>
        <c:auto val="1"/>
        <c:lblAlgn val="ctr"/>
        <c:lblOffset val="100"/>
        <c:noMultiLvlLbl val="0"/>
      </c:catAx>
      <c:valAx>
        <c:axId val="28071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Gastos</a:t>
                </a:r>
                <a:r>
                  <a:rPr lang="es-CO" baseline="0"/>
                  <a:t> de Inversión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07193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00"/>
              <a:t>Secretaría</a:t>
            </a:r>
            <a:r>
              <a:rPr lang="es-CO" sz="1000" baseline="0"/>
              <a:t> del Interior</a:t>
            </a:r>
          </a:p>
          <a:p>
            <a:pPr>
              <a:defRPr sz="1000"/>
            </a:pPr>
            <a:r>
              <a:rPr lang="es-CO" sz="1000" baseline="0"/>
              <a:t>Comparativo Ejecuciones por mes </a:t>
            </a:r>
          </a:p>
          <a:p>
            <a:pPr>
              <a:defRPr sz="1000"/>
            </a:pPr>
            <a:r>
              <a:rPr lang="es-CO" sz="1000" baseline="0"/>
              <a:t>vigencia 2017</a:t>
            </a:r>
          </a:p>
          <a:p>
            <a:pPr>
              <a:defRPr sz="1000"/>
            </a:pPr>
            <a:r>
              <a:rPr lang="es-CO" sz="1000" baseline="0"/>
              <a:t>(en miles de pesos)</a:t>
            </a:r>
            <a:endParaRPr lang="es-CO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INTERIOR!$D$38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(INTERIOR!$E$37:$I$37,INTERIOR!$L$37:$M$37)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(INTERIOR!$E$38:$I$38,INTERIOR!$L$38:$M$38)</c:f>
              <c:numCache>
                <c:formatCode>_(* #,##0_);_(* \(#,##0\);_(* "-"??_);_(@_)</c:formatCode>
                <c:ptCount val="7"/>
                <c:pt idx="0">
                  <c:v>3385349.7760000001</c:v>
                </c:pt>
                <c:pt idx="1">
                  <c:v>771124.60400000005</c:v>
                </c:pt>
                <c:pt idx="2" formatCode="0%">
                  <c:v>0.22778284520754349</c:v>
                </c:pt>
                <c:pt idx="3">
                  <c:v>506224.60399999999</c:v>
                </c:pt>
                <c:pt idx="4" formatCode="0%">
                  <c:v>0.14953391451270823</c:v>
                </c:pt>
                <c:pt idx="5">
                  <c:v>2614225.1720000003</c:v>
                </c:pt>
                <c:pt idx="6" formatCode="0%">
                  <c:v>0.77221715479245656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4-4A1F-B03D-94EDBD99765C}"/>
            </c:ext>
          </c:extLst>
        </c:ser>
        <c:ser>
          <c:idx val="1"/>
          <c:order val="1"/>
          <c:tx>
            <c:strRef>
              <c:f>INTERIOR!$D$39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(INTERIOR!$E$37:$I$37,INTERIOR!$L$37:$M$37)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(INTERIOR!$E$39:$I$39,INTERIOR!$L$39:$M$39)</c:f>
              <c:numCache>
                <c:formatCode>_(* #,##0_);_(* \(#,##0\);_(* "-"??_);_(@_)</c:formatCode>
                <c:ptCount val="7"/>
                <c:pt idx="0">
                  <c:v>11363981.388</c:v>
                </c:pt>
                <c:pt idx="1">
                  <c:v>951481.049</c:v>
                </c:pt>
                <c:pt idx="2" formatCode="0%">
                  <c:v>8.3727790156778462E-2</c:v>
                </c:pt>
                <c:pt idx="3">
                  <c:v>860367.18</c:v>
                </c:pt>
                <c:pt idx="4" formatCode="0%">
                  <c:v>7.5710013121679354E-2</c:v>
                </c:pt>
                <c:pt idx="5">
                  <c:v>10412500.339</c:v>
                </c:pt>
                <c:pt idx="6" formatCode="0%">
                  <c:v>0.91627220984322144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8-4A01-8C86-87F589859942}"/>
            </c:ext>
          </c:extLst>
        </c:ser>
        <c:ser>
          <c:idx val="2"/>
          <c:order val="2"/>
          <c:tx>
            <c:strRef>
              <c:f>INTERIOR!$D$40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(INTERIOR!$E$37:$I$37,INTERIOR!$L$37:$M$37)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(INTERIOR!$E$40:$I$40,INTERIOR!$L$40:$M$40)</c:f>
              <c:numCache>
                <c:formatCode>_(* #,##0_);_(* \(#,##0\);_(* "-"??_);_(@_)</c:formatCode>
                <c:ptCount val="7"/>
                <c:pt idx="0">
                  <c:v>11363981.388</c:v>
                </c:pt>
                <c:pt idx="1">
                  <c:v>2388009.5269999998</c:v>
                </c:pt>
                <c:pt idx="2" formatCode="0%">
                  <c:v>0.21013845812187454</c:v>
                </c:pt>
                <c:pt idx="3">
                  <c:v>909921.70499999996</c:v>
                </c:pt>
                <c:pt idx="4" formatCode="0%">
                  <c:v>8.0070678922516375E-2</c:v>
                </c:pt>
                <c:pt idx="5">
                  <c:v>8975971.8610000014</c:v>
                </c:pt>
                <c:pt idx="6" formatCode="0%">
                  <c:v>0.78986154187812552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E8-4A01-8C86-87F589859942}"/>
            </c:ext>
          </c:extLst>
        </c:ser>
        <c:ser>
          <c:idx val="3"/>
          <c:order val="3"/>
          <c:tx>
            <c:strRef>
              <c:f>INTERIOR!$D$41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(INTERIOR!$E$37:$I$37,INTERIOR!$L$37:$M$37)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(INTERIOR!$E$41:$I$41,INTERIOR!$L$41:$M$41)</c:f>
              <c:numCache>
                <c:formatCode>_(* #,##0_);_(* \(#,##0\);_(* "-"??_);_(@_)</c:formatCode>
                <c:ptCount val="7"/>
                <c:pt idx="0">
                  <c:v>11363981.388</c:v>
                </c:pt>
                <c:pt idx="1">
                  <c:v>3223736.1030000001</c:v>
                </c:pt>
                <c:pt idx="2" formatCode="0%">
                  <c:v>0.28368016392601292</c:v>
                </c:pt>
                <c:pt idx="3">
                  <c:v>1034503.813</c:v>
                </c:pt>
                <c:pt idx="4" formatCode="0%">
                  <c:v>9.103357156959116E-2</c:v>
                </c:pt>
                <c:pt idx="5">
                  <c:v>8140245.2850000001</c:v>
                </c:pt>
                <c:pt idx="6" formatCode="0%">
                  <c:v>0.71631983607398708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FE8-4A01-8C86-87F589859942}"/>
            </c:ext>
          </c:extLst>
        </c:ser>
        <c:ser>
          <c:idx val="4"/>
          <c:order val="4"/>
          <c:tx>
            <c:strRef>
              <c:f>INTERIOR!$D$42</c:f>
              <c:strCache>
                <c:ptCount val="1"/>
                <c:pt idx="0">
                  <c:v>MAY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(INTERIOR!$E$37:$I$37,INTERIOR!$L$37:$M$37)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(INTERIOR!$E$42:$I$42,INTERIOR!$L$42:$M$42)</c:f>
              <c:numCache>
                <c:formatCode>_(* #,##0_);_(* \(#,##0\);_(* "-"??_);_(@_)</c:formatCode>
                <c:ptCount val="7"/>
                <c:pt idx="0">
                  <c:v>11363981.388</c:v>
                </c:pt>
                <c:pt idx="1">
                  <c:v>3723400.1979999999</c:v>
                </c:pt>
                <c:pt idx="2" formatCode="0%">
                  <c:v>0.32764926928970434</c:v>
                </c:pt>
                <c:pt idx="3">
                  <c:v>1159831.909</c:v>
                </c:pt>
                <c:pt idx="4" formatCode="0%">
                  <c:v>0.1020621091675445</c:v>
                </c:pt>
                <c:pt idx="5">
                  <c:v>7640581.1900000004</c:v>
                </c:pt>
                <c:pt idx="6" formatCode="0%">
                  <c:v>0.67235073071029572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FE8-4A01-8C86-87F589859942}"/>
            </c:ext>
          </c:extLst>
        </c:ser>
        <c:ser>
          <c:idx val="5"/>
          <c:order val="5"/>
          <c:tx>
            <c:strRef>
              <c:f>INTERIOR!$D$43</c:f>
              <c:strCache>
                <c:ptCount val="1"/>
                <c:pt idx="0">
                  <c:v>JUN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(INTERIOR!$E$37:$I$37,INTERIOR!$L$37:$M$37)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(INTERIOR!$E$43:$I$43,INTERIOR!$L$43:$M$43)</c:f>
              <c:numCache>
                <c:formatCode>_(* #,##0_);_(* \(#,##0\);_(* "-"??_);_(@_)</c:formatCode>
                <c:ptCount val="7"/>
                <c:pt idx="0">
                  <c:v>11363981.388</c:v>
                </c:pt>
                <c:pt idx="1">
                  <c:v>7345825.3640000001</c:v>
                </c:pt>
                <c:pt idx="2" formatCode="0%">
                  <c:v>0.64641300554724213</c:v>
                </c:pt>
                <c:pt idx="3">
                  <c:v>1225134.0049999999</c:v>
                </c:pt>
                <c:pt idx="4" formatCode="0%">
                  <c:v>0.10780851914221737</c:v>
                </c:pt>
                <c:pt idx="5">
                  <c:v>4018156.0240000002</c:v>
                </c:pt>
                <c:pt idx="6" formatCode="0%">
                  <c:v>0.35358699445275793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FE8-4A01-8C86-87F589859942}"/>
            </c:ext>
          </c:extLst>
        </c:ser>
        <c:ser>
          <c:idx val="6"/>
          <c:order val="6"/>
          <c:tx>
            <c:strRef>
              <c:f>INTERIOR!$D$44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(INTERIOR!$E$37:$I$37,INTERIOR!$L$37:$M$37)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(INTERIOR!$E$44:$I$44,INTERIOR!$L$44:$M$44)</c:f>
              <c:numCache>
                <c:formatCode>_(* #,##0_);_(* \(#,##0\);_(* "-"??_);_(@_)</c:formatCode>
                <c:ptCount val="7"/>
                <c:pt idx="0">
                  <c:v>11583981.388</c:v>
                </c:pt>
                <c:pt idx="1">
                  <c:v>7391330.5489999996</c:v>
                </c:pt>
                <c:pt idx="2" formatCode="0%">
                  <c:v>0.63806478113447052</c:v>
                </c:pt>
                <c:pt idx="3">
                  <c:v>1411093.0889999999</c:v>
                </c:pt>
                <c:pt idx="4" formatCode="0%">
                  <c:v>0.12181417094314136</c:v>
                </c:pt>
                <c:pt idx="5">
                  <c:v>4192650.8390000002</c:v>
                </c:pt>
                <c:pt idx="6" formatCode="0%">
                  <c:v>0.36193521886552948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FE8-4A01-8C86-87F589859942}"/>
            </c:ext>
          </c:extLst>
        </c:ser>
        <c:ser>
          <c:idx val="7"/>
          <c:order val="7"/>
          <c:tx>
            <c:strRef>
              <c:f>INTERIOR!$D$45</c:f>
              <c:strCache>
                <c:ptCount val="1"/>
                <c:pt idx="0">
                  <c:v>AGO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(INTERIOR!$E$37:$I$37,INTERIOR!$L$37:$M$37)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(INTERIOR!$E$45:$I$45,INTERIOR!$L$45:$M$45)</c:f>
              <c:numCache>
                <c:formatCode>_(* #,##0_);_(* \(#,##0\);_(* "-"??_);_(@_)</c:formatCode>
                <c:ptCount val="7"/>
                <c:pt idx="0">
                  <c:v>11583981.388</c:v>
                </c:pt>
                <c:pt idx="1">
                  <c:v>7545983.7479999997</c:v>
                </c:pt>
                <c:pt idx="2" formatCode="0%">
                  <c:v>0.65141538951512679</c:v>
                </c:pt>
                <c:pt idx="3">
                  <c:v>2549883.324</c:v>
                </c:pt>
                <c:pt idx="4" formatCode="0%">
                  <c:v>0.22012149697007091</c:v>
                </c:pt>
                <c:pt idx="5">
                  <c:v>4037997.64</c:v>
                </c:pt>
                <c:pt idx="6" formatCode="0%">
                  <c:v>0.34858461048487316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FE8-4A01-8C86-87F589859942}"/>
            </c:ext>
          </c:extLst>
        </c:ser>
        <c:ser>
          <c:idx val="8"/>
          <c:order val="8"/>
          <c:tx>
            <c:strRef>
              <c:f>INTERIOR!$D$46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(INTERIOR!$E$37:$I$37,INTERIOR!$L$37:$M$37)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(INTERIOR!$E$46:$I$46,INTERIOR!$L$46:$M$46)</c:f>
              <c:numCache>
                <c:formatCode>_(* #,##0_);_(* \(#,##0\);_(* "-"??_);_(@_)</c:formatCode>
                <c:ptCount val="7"/>
                <c:pt idx="0">
                  <c:v>11583981.388</c:v>
                </c:pt>
                <c:pt idx="1">
                  <c:v>7723240.3679999998</c:v>
                </c:pt>
                <c:pt idx="2" formatCode="0%">
                  <c:v>0.6667172632028403</c:v>
                </c:pt>
                <c:pt idx="3">
                  <c:v>5763823.2879999997</c:v>
                </c:pt>
                <c:pt idx="4" formatCode="0%">
                  <c:v>0.49756841753654929</c:v>
                </c:pt>
                <c:pt idx="5">
                  <c:v>3860741.02</c:v>
                </c:pt>
                <c:pt idx="6" formatCode="0%">
                  <c:v>0.33328273679715964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FE8-4A01-8C86-87F589859942}"/>
            </c:ext>
          </c:extLst>
        </c:ser>
        <c:ser>
          <c:idx val="9"/>
          <c:order val="9"/>
          <c:tx>
            <c:strRef>
              <c:f>INTERIOR!$D$47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(INTERIOR!$E$37:$I$37,INTERIOR!$L$37:$M$37)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(INTERIOR!$E$47:$I$47,INTERIOR!$L$47:$M$47)</c:f>
              <c:numCache>
                <c:formatCode>_(* #,##0_);_(* \(#,##0\);_(* "-"??_);_(@_)</c:formatCode>
                <c:ptCount val="7"/>
                <c:pt idx="0">
                  <c:v>11583981.388</c:v>
                </c:pt>
                <c:pt idx="1">
                  <c:v>7948770.1730000004</c:v>
                </c:pt>
                <c:pt idx="2" formatCode="0%">
                  <c:v>0.68618637295414142</c:v>
                </c:pt>
                <c:pt idx="3">
                  <c:v>6108729.0549999997</c:v>
                </c:pt>
                <c:pt idx="4" formatCode="0%">
                  <c:v>0.52734278918370092</c:v>
                </c:pt>
                <c:pt idx="5">
                  <c:v>3635211.2149999999</c:v>
                </c:pt>
                <c:pt idx="6" formatCode="0%">
                  <c:v>0.31381362704585863</c:v>
                </c:pt>
              </c:numCache>
            </c:numRef>
          </c:val>
        </c:ser>
        <c:ser>
          <c:idx val="10"/>
          <c:order val="10"/>
          <c:tx>
            <c:strRef>
              <c:f>INTERIOR!$D$48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(INTERIOR!$E$37:$I$37,INTERIOR!$L$37:$M$37)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(INTERIOR!$E$48:$I$48,INTERIOR!$L$48:$M$48)</c:f>
              <c:numCache>
                <c:formatCode>_(* #,##0_);_(* \(#,##0\);_(* "-"??_);_(@_)</c:formatCode>
                <c:ptCount val="7"/>
                <c:pt idx="0">
                  <c:v>11633981.388</c:v>
                </c:pt>
                <c:pt idx="1">
                  <c:v>7921386.2980000004</c:v>
                </c:pt>
                <c:pt idx="2" formatCode="0%">
                  <c:v>0.68088352850302847</c:v>
                </c:pt>
                <c:pt idx="3">
                  <c:v>6371260.8930000002</c:v>
                </c:pt>
                <c:pt idx="4" formatCode="0%">
                  <c:v>0.54764234878110674</c:v>
                </c:pt>
                <c:pt idx="5">
                  <c:v>3712595.09</c:v>
                </c:pt>
                <c:pt idx="6" formatCode="0%">
                  <c:v>0.31911647149697159</c:v>
                </c:pt>
              </c:numCache>
            </c:numRef>
          </c:val>
        </c:ser>
        <c:ser>
          <c:idx val="11"/>
          <c:order val="11"/>
          <c:tx>
            <c:strRef>
              <c:f>INTERIOR!$D$49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(INTERIOR!$E$37:$I$37,INTERIOR!$L$37:$M$37)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(INTERIOR!$E$49:$I$49,INTERIOR!$L$49:$M$49)</c:f>
              <c:numCache>
                <c:formatCode>_(* #,##0_);_(* \(#,##0\);_(* "-"??_);_(@_)</c:formatCode>
                <c:ptCount val="7"/>
                <c:pt idx="0">
                  <c:v>11349624.5911</c:v>
                </c:pt>
                <c:pt idx="1">
                  <c:v>6547449.0499999998</c:v>
                </c:pt>
                <c:pt idx="2" formatCode="0%">
                  <c:v>0.57688683863026557</c:v>
                </c:pt>
                <c:pt idx="3">
                  <c:v>6547449.0499999998</c:v>
                </c:pt>
                <c:pt idx="4" formatCode="0%">
                  <c:v>0.57688683863026557</c:v>
                </c:pt>
                <c:pt idx="5">
                  <c:v>4802175.5411</c:v>
                </c:pt>
                <c:pt idx="6" formatCode="0%">
                  <c:v>0.42311316136973443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80720936"/>
        <c:axId val="280721328"/>
      </c:barChart>
      <c:catAx>
        <c:axId val="280720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Ejecición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0721328"/>
        <c:crosses val="autoZero"/>
        <c:auto val="1"/>
        <c:lblAlgn val="ctr"/>
        <c:lblOffset val="100"/>
        <c:noMultiLvlLbl val="0"/>
      </c:catAx>
      <c:valAx>
        <c:axId val="28072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Gastos</a:t>
                </a:r>
                <a:r>
                  <a:rPr lang="es-CO" baseline="0"/>
                  <a:t> de Inversión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0720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00"/>
              <a:t>Secretaría</a:t>
            </a:r>
            <a:r>
              <a:rPr lang="es-CO" sz="1000" baseline="0"/>
              <a:t> Interior</a:t>
            </a:r>
          </a:p>
          <a:p>
            <a:pPr>
              <a:defRPr sz="1000"/>
            </a:pPr>
            <a:r>
              <a:rPr lang="es-CO" sz="1000"/>
              <a:t>Estado</a:t>
            </a:r>
            <a:r>
              <a:rPr lang="es-CO" sz="1000" baseline="0"/>
              <a:t> de recursos comprometido de la vigencia y recursos del Balance </a:t>
            </a:r>
          </a:p>
          <a:p>
            <a:pPr>
              <a:defRPr sz="1000"/>
            </a:pPr>
            <a:r>
              <a:rPr lang="es-CO" sz="1000" baseline="0"/>
              <a:t>a diciembre 31 de 2017</a:t>
            </a:r>
            <a:endParaRPr lang="es-CO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INTERIOR!$D$88</c:f>
              <c:strCache>
                <c:ptCount val="1"/>
                <c:pt idx="0">
                  <c:v>Vigencia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INTERIOR!$E$87:$M$87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INTERIOR!$E$88:$M$88</c:f>
              <c:numCache>
                <c:formatCode>#,##0</c:formatCode>
                <c:ptCount val="9"/>
                <c:pt idx="0">
                  <c:v>3320992979.0999999</c:v>
                </c:pt>
                <c:pt idx="1">
                  <c:v>2449021561</c:v>
                </c:pt>
                <c:pt idx="2" formatCode="0%">
                  <c:v>0.73743653672634168</c:v>
                </c:pt>
                <c:pt idx="3">
                  <c:v>2449021561</c:v>
                </c:pt>
                <c:pt idx="4" formatCode="0%">
                  <c:v>1</c:v>
                </c:pt>
                <c:pt idx="5">
                  <c:v>0</c:v>
                </c:pt>
                <c:pt idx="6" formatCode="0%">
                  <c:v>0</c:v>
                </c:pt>
                <c:pt idx="7">
                  <c:v>871971418.0999999</c:v>
                </c:pt>
                <c:pt idx="8" formatCode="0%">
                  <c:v>0.26256346327365832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DD-4ADA-AC3F-42F4B0E3ABCF}"/>
            </c:ext>
          </c:extLst>
        </c:ser>
        <c:ser>
          <c:idx val="1"/>
          <c:order val="1"/>
          <c:tx>
            <c:strRef>
              <c:f>INTERIOR!$D$89</c:f>
              <c:strCache>
                <c:ptCount val="1"/>
                <c:pt idx="0">
                  <c:v>Superavit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INTERIOR!$E$87:$M$87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INTERIOR!$E$89:$M$89</c:f>
              <c:numCache>
                <c:formatCode>#,##0</c:formatCode>
                <c:ptCount val="9"/>
                <c:pt idx="0">
                  <c:v>8028631612</c:v>
                </c:pt>
                <c:pt idx="1">
                  <c:v>4098427489</c:v>
                </c:pt>
                <c:pt idx="2" formatCode="0%">
                  <c:v>0.51047646561268079</c:v>
                </c:pt>
                <c:pt idx="3">
                  <c:v>4098427489</c:v>
                </c:pt>
                <c:pt idx="4" formatCode="0%">
                  <c:v>1</c:v>
                </c:pt>
                <c:pt idx="5">
                  <c:v>0</c:v>
                </c:pt>
                <c:pt idx="6" formatCode="0%">
                  <c:v>0</c:v>
                </c:pt>
                <c:pt idx="7">
                  <c:v>3930204123</c:v>
                </c:pt>
                <c:pt idx="8" formatCode="0%">
                  <c:v>0.48952353438731921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DD-4ADA-AC3F-42F4B0E3ABCF}"/>
            </c:ext>
          </c:extLst>
        </c:ser>
        <c:ser>
          <c:idx val="2"/>
          <c:order val="2"/>
          <c:tx>
            <c:strRef>
              <c:f>INTERIOR!$D$90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INTERIOR!$E$87:$M$87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INTERIOR!$E$90:$M$90</c:f>
              <c:numCache>
                <c:formatCode>_(* #,##0_);_(* \(#,##0\);_(* "-"??_);_(@_)</c:formatCode>
                <c:ptCount val="9"/>
                <c:pt idx="0">
                  <c:v>11349624591.1</c:v>
                </c:pt>
                <c:pt idx="1">
                  <c:v>6547449050</c:v>
                </c:pt>
                <c:pt idx="2" formatCode="0%">
                  <c:v>0.57688683863026557</c:v>
                </c:pt>
                <c:pt idx="3">
                  <c:v>6547449050</c:v>
                </c:pt>
                <c:pt idx="4" formatCode="0%">
                  <c:v>1</c:v>
                </c:pt>
                <c:pt idx="5">
                  <c:v>0</c:v>
                </c:pt>
                <c:pt idx="6" formatCode="0%">
                  <c:v>0</c:v>
                </c:pt>
                <c:pt idx="7">
                  <c:v>4802175541.1000004</c:v>
                </c:pt>
                <c:pt idx="8" formatCode="0%">
                  <c:v>0.42311316136973443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DD-4ADA-AC3F-42F4B0E3A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1220184"/>
        <c:axId val="281220576"/>
        <c:axId val="0"/>
      </c:bar3DChart>
      <c:catAx>
        <c:axId val="281220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Ejecución por tipo de recurso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20576"/>
        <c:crosses val="autoZero"/>
        <c:auto val="1"/>
        <c:lblAlgn val="ctr"/>
        <c:lblOffset val="100"/>
        <c:noMultiLvlLbl val="0"/>
      </c:catAx>
      <c:valAx>
        <c:axId val="28122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Recursos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20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FF0000"/>
                </a:solidFill>
              </a:rPr>
              <a:t>ESTADO DE EJECUCIÓN </a:t>
            </a:r>
          </a:p>
          <a:p>
            <a:pPr>
              <a:defRPr b="1">
                <a:solidFill>
                  <a:srgbClr val="FF0000"/>
                </a:solidFill>
              </a:defRPr>
            </a:pPr>
            <a:r>
              <a:rPr lang="en-US" b="1">
                <a:solidFill>
                  <a:srgbClr val="FF0000"/>
                </a:solidFill>
              </a:rPr>
              <a:t>GASTOS DE INVERSIÓN DEPARTAMENTO DEL QUINDIO</a:t>
            </a:r>
          </a:p>
          <a:p>
            <a:pPr>
              <a:defRPr b="1">
                <a:solidFill>
                  <a:srgbClr val="FF0000"/>
                </a:solidFill>
              </a:defRPr>
            </a:pPr>
            <a:r>
              <a:rPr lang="en-US" b="1">
                <a:solidFill>
                  <a:srgbClr val="FF0000"/>
                </a:solidFill>
              </a:rPr>
              <a:t>III TRIMESTRE</a:t>
            </a:r>
            <a:r>
              <a:rPr lang="en-US" b="1" baseline="0">
                <a:solidFill>
                  <a:srgbClr val="FF0000"/>
                </a:solidFill>
              </a:rPr>
              <a:t> DE</a:t>
            </a:r>
            <a:r>
              <a:rPr lang="en-US" b="1">
                <a:solidFill>
                  <a:srgbClr val="FF0000"/>
                </a:solidFill>
              </a:rPr>
              <a:t> 2017 </a:t>
            </a:r>
          </a:p>
          <a:p>
            <a:pPr>
              <a:defRPr b="1">
                <a:solidFill>
                  <a:srgbClr val="FF0000"/>
                </a:solidFill>
              </a:defRPr>
            </a:pPr>
            <a:r>
              <a:rPr lang="en-US" b="1">
                <a:solidFill>
                  <a:srgbClr val="FF0000"/>
                </a:solidFill>
              </a:rPr>
              <a:t>(en</a:t>
            </a:r>
            <a:r>
              <a:rPr lang="en-US" b="1" baseline="0">
                <a:solidFill>
                  <a:srgbClr val="FF0000"/>
                </a:solidFill>
              </a:rPr>
              <a:t> millones de pesos)</a:t>
            </a:r>
            <a:endParaRPr lang="en-US" b="1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844510187671628"/>
          <c:y val="0.15986987776201833"/>
          <c:w val="0.86459921411557661"/>
          <c:h val="0.626363068596615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49F-41A7-BE69-E1F36923D001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949F-41A7-BE69-E1F36923D00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49F-41A7-BE69-E1F36923D001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949F-41A7-BE69-E1F36923D001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949F-41A7-BE69-E1F36923D001}"/>
              </c:ext>
            </c:extLst>
          </c:dPt>
          <c:cat>
            <c:strRef>
              <c:f>'EJE SECRETARIAS'!$C$48:$N$48</c:f>
              <c:strCache>
                <c:ptCount val="12"/>
                <c:pt idx="0">
                  <c:v>APROPIACION  </c:v>
                </c:pt>
                <c:pt idx="1">
                  <c:v>%</c:v>
                </c:pt>
                <c:pt idx="2">
                  <c:v>DISPONIBILIDADES   </c:v>
                </c:pt>
                <c:pt idx="3">
                  <c:v>% CDP</c:v>
                </c:pt>
                <c:pt idx="4">
                  <c:v>COMPROMISOS  </c:v>
                </c:pt>
                <c:pt idx="5">
                  <c:v>% RP</c:v>
                </c:pt>
                <c:pt idx="6">
                  <c:v>OBLIGACIONES </c:v>
                </c:pt>
                <c:pt idx="7">
                  <c:v>% OBLIG</c:v>
                </c:pt>
                <c:pt idx="8">
                  <c:v>PAGOS  </c:v>
                </c:pt>
                <c:pt idx="9">
                  <c:v>% PAGOS</c:v>
                </c:pt>
                <c:pt idx="10">
                  <c:v>SALDO DISPONIBLE</c:v>
                </c:pt>
                <c:pt idx="11">
                  <c:v>% SALDO DISP.</c:v>
                </c:pt>
              </c:strCache>
            </c:strRef>
          </c:cat>
          <c:val>
            <c:numRef>
              <c:f>'EJE SECRETARIAS'!$C$49:$N$49</c:f>
              <c:numCache>
                <c:formatCode>0%</c:formatCode>
                <c:ptCount val="12"/>
                <c:pt idx="0" formatCode="_(* #,##0_);_(* \(#,##0\);_(* &quot;-&quot;??_);_(@_)">
                  <c:v>0</c:v>
                </c:pt>
                <c:pt idx="1">
                  <c:v>1</c:v>
                </c:pt>
                <c:pt idx="2" formatCode="_(* #,##0_);_(* \(#,##0\);_(* &quot;-&quot;??_);_(@_)">
                  <c:v>0</c:v>
                </c:pt>
                <c:pt idx="3">
                  <c:v>0</c:v>
                </c:pt>
                <c:pt idx="4" formatCode="_(* #,##0_);_(* \(#,##0\);_(* &quot;-&quot;??_);_(@_)">
                  <c:v>0</c:v>
                </c:pt>
                <c:pt idx="5">
                  <c:v>0</c:v>
                </c:pt>
                <c:pt idx="6" formatCode="_(* #,##0_);_(* \(#,##0\);_(* &quot;-&quot;??_);_(@_)">
                  <c:v>0</c:v>
                </c:pt>
                <c:pt idx="7">
                  <c:v>0</c:v>
                </c:pt>
                <c:pt idx="8" formatCode="_(* #,##0_);_(* \(#,##0\);_(* &quot;-&quot;??_);_(@_)">
                  <c:v>0</c:v>
                </c:pt>
                <c:pt idx="9">
                  <c:v>0</c:v>
                </c:pt>
                <c:pt idx="10" formatCode="_(* #,##0_);_(* \(#,##0\);_(* &quot;-&quot;??_);_(@_)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9F-41A7-BE69-E1F36923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50739448"/>
        <c:axId val="250717800"/>
      </c:barChart>
      <c:catAx>
        <c:axId val="250739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Ejecución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717800"/>
        <c:crosses val="autoZero"/>
        <c:auto val="1"/>
        <c:lblAlgn val="ctr"/>
        <c:lblOffset val="100"/>
        <c:noMultiLvlLbl val="0"/>
      </c:catAx>
      <c:valAx>
        <c:axId val="250717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Gastos</a:t>
                </a:r>
                <a:r>
                  <a:rPr lang="es-CO" baseline="0"/>
                  <a:t> de Inversión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739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rgbClr val="FF0000"/>
                </a:solidFill>
              </a:rPr>
              <a:t>Secretaria</a:t>
            </a:r>
            <a:r>
              <a:rPr lang="es-CO" baseline="0">
                <a:solidFill>
                  <a:srgbClr val="FF0000"/>
                </a:solidFill>
              </a:rPr>
              <a:t> de Cultura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>
                <a:solidFill>
                  <a:srgbClr val="FF0000"/>
                </a:solidFill>
              </a:rPr>
              <a:t>Ejecución Gastos de Inversión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>
                <a:solidFill>
                  <a:srgbClr val="FF0000"/>
                </a:solidFill>
              </a:rPr>
              <a:t>III Trimestre  de 2017</a:t>
            </a:r>
            <a:endParaRPr lang="es-CO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CULTURA!$E$52</c:f>
              <c:strCache>
                <c:ptCount val="1"/>
                <c:pt idx="0">
                  <c:v>Recurso Ordinario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CULTURA!$F$51:$K$51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CULTURA!$F$52:$K$52</c:f>
              <c:numCache>
                <c:formatCode>#,##0.00</c:formatCode>
                <c:ptCount val="6"/>
                <c:pt idx="0">
                  <c:v>1720943025</c:v>
                </c:pt>
                <c:pt idx="1">
                  <c:v>1630377292</c:v>
                </c:pt>
                <c:pt idx="2">
                  <c:v>1630377292</c:v>
                </c:pt>
                <c:pt idx="3">
                  <c:v>1630377292</c:v>
                </c:pt>
                <c:pt idx="4">
                  <c:v>1630377292</c:v>
                </c:pt>
                <c:pt idx="5">
                  <c:v>90565733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A8-49A5-BF46-1F3364B8703B}"/>
            </c:ext>
          </c:extLst>
        </c:ser>
        <c:ser>
          <c:idx val="1"/>
          <c:order val="1"/>
          <c:tx>
            <c:strRef>
              <c:f>CULTURA!$E$53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CULTURA!$F$51:$K$51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CULTURA!$F$53:$K$53</c:f>
              <c:numCache>
                <c:formatCode>0%</c:formatCode>
                <c:ptCount val="6"/>
                <c:pt idx="0">
                  <c:v>1</c:v>
                </c:pt>
                <c:pt idx="1">
                  <c:v>0.94737435714933094</c:v>
                </c:pt>
                <c:pt idx="2">
                  <c:v>0.94737435714933094</c:v>
                </c:pt>
                <c:pt idx="3">
                  <c:v>1</c:v>
                </c:pt>
                <c:pt idx="4">
                  <c:v>1</c:v>
                </c:pt>
                <c:pt idx="5">
                  <c:v>5.2625642850669042E-2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A8-49A5-BF46-1F3364B8703B}"/>
            </c:ext>
          </c:extLst>
        </c:ser>
        <c:ser>
          <c:idx val="2"/>
          <c:order val="2"/>
          <c:tx>
            <c:strRef>
              <c:f>CULTURA!$E$54</c:f>
              <c:strCache>
                <c:ptCount val="1"/>
                <c:pt idx="0">
                  <c:v>estampilla Procultura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CULTURA!$F$51:$K$51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CULTURA!$F$54:$K$54</c:f>
              <c:numCache>
                <c:formatCode>#,##0.00</c:formatCode>
                <c:ptCount val="6"/>
                <c:pt idx="0">
                  <c:v>2761249840.2600002</c:v>
                </c:pt>
                <c:pt idx="1">
                  <c:v>1155104161.8</c:v>
                </c:pt>
                <c:pt idx="2">
                  <c:v>1155104161.8</c:v>
                </c:pt>
                <c:pt idx="3">
                  <c:v>1155104161.8</c:v>
                </c:pt>
                <c:pt idx="4">
                  <c:v>1155104161.8</c:v>
                </c:pt>
                <c:pt idx="5">
                  <c:v>1606145678.46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3A8-49A5-BF46-1F3364B8703B}"/>
            </c:ext>
          </c:extLst>
        </c:ser>
        <c:ser>
          <c:idx val="3"/>
          <c:order val="3"/>
          <c:tx>
            <c:strRef>
              <c:f>CULTURA!$E$55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CULTURA!$F$51:$K$51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CULTURA!$F$55:$K$55</c:f>
              <c:numCache>
                <c:formatCode>0%</c:formatCode>
                <c:ptCount val="6"/>
                <c:pt idx="0">
                  <c:v>1</c:v>
                </c:pt>
                <c:pt idx="1">
                  <c:v>0.41832656536839669</c:v>
                </c:pt>
                <c:pt idx="2">
                  <c:v>0.41832656536839669</c:v>
                </c:pt>
                <c:pt idx="3">
                  <c:v>1</c:v>
                </c:pt>
                <c:pt idx="4">
                  <c:v>1</c:v>
                </c:pt>
                <c:pt idx="5">
                  <c:v>0.58167343463160326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3A8-49A5-BF46-1F3364B8703B}"/>
            </c:ext>
          </c:extLst>
        </c:ser>
        <c:ser>
          <c:idx val="4"/>
          <c:order val="4"/>
          <c:tx>
            <c:strRef>
              <c:f>CULTURA!$E$56</c:f>
              <c:strCache>
                <c:ptCount val="1"/>
                <c:pt idx="0">
                  <c:v>Iva Telefoni Movil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CULTURA!$F$51:$K$51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CULTURA!$F$56:$K$56</c:f>
              <c:numCache>
                <c:formatCode>#,##0.00</c:formatCode>
                <c:ptCount val="6"/>
                <c:pt idx="0">
                  <c:v>342290727</c:v>
                </c:pt>
                <c:pt idx="1">
                  <c:v>185833966</c:v>
                </c:pt>
                <c:pt idx="2">
                  <c:v>185833966</c:v>
                </c:pt>
                <c:pt idx="3">
                  <c:v>185833966</c:v>
                </c:pt>
                <c:pt idx="4">
                  <c:v>185833966</c:v>
                </c:pt>
                <c:pt idx="5">
                  <c:v>156456761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3A8-49A5-BF46-1F3364B8703B}"/>
            </c:ext>
          </c:extLst>
        </c:ser>
        <c:ser>
          <c:idx val="5"/>
          <c:order val="5"/>
          <c:tx>
            <c:strRef>
              <c:f>CULTURA!$E$57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CULTURA!$F$51:$K$51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CULTURA!$F$57:$K$57</c:f>
              <c:numCache>
                <c:formatCode>0%</c:formatCode>
                <c:ptCount val="6"/>
                <c:pt idx="0">
                  <c:v>1</c:v>
                </c:pt>
                <c:pt idx="1">
                  <c:v>0.54291265097578878</c:v>
                </c:pt>
                <c:pt idx="2">
                  <c:v>0.54291265097578878</c:v>
                </c:pt>
                <c:pt idx="3">
                  <c:v>1</c:v>
                </c:pt>
                <c:pt idx="4">
                  <c:v>1</c:v>
                </c:pt>
                <c:pt idx="5">
                  <c:v>0.45708734902421122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3A8-49A5-BF46-1F3364B8703B}"/>
            </c:ext>
          </c:extLst>
        </c:ser>
        <c:ser>
          <c:idx val="6"/>
          <c:order val="6"/>
          <c:tx>
            <c:strRef>
              <c:f>CULTURA!$E$60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CULTURA!$F$51:$K$51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CULTURA!$F$60:$K$60</c:f>
              <c:numCache>
                <c:formatCode>#,##0</c:formatCode>
                <c:ptCount val="6"/>
                <c:pt idx="0">
                  <c:v>4853483592.2600002</c:v>
                </c:pt>
                <c:pt idx="1">
                  <c:v>2995355419.8000002</c:v>
                </c:pt>
                <c:pt idx="2">
                  <c:v>2995355419.8000002</c:v>
                </c:pt>
                <c:pt idx="3">
                  <c:v>2995355419.8000002</c:v>
                </c:pt>
                <c:pt idx="4">
                  <c:v>2985335419.8000002</c:v>
                </c:pt>
                <c:pt idx="5">
                  <c:v>1858128172.46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3A8-49A5-BF46-1F3364B8703B}"/>
            </c:ext>
          </c:extLst>
        </c:ser>
        <c:ser>
          <c:idx val="7"/>
          <c:order val="7"/>
          <c:tx>
            <c:strRef>
              <c:f>CULTURA!$E$61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CULTURA!$F$51:$K$51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CULTURA!$F$61:$K$61</c:f>
              <c:numCache>
                <c:formatCode>0%</c:formatCode>
                <c:ptCount val="6"/>
                <c:pt idx="0">
                  <c:v>1</c:v>
                </c:pt>
                <c:pt idx="1">
                  <c:v>0.61715577334531135</c:v>
                </c:pt>
                <c:pt idx="2">
                  <c:v>0.61715577334531135</c:v>
                </c:pt>
                <c:pt idx="3">
                  <c:v>1</c:v>
                </c:pt>
                <c:pt idx="4">
                  <c:v>0.99665482101597513</c:v>
                </c:pt>
                <c:pt idx="5">
                  <c:v>0.38284422665468865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3A8-49A5-BF46-1F3364B87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221752"/>
        <c:axId val="281222144"/>
      </c:barChart>
      <c:catAx>
        <c:axId val="281221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22144"/>
        <c:crosses val="autoZero"/>
        <c:auto val="1"/>
        <c:lblAlgn val="ctr"/>
        <c:lblOffset val="100"/>
        <c:noMultiLvlLbl val="0"/>
      </c:catAx>
      <c:valAx>
        <c:axId val="28122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Gastos</a:t>
                </a:r>
                <a:r>
                  <a:rPr lang="es-CO" baseline="0"/>
                  <a:t> de Inversión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21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00"/>
              <a:t>Secretaría</a:t>
            </a:r>
            <a:r>
              <a:rPr lang="es-CO" sz="1000" baseline="0"/>
              <a:t> de Cultura</a:t>
            </a:r>
          </a:p>
          <a:p>
            <a:pPr>
              <a:defRPr sz="1000"/>
            </a:pPr>
            <a:r>
              <a:rPr lang="es-CO" sz="1000" baseline="0"/>
              <a:t>Comparativo Ejecución por mes</a:t>
            </a:r>
          </a:p>
          <a:p>
            <a:pPr>
              <a:defRPr sz="1000"/>
            </a:pPr>
            <a:r>
              <a:rPr lang="es-CO" sz="1000" baseline="0"/>
              <a:t>Vigencia 2017</a:t>
            </a:r>
          </a:p>
          <a:p>
            <a:pPr>
              <a:defRPr sz="1000"/>
            </a:pPr>
            <a:r>
              <a:rPr lang="es-CO" sz="1000" baseline="0"/>
              <a:t>(en miles de pesos)</a:t>
            </a:r>
            <a:endParaRPr lang="es-CO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CULTURA!$E$37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(CULTURA!$F$36:$J$36,CULTURA!$M$36:$N$36)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(CULTURA!$F$37:$J$37,CULTURA!$M$37:$N$37)</c:f>
              <c:numCache>
                <c:formatCode>_(* #,##0_);_(* \(#,##0\);_(* "-"??_);_(@_)</c:formatCode>
                <c:ptCount val="7"/>
                <c:pt idx="0">
                  <c:v>2776409.8330000001</c:v>
                </c:pt>
                <c:pt idx="1">
                  <c:v>134340</c:v>
                </c:pt>
                <c:pt idx="2" formatCode="0%">
                  <c:v>4.8386228287788949E-2</c:v>
                </c:pt>
                <c:pt idx="3">
                  <c:v>62100</c:v>
                </c:pt>
                <c:pt idx="4" formatCode="0%">
                  <c:v>2.2367014862823387E-2</c:v>
                </c:pt>
                <c:pt idx="5">
                  <c:v>2642069.8330000001</c:v>
                </c:pt>
                <c:pt idx="6" formatCode="0%">
                  <c:v>0.95161377171221107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CF-4DD2-B500-1E2E727446A3}"/>
            </c:ext>
          </c:extLst>
        </c:ser>
        <c:ser>
          <c:idx val="1"/>
          <c:order val="1"/>
          <c:tx>
            <c:strRef>
              <c:f>CULTURA!$E$38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(CULTURA!$F$36:$J$36,CULTURA!$M$36:$N$36)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(CULTURA!$F$38:$J$38,CULTURA!$M$38:$N$38)</c:f>
              <c:numCache>
                <c:formatCode>_(* #,##0_);_(* \(#,##0\);_(* "-"??_);_(@_)</c:formatCode>
                <c:ptCount val="7"/>
                <c:pt idx="0">
                  <c:v>4816161.8269999996</c:v>
                </c:pt>
                <c:pt idx="1">
                  <c:v>691402</c:v>
                </c:pt>
                <c:pt idx="2" formatCode="0%">
                  <c:v>0.14355871435297601</c:v>
                </c:pt>
                <c:pt idx="3">
                  <c:v>271860</c:v>
                </c:pt>
                <c:pt idx="4" formatCode="0%">
                  <c:v>5.6447438804053299E-2</c:v>
                </c:pt>
                <c:pt idx="5">
                  <c:v>4124759.8269999996</c:v>
                </c:pt>
                <c:pt idx="6" formatCode="0%">
                  <c:v>0.85644128564702404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CF-4DD2-B500-1E2E727446A3}"/>
            </c:ext>
          </c:extLst>
        </c:ser>
        <c:ser>
          <c:idx val="2"/>
          <c:order val="2"/>
          <c:tx>
            <c:strRef>
              <c:f>CULTURA!$E$39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(CULTURA!$F$36:$J$36,CULTURA!$M$36:$N$36)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(CULTURA!$F$39:$J$39,CULTURA!$M$39:$N$39)</c:f>
              <c:numCache>
                <c:formatCode>_(* #,##0_);_(* \(#,##0\);_(* "-"??_);_(@_)</c:formatCode>
                <c:ptCount val="7"/>
                <c:pt idx="0">
                  <c:v>4816161.8269999996</c:v>
                </c:pt>
                <c:pt idx="1">
                  <c:v>1516232</c:v>
                </c:pt>
                <c:pt idx="2" formatCode="0%">
                  <c:v>0.31482164729179479</c:v>
                </c:pt>
                <c:pt idx="3">
                  <c:v>271860</c:v>
                </c:pt>
                <c:pt idx="4" formatCode="0%">
                  <c:v>5.6447438804053299E-2</c:v>
                </c:pt>
                <c:pt idx="5">
                  <c:v>3299929.8269999996</c:v>
                </c:pt>
                <c:pt idx="6" formatCode="0%">
                  <c:v>0.68517835270820515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CF-4DD2-B500-1E2E727446A3}"/>
            </c:ext>
          </c:extLst>
        </c:ser>
        <c:ser>
          <c:idx val="3"/>
          <c:order val="3"/>
          <c:tx>
            <c:strRef>
              <c:f>CULTURA!$E$40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(CULTURA!$F$36:$J$36,CULTURA!$M$36:$N$36)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(CULTURA!$F$40:$J$40,CULTURA!$M$40:$N$40)</c:f>
              <c:numCache>
                <c:formatCode>_(* #,##0_);_(* \(#,##0\);_(* "-"??_);_(@_)</c:formatCode>
                <c:ptCount val="7"/>
                <c:pt idx="0">
                  <c:v>4816161.8269999996</c:v>
                </c:pt>
                <c:pt idx="1">
                  <c:v>1483232</c:v>
                </c:pt>
                <c:pt idx="2" formatCode="0%">
                  <c:v>0.30796971806155221</c:v>
                </c:pt>
                <c:pt idx="3">
                  <c:v>703132</c:v>
                </c:pt>
                <c:pt idx="4" formatCode="0%">
                  <c:v>0.14599426374299862</c:v>
                </c:pt>
                <c:pt idx="5">
                  <c:v>3332929.827</c:v>
                </c:pt>
                <c:pt idx="6" formatCode="0%">
                  <c:v>0.69203028193844784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CF-4DD2-B500-1E2E727446A3}"/>
            </c:ext>
          </c:extLst>
        </c:ser>
        <c:ser>
          <c:idx val="4"/>
          <c:order val="4"/>
          <c:tx>
            <c:strRef>
              <c:f>CULTURA!$E$41</c:f>
              <c:strCache>
                <c:ptCount val="1"/>
                <c:pt idx="0">
                  <c:v>MAY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(CULTURA!$F$36:$J$36,CULTURA!$M$36:$N$36)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(CULTURA!$F$41:$J$41,CULTURA!$M$41:$N$41)</c:f>
              <c:numCache>
                <c:formatCode>_(* #,##0_);_(* \(#,##0\);_(* "-"??_);_(@_)</c:formatCode>
                <c:ptCount val="7"/>
                <c:pt idx="0">
                  <c:v>4816161.8269999996</c:v>
                </c:pt>
                <c:pt idx="1">
                  <c:v>2071717.6669999999</c:v>
                </c:pt>
                <c:pt idx="2" formatCode="0%">
                  <c:v>0.43015947997961657</c:v>
                </c:pt>
                <c:pt idx="3">
                  <c:v>841617.66700000002</c:v>
                </c:pt>
                <c:pt idx="4" formatCode="0%">
                  <c:v>0.17474862706684546</c:v>
                </c:pt>
                <c:pt idx="5">
                  <c:v>2744444.16</c:v>
                </c:pt>
                <c:pt idx="6" formatCode="0%">
                  <c:v>0.56984052002038355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CF-4DD2-B500-1E2E727446A3}"/>
            </c:ext>
          </c:extLst>
        </c:ser>
        <c:ser>
          <c:idx val="5"/>
          <c:order val="5"/>
          <c:tx>
            <c:strRef>
              <c:f>CULTURA!$E$42</c:f>
              <c:strCache>
                <c:ptCount val="1"/>
                <c:pt idx="0">
                  <c:v>JUN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(CULTURA!$F$36:$J$36,CULTURA!$M$36:$N$36)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(CULTURA!$F$42:$J$42,CULTURA!$M$42:$N$42)</c:f>
              <c:numCache>
                <c:formatCode>#,##0_);\-#,##0</c:formatCode>
                <c:ptCount val="7"/>
                <c:pt idx="0">
                  <c:v>4816161.8269999996</c:v>
                </c:pt>
                <c:pt idx="1">
                  <c:v>2299607.6669999999</c:v>
                </c:pt>
                <c:pt idx="2" formatCode="0%">
                  <c:v>0.47747724216991932</c:v>
                </c:pt>
                <c:pt idx="3">
                  <c:v>994298.57670000009</c:v>
                </c:pt>
                <c:pt idx="4" formatCode="0%">
                  <c:v>0.20645040852361712</c:v>
                </c:pt>
                <c:pt idx="5">
                  <c:v>2516554.16</c:v>
                </c:pt>
                <c:pt idx="6" formatCode="0%">
                  <c:v>0.52252275783008073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CF-4DD2-B500-1E2E727446A3}"/>
            </c:ext>
          </c:extLst>
        </c:ser>
        <c:ser>
          <c:idx val="6"/>
          <c:order val="6"/>
          <c:tx>
            <c:strRef>
              <c:f>CULTURA!$E$43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(CULTURA!$F$36:$J$36,CULTURA!$M$36:$N$36)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(CULTURA!$F$43:$J$43,CULTURA!$M$43:$N$43)</c:f>
              <c:numCache>
                <c:formatCode>#,##0_);\-#,##0</c:formatCode>
                <c:ptCount val="7"/>
                <c:pt idx="0">
                  <c:v>4888482.2620000001</c:v>
                </c:pt>
                <c:pt idx="1">
                  <c:v>2627196.5010000002</c:v>
                </c:pt>
                <c:pt idx="2" formatCode="0%">
                  <c:v>0.53742580215994251</c:v>
                </c:pt>
                <c:pt idx="3">
                  <c:v>1217517.1669999999</c:v>
                </c:pt>
                <c:pt idx="4" formatCode="0%">
                  <c:v>0.24905831743815784</c:v>
                </c:pt>
                <c:pt idx="5">
                  <c:v>2261285.7609999999</c:v>
                </c:pt>
                <c:pt idx="6" formatCode="0%">
                  <c:v>0.46257419784005754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4CF-4DD2-B500-1E2E727446A3}"/>
            </c:ext>
          </c:extLst>
        </c:ser>
        <c:ser>
          <c:idx val="7"/>
          <c:order val="7"/>
          <c:tx>
            <c:strRef>
              <c:f>CULTURA!$E$44</c:f>
              <c:strCache>
                <c:ptCount val="1"/>
                <c:pt idx="0">
                  <c:v>AGO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(CULTURA!$F$36:$J$36,CULTURA!$M$36:$N$36)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(CULTURA!$F$44:$J$44,CULTURA!$M$44:$N$44)</c:f>
              <c:numCache>
                <c:formatCode>#,##0_);\-#,##0</c:formatCode>
                <c:ptCount val="7"/>
                <c:pt idx="0">
                  <c:v>4888482.2620000001</c:v>
                </c:pt>
                <c:pt idx="1">
                  <c:v>2810561.8709999998</c:v>
                </c:pt>
                <c:pt idx="2" formatCode="0%">
                  <c:v>0.57493547493207608</c:v>
                </c:pt>
                <c:pt idx="3">
                  <c:v>1636234.446</c:v>
                </c:pt>
                <c:pt idx="4" formatCode="0%">
                  <c:v>0.33471215774250873</c:v>
                </c:pt>
                <c:pt idx="5">
                  <c:v>2077920.3910000001</c:v>
                </c:pt>
                <c:pt idx="6" formatCode="0%">
                  <c:v>0.42506452506792386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51-481A-AB00-D0889360386C}"/>
            </c:ext>
          </c:extLst>
        </c:ser>
        <c:ser>
          <c:idx val="8"/>
          <c:order val="8"/>
          <c:tx>
            <c:strRef>
              <c:f>CULTURA!$E$45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(CULTURA!$F$36:$J$36,CULTURA!$M$36:$N$36)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(CULTURA!$F$45:$J$45,CULTURA!$M$45:$N$45)</c:f>
              <c:numCache>
                <c:formatCode>#,##0_);\-#,##0</c:formatCode>
                <c:ptCount val="7"/>
                <c:pt idx="0">
                  <c:v>4888482.2620000001</c:v>
                </c:pt>
                <c:pt idx="1">
                  <c:v>2922103.8709999998</c:v>
                </c:pt>
                <c:pt idx="2" formatCode="0%">
                  <c:v>0.59775278182240843</c:v>
                </c:pt>
                <c:pt idx="3">
                  <c:v>2180238.4810000001</c:v>
                </c:pt>
                <c:pt idx="4" formatCode="0%">
                  <c:v>0.44599496615704404</c:v>
                </c:pt>
                <c:pt idx="5">
                  <c:v>1966378.3910000001</c:v>
                </c:pt>
                <c:pt idx="6" formatCode="0%">
                  <c:v>0.40224721817759151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51-481A-AB00-D0889360386C}"/>
            </c:ext>
          </c:extLst>
        </c:ser>
        <c:ser>
          <c:idx val="9"/>
          <c:order val="9"/>
          <c:tx>
            <c:strRef>
              <c:f>CULTURA!$E$46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(CULTURA!$F$36:$J$36,CULTURA!$M$36:$N$36)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(CULTURA!$F$46:$J$46,CULTURA!$M$46:$N$46)</c:f>
              <c:numCache>
                <c:formatCode>#,##0_);\-#,##0</c:formatCode>
                <c:ptCount val="7"/>
                <c:pt idx="0">
                  <c:v>4869482.2620000001</c:v>
                </c:pt>
                <c:pt idx="1">
                  <c:v>2966905.2</c:v>
                </c:pt>
                <c:pt idx="2" formatCode="0%">
                  <c:v>0.60928555447318311</c:v>
                </c:pt>
                <c:pt idx="3">
                  <c:v>2399240.4810000001</c:v>
                </c:pt>
                <c:pt idx="4" formatCode="0%">
                  <c:v>0.49270956375033204</c:v>
                </c:pt>
                <c:pt idx="5">
                  <c:v>1902577.0619999999</c:v>
                </c:pt>
                <c:pt idx="6" formatCode="0%">
                  <c:v>0.39071444552681683</c:v>
                </c:pt>
              </c:numCache>
            </c:numRef>
          </c:val>
        </c:ser>
        <c:ser>
          <c:idx val="10"/>
          <c:order val="10"/>
          <c:tx>
            <c:strRef>
              <c:f>CULTURA!$E$47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(CULTURA!$F$36:$J$36,CULTURA!$M$36:$N$36)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(CULTURA!$F$47:$J$47,CULTURA!$M$47:$N$47)</c:f>
              <c:numCache>
                <c:formatCode>#,##0_);\-#,##0</c:formatCode>
                <c:ptCount val="7"/>
                <c:pt idx="0">
                  <c:v>4969482.2620000001</c:v>
                </c:pt>
                <c:pt idx="1">
                  <c:v>3146726.4029999999</c:v>
                </c:pt>
                <c:pt idx="2" formatCode="0%">
                  <c:v>0.6332101086388785</c:v>
                </c:pt>
                <c:pt idx="3">
                  <c:v>2579473.0129999998</c:v>
                </c:pt>
                <c:pt idx="4" formatCode="0%">
                  <c:v>0.51906272665955233</c:v>
                </c:pt>
                <c:pt idx="5">
                  <c:v>1822755.8589999999</c:v>
                </c:pt>
                <c:pt idx="6" formatCode="0%">
                  <c:v>0.36678989136112139</c:v>
                </c:pt>
              </c:numCache>
            </c:numRef>
          </c:val>
        </c:ser>
        <c:ser>
          <c:idx val="11"/>
          <c:order val="11"/>
          <c:tx>
            <c:strRef>
              <c:f>CULTURA!$E$48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(CULTURA!$F$36:$J$36,CULTURA!$M$36:$N$36)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DISP</c:v>
                </c:pt>
              </c:strCache>
            </c:strRef>
          </c:cat>
          <c:val>
            <c:numRef>
              <c:f>(CULTURA!$F$48:$J$48,CULTURA!$M$48:$N$48)</c:f>
              <c:numCache>
                <c:formatCode>#,##0_);\-#,##0</c:formatCode>
                <c:ptCount val="7"/>
                <c:pt idx="0">
                  <c:v>4853483.5922600003</c:v>
                </c:pt>
                <c:pt idx="1">
                  <c:v>2995355.4198000003</c:v>
                </c:pt>
                <c:pt idx="2" formatCode="0%">
                  <c:v>0.61715577334531135</c:v>
                </c:pt>
                <c:pt idx="3">
                  <c:v>2995355.4198000003</c:v>
                </c:pt>
                <c:pt idx="4" formatCode="0%">
                  <c:v>0.61715577334531135</c:v>
                </c:pt>
                <c:pt idx="5">
                  <c:v>1858128.17246</c:v>
                </c:pt>
                <c:pt idx="6" formatCode="0%">
                  <c:v>0.38284422665468865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223320"/>
        <c:axId val="281657128"/>
      </c:barChart>
      <c:catAx>
        <c:axId val="281223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Ejecución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657128"/>
        <c:crosses val="autoZero"/>
        <c:auto val="1"/>
        <c:lblAlgn val="ctr"/>
        <c:lblOffset val="100"/>
        <c:noMultiLvlLbl val="0"/>
      </c:catAx>
      <c:valAx>
        <c:axId val="28165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Gastos</a:t>
                </a:r>
                <a:r>
                  <a:rPr lang="es-CO" baseline="0"/>
                  <a:t> de Inversión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23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00"/>
              <a:t>Secretaría</a:t>
            </a:r>
            <a:r>
              <a:rPr lang="es-CO" sz="1000" baseline="0"/>
              <a:t> Cultura</a:t>
            </a:r>
          </a:p>
          <a:p>
            <a:pPr>
              <a:defRPr sz="1000"/>
            </a:pPr>
            <a:r>
              <a:rPr lang="es-CO" sz="1000"/>
              <a:t>Estado</a:t>
            </a:r>
            <a:r>
              <a:rPr lang="es-CO" sz="1000" baseline="0"/>
              <a:t> de recursos comprometido de la vigencia y recursos del Balance </a:t>
            </a:r>
          </a:p>
          <a:p>
            <a:pPr>
              <a:defRPr sz="1000"/>
            </a:pPr>
            <a:r>
              <a:rPr lang="es-CO" sz="1000" baseline="0"/>
              <a:t>a diciembre 31 de 2017</a:t>
            </a:r>
            <a:endParaRPr lang="es-CO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CULTURA!$D$89</c:f>
              <c:strCache>
                <c:ptCount val="1"/>
                <c:pt idx="0">
                  <c:v>Vigencia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CULTURA!$E$88:$M$88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CULTURA!$E$89:$M$89</c:f>
              <c:numCache>
                <c:formatCode>#,##0</c:formatCode>
                <c:ptCount val="9"/>
                <c:pt idx="0">
                  <c:v>2832731598.2600002</c:v>
                </c:pt>
                <c:pt idx="1">
                  <c:v>1840193170.8</c:v>
                </c:pt>
                <c:pt idx="2" formatCode="0%">
                  <c:v>0.64961790659246887</c:v>
                </c:pt>
                <c:pt idx="3">
                  <c:v>1840193170.8</c:v>
                </c:pt>
                <c:pt idx="4" formatCode="0%">
                  <c:v>1</c:v>
                </c:pt>
                <c:pt idx="5">
                  <c:v>0</c:v>
                </c:pt>
                <c:pt idx="6" formatCode="0%">
                  <c:v>0</c:v>
                </c:pt>
                <c:pt idx="7">
                  <c:v>992538427.46000028</c:v>
                </c:pt>
                <c:pt idx="8" formatCode="0%">
                  <c:v>0.35038209340753113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BD-4CEB-ACBC-19EC511716B5}"/>
            </c:ext>
          </c:extLst>
        </c:ser>
        <c:ser>
          <c:idx val="1"/>
          <c:order val="1"/>
          <c:tx>
            <c:strRef>
              <c:f>CULTURA!$D$90</c:f>
              <c:strCache>
                <c:ptCount val="1"/>
                <c:pt idx="0">
                  <c:v>Superavit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CULTURA!$E$88:$M$88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CULTURA!$E$90:$M$90</c:f>
              <c:numCache>
                <c:formatCode>#,##0</c:formatCode>
                <c:ptCount val="9"/>
                <c:pt idx="0">
                  <c:v>2020751994</c:v>
                </c:pt>
                <c:pt idx="1">
                  <c:v>1155162249</c:v>
                </c:pt>
                <c:pt idx="2" formatCode="0%">
                  <c:v>0.57164968904145497</c:v>
                </c:pt>
                <c:pt idx="3">
                  <c:v>1155162249</c:v>
                </c:pt>
                <c:pt idx="4" formatCode="0%">
                  <c:v>1</c:v>
                </c:pt>
                <c:pt idx="5">
                  <c:v>0</c:v>
                </c:pt>
                <c:pt idx="6" formatCode="0%">
                  <c:v>0</c:v>
                </c:pt>
                <c:pt idx="7">
                  <c:v>865589745</c:v>
                </c:pt>
                <c:pt idx="8" formatCode="0%">
                  <c:v>0.42835031095854509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BD-4CEB-ACBC-19EC511716B5}"/>
            </c:ext>
          </c:extLst>
        </c:ser>
        <c:ser>
          <c:idx val="2"/>
          <c:order val="2"/>
          <c:tx>
            <c:strRef>
              <c:f>CULTURA!$D$91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CULTURA!$E$88:$M$88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CULTURA!$E$91:$M$91</c:f>
              <c:numCache>
                <c:formatCode>_(* #,##0_);_(* \(#,##0\);_(* "-"??_);_(@_)</c:formatCode>
                <c:ptCount val="9"/>
                <c:pt idx="0">
                  <c:v>4853483592.2600002</c:v>
                </c:pt>
                <c:pt idx="1">
                  <c:v>2995355419.8000002</c:v>
                </c:pt>
                <c:pt idx="2" formatCode="0%">
                  <c:v>0.61715577334531135</c:v>
                </c:pt>
                <c:pt idx="3">
                  <c:v>2995355419.8000002</c:v>
                </c:pt>
                <c:pt idx="4" formatCode="0%">
                  <c:v>1</c:v>
                </c:pt>
                <c:pt idx="5">
                  <c:v>0</c:v>
                </c:pt>
                <c:pt idx="6" formatCode="0%">
                  <c:v>0</c:v>
                </c:pt>
                <c:pt idx="7">
                  <c:v>1858128172.4600003</c:v>
                </c:pt>
                <c:pt idx="8" formatCode="0%">
                  <c:v>0.3828442266546887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3BD-4CEB-ACBC-19EC51171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1658304"/>
        <c:axId val="281658696"/>
        <c:axId val="0"/>
      </c:bar3DChart>
      <c:catAx>
        <c:axId val="281658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Ejecución por tipo de recurso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658696"/>
        <c:crosses val="autoZero"/>
        <c:auto val="1"/>
        <c:lblAlgn val="ctr"/>
        <c:lblOffset val="100"/>
        <c:noMultiLvlLbl val="0"/>
      </c:catAx>
      <c:valAx>
        <c:axId val="281658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Recursos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658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s-CO" sz="1050" baseline="0">
                <a:solidFill>
                  <a:srgbClr val="FF0000"/>
                </a:solidFill>
              </a:rPr>
              <a:t>Depatamento del Quindío</a:t>
            </a:r>
          </a:p>
          <a:p>
            <a:pPr>
              <a:defRPr sz="1050">
                <a:solidFill>
                  <a:srgbClr val="FF0000"/>
                </a:solidFill>
              </a:defRPr>
            </a:pPr>
            <a:r>
              <a:rPr lang="es-CO" sz="1050" baseline="0">
                <a:solidFill>
                  <a:srgbClr val="FF0000"/>
                </a:solidFill>
              </a:rPr>
              <a:t>Porcentaje avance (cdp, compromisos y disponible) </a:t>
            </a:r>
          </a:p>
          <a:p>
            <a:pPr>
              <a:defRPr sz="1050">
                <a:solidFill>
                  <a:srgbClr val="FF0000"/>
                </a:solidFill>
              </a:defRPr>
            </a:pPr>
            <a:r>
              <a:rPr lang="es-CO" sz="1050" baseline="0">
                <a:solidFill>
                  <a:srgbClr val="FF0000"/>
                </a:solidFill>
              </a:rPr>
              <a:t>por ejecución por unidad ejecutora del sector central </a:t>
            </a:r>
          </a:p>
          <a:p>
            <a:pPr>
              <a:defRPr sz="1050">
                <a:solidFill>
                  <a:srgbClr val="FF0000"/>
                </a:solidFill>
              </a:defRPr>
            </a:pPr>
            <a:r>
              <a:rPr lang="es-CO" sz="1050" baseline="0">
                <a:solidFill>
                  <a:srgbClr val="FF0000"/>
                </a:solidFill>
              </a:rPr>
              <a:t>III Trimestre 2017 </a:t>
            </a:r>
          </a:p>
          <a:p>
            <a:pPr>
              <a:defRPr sz="1050">
                <a:solidFill>
                  <a:srgbClr val="FF0000"/>
                </a:solidFill>
              </a:defRPr>
            </a:pPr>
            <a:endParaRPr lang="es-CO" sz="1050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'EJE SECRETARIAS'!$F$81</c:f>
              <c:strCache>
                <c:ptCount val="1"/>
                <c:pt idx="0">
                  <c:v>% CDP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'EJE SECRETARIAS'!$A$82:$A$98</c:f>
              <c:strCache>
                <c:ptCount val="14"/>
                <c:pt idx="0">
                  <c:v>304</c:v>
                </c:pt>
                <c:pt idx="1">
                  <c:v>305</c:v>
                </c:pt>
                <c:pt idx="2">
                  <c:v>307</c:v>
                </c:pt>
                <c:pt idx="3">
                  <c:v>308</c:v>
                </c:pt>
                <c:pt idx="4">
                  <c:v>309</c:v>
                </c:pt>
                <c:pt idx="5">
                  <c:v>310</c:v>
                </c:pt>
                <c:pt idx="6">
                  <c:v>311</c:v>
                </c:pt>
                <c:pt idx="7">
                  <c:v>312</c:v>
                </c:pt>
                <c:pt idx="8">
                  <c:v>313</c:v>
                </c:pt>
                <c:pt idx="9">
                  <c:v>314</c:v>
                </c:pt>
                <c:pt idx="10">
                  <c:v>316</c:v>
                </c:pt>
                <c:pt idx="11">
                  <c:v>317</c:v>
                </c:pt>
                <c:pt idx="12">
                  <c:v>318</c:v>
                </c:pt>
                <c:pt idx="13">
                  <c:v>TOTAL</c:v>
                </c:pt>
              </c:strCache>
            </c:strRef>
          </c:cat>
          <c:val>
            <c:numRef>
              <c:f>'EJE SECRETARIAS'!$F$82:$F$98</c:f>
              <c:numCache>
                <c:formatCode>0%</c:formatCode>
                <c:ptCount val="14"/>
                <c:pt idx="0">
                  <c:v>0.25201826978650044</c:v>
                </c:pt>
                <c:pt idx="1">
                  <c:v>0.86989671351542419</c:v>
                </c:pt>
                <c:pt idx="2">
                  <c:v>0.90778627700229442</c:v>
                </c:pt>
                <c:pt idx="3">
                  <c:v>0.66492184978656643</c:v>
                </c:pt>
                <c:pt idx="4">
                  <c:v>0.57688683863026557</c:v>
                </c:pt>
                <c:pt idx="5">
                  <c:v>0.61715577334531135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78-4EA0-BC0C-AD22A9FD9E12}"/>
            </c:ext>
          </c:extLst>
        </c:ser>
        <c:ser>
          <c:idx val="1"/>
          <c:order val="1"/>
          <c:tx>
            <c:strRef>
              <c:f>'EJE SECRETARIAS'!$H$81</c:f>
              <c:strCache>
                <c:ptCount val="1"/>
                <c:pt idx="0">
                  <c:v>% 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'EJE SECRETARIAS'!$A$82:$A$98</c:f>
              <c:strCache>
                <c:ptCount val="14"/>
                <c:pt idx="0">
                  <c:v>304</c:v>
                </c:pt>
                <c:pt idx="1">
                  <c:v>305</c:v>
                </c:pt>
                <c:pt idx="2">
                  <c:v>307</c:v>
                </c:pt>
                <c:pt idx="3">
                  <c:v>308</c:v>
                </c:pt>
                <c:pt idx="4">
                  <c:v>309</c:v>
                </c:pt>
                <c:pt idx="5">
                  <c:v>310</c:v>
                </c:pt>
                <c:pt idx="6">
                  <c:v>311</c:v>
                </c:pt>
                <c:pt idx="7">
                  <c:v>312</c:v>
                </c:pt>
                <c:pt idx="8">
                  <c:v>313</c:v>
                </c:pt>
                <c:pt idx="9">
                  <c:v>314</c:v>
                </c:pt>
                <c:pt idx="10">
                  <c:v>316</c:v>
                </c:pt>
                <c:pt idx="11">
                  <c:v>317</c:v>
                </c:pt>
                <c:pt idx="12">
                  <c:v>318</c:v>
                </c:pt>
                <c:pt idx="13">
                  <c:v>TOTAL</c:v>
                </c:pt>
              </c:strCache>
            </c:strRef>
          </c:cat>
          <c:val>
            <c:numRef>
              <c:f>'EJE SECRETARIAS'!$H$82:$H$98</c:f>
              <c:numCache>
                <c:formatCode>0%</c:formatCode>
                <c:ptCount val="14"/>
                <c:pt idx="0">
                  <c:v>0.25201826978650044</c:v>
                </c:pt>
                <c:pt idx="1">
                  <c:v>0.86989671351542419</c:v>
                </c:pt>
                <c:pt idx="2">
                  <c:v>0.90778627700229442</c:v>
                </c:pt>
                <c:pt idx="3">
                  <c:v>0.66492184978656643</c:v>
                </c:pt>
                <c:pt idx="4">
                  <c:v>0.57688683863026557</c:v>
                </c:pt>
                <c:pt idx="5">
                  <c:v>0.61715577334531135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78-4EA0-BC0C-AD22A9FD9E12}"/>
            </c:ext>
          </c:extLst>
        </c:ser>
        <c:ser>
          <c:idx val="2"/>
          <c:order val="2"/>
          <c:tx>
            <c:strRef>
              <c:f>'EJE SECRETARIAS'!$J$81</c:f>
              <c:strCache>
                <c:ptCount val="1"/>
                <c:pt idx="0">
                  <c:v>% SALDO DISP.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'EJE SECRETARIAS'!$A$82:$A$98</c:f>
              <c:strCache>
                <c:ptCount val="14"/>
                <c:pt idx="0">
                  <c:v>304</c:v>
                </c:pt>
                <c:pt idx="1">
                  <c:v>305</c:v>
                </c:pt>
                <c:pt idx="2">
                  <c:v>307</c:v>
                </c:pt>
                <c:pt idx="3">
                  <c:v>308</c:v>
                </c:pt>
                <c:pt idx="4">
                  <c:v>309</c:v>
                </c:pt>
                <c:pt idx="5">
                  <c:v>310</c:v>
                </c:pt>
                <c:pt idx="6">
                  <c:v>311</c:v>
                </c:pt>
                <c:pt idx="7">
                  <c:v>312</c:v>
                </c:pt>
                <c:pt idx="8">
                  <c:v>313</c:v>
                </c:pt>
                <c:pt idx="9">
                  <c:v>314</c:v>
                </c:pt>
                <c:pt idx="10">
                  <c:v>316</c:v>
                </c:pt>
                <c:pt idx="11">
                  <c:v>317</c:v>
                </c:pt>
                <c:pt idx="12">
                  <c:v>318</c:v>
                </c:pt>
                <c:pt idx="13">
                  <c:v>TOTAL</c:v>
                </c:pt>
              </c:strCache>
            </c:strRef>
          </c:cat>
          <c:val>
            <c:numRef>
              <c:f>'EJE SECRETARIAS'!$J$82:$J$98</c:f>
              <c:numCache>
                <c:formatCode>0%</c:formatCode>
                <c:ptCount val="14"/>
                <c:pt idx="0">
                  <c:v>0.74798173021349956</c:v>
                </c:pt>
                <c:pt idx="1">
                  <c:v>0.13010328648457584</c:v>
                </c:pt>
                <c:pt idx="2">
                  <c:v>9.2213722997705541E-2</c:v>
                </c:pt>
                <c:pt idx="3">
                  <c:v>0.33507815021343351</c:v>
                </c:pt>
                <c:pt idx="4">
                  <c:v>0.42311316136973443</c:v>
                </c:pt>
                <c:pt idx="5">
                  <c:v>0.38284422665468865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78-4EA0-BC0C-AD22A9FD9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0737816"/>
        <c:axId val="250252360"/>
      </c:barChart>
      <c:catAx>
        <c:axId val="25073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Ejecución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252360"/>
        <c:crosses val="autoZero"/>
        <c:auto val="1"/>
        <c:lblAlgn val="ctr"/>
        <c:lblOffset val="100"/>
        <c:noMultiLvlLbl val="0"/>
      </c:catAx>
      <c:valAx>
        <c:axId val="25025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737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1" i="0" u="none" strike="noStrike" kern="1200" cap="all" spc="15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s-CO" sz="700">
                <a:solidFill>
                  <a:srgbClr val="FF0000"/>
                </a:solidFill>
              </a:rPr>
              <a:t>eSDTADO DE eJECUCION  </a:t>
            </a:r>
          </a:p>
          <a:p>
            <a:pPr>
              <a:defRPr sz="700">
                <a:solidFill>
                  <a:srgbClr val="FF0000"/>
                </a:solidFill>
              </a:defRPr>
            </a:pPr>
            <a:r>
              <a:rPr lang="es-CO" sz="700">
                <a:solidFill>
                  <a:srgbClr val="FF0000"/>
                </a:solidFill>
              </a:rPr>
              <a:t>UNIDADES EJECUTORAS</a:t>
            </a:r>
          </a:p>
          <a:p>
            <a:pPr>
              <a:defRPr sz="700">
                <a:solidFill>
                  <a:srgbClr val="FF0000"/>
                </a:solidFill>
              </a:defRPr>
            </a:pPr>
            <a:r>
              <a:rPr lang="es-CO" sz="700">
                <a:solidFill>
                  <a:srgbClr val="FF0000"/>
                </a:solidFill>
              </a:rPr>
              <a:t>SECTOR</a:t>
            </a:r>
            <a:r>
              <a:rPr lang="es-CO" sz="700" baseline="0">
                <a:solidFill>
                  <a:srgbClr val="FF0000"/>
                </a:solidFill>
              </a:rPr>
              <a:t> CENTRAL</a:t>
            </a:r>
          </a:p>
          <a:p>
            <a:pPr>
              <a:defRPr sz="700">
                <a:solidFill>
                  <a:srgbClr val="FF0000"/>
                </a:solidFill>
              </a:defRPr>
            </a:pPr>
            <a:r>
              <a:rPr lang="es-CO" sz="700" baseline="0">
                <a:solidFill>
                  <a:srgbClr val="FF0000"/>
                </a:solidFill>
              </a:rPr>
              <a:t>RANGO CALIFICACION</a:t>
            </a:r>
            <a:endParaRPr lang="es-CO" sz="700">
              <a:solidFill>
                <a:srgbClr val="FF0000"/>
              </a:solidFill>
            </a:endParaRPr>
          </a:p>
          <a:p>
            <a:pPr>
              <a:defRPr sz="700">
                <a:solidFill>
                  <a:srgbClr val="FF0000"/>
                </a:solidFill>
              </a:defRPr>
            </a:pPr>
            <a:r>
              <a:rPr lang="es-CO" sz="700">
                <a:solidFill>
                  <a:srgbClr val="FF0000"/>
                </a:solidFill>
              </a:rPr>
              <a:t>III TRIMESTRE 2017</a:t>
            </a:r>
          </a:p>
        </c:rich>
      </c:tx>
      <c:layout>
        <c:manualLayout>
          <c:xMode val="edge"/>
          <c:yMode val="edge"/>
          <c:x val="0.3509304461942257"/>
          <c:y val="3.93603936039360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cap="all" spc="15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'EJE SECRETARIAS'!$B$53</c:f>
              <c:strCache>
                <c:ptCount val="1"/>
                <c:pt idx="0">
                  <c:v>SECTOR CENTRAL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  <a:sp3d>
                <a:contourClr>
                  <a:schemeClr val="accen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67D-41B4-BF58-15C45462EE1D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accent1"/>
                </a:solidFill>
              </a:ln>
              <a:effectLst/>
              <a:sp3d>
                <a:contourClr>
                  <a:schemeClr val="accen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67D-41B4-BF58-15C45462EE1D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accent1"/>
                </a:solidFill>
              </a:ln>
              <a:effectLst/>
              <a:sp3d>
                <a:contourClr>
                  <a:schemeClr val="accen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67D-41B4-BF58-15C45462EE1D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1"/>
                </a:solidFill>
              </a:ln>
              <a:effectLst/>
              <a:sp3d>
                <a:contourClr>
                  <a:schemeClr val="accen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67D-41B4-BF58-15C45462EE1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accent1"/>
                </a:solidFill>
              </a:ln>
              <a:effectLst/>
              <a:sp3d>
                <a:contourClr>
                  <a:schemeClr val="accen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67D-41B4-BF58-15C45462EE1D}"/>
              </c:ext>
            </c:extLst>
          </c:dPt>
          <c:cat>
            <c:strRef>
              <c:f>'EJE SECRETARIAS'!$A$54:$A$58</c:f>
              <c:strCache>
                <c:ptCount val="5"/>
                <c:pt idx="0">
                  <c:v>Sobresaliente  (Entre 80%-100%) </c:v>
                </c:pt>
                <c:pt idx="1">
                  <c:v>Satisfactorio (Entre 70% -79,99%)</c:v>
                </c:pt>
                <c:pt idx="2">
                  <c:v>Medio (Entre 60%-69,99%)</c:v>
                </c:pt>
                <c:pt idx="3">
                  <c:v>Bajo (Entre 40% - 59,99%)</c:v>
                </c:pt>
                <c:pt idx="4">
                  <c:v>Critico (Entre 0% - 39,99%)</c:v>
                </c:pt>
              </c:strCache>
            </c:strRef>
          </c:cat>
          <c:val>
            <c:numRef>
              <c:f>'EJE SECRETARIAS'!$B$54:$B$58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67D-41B4-BF58-15C45462EE1D}"/>
            </c:ext>
          </c:extLst>
        </c:ser>
        <c:ser>
          <c:idx val="1"/>
          <c:order val="1"/>
          <c:tx>
            <c:strRef>
              <c:f>'EJE SECRETARIAS'!$C$53</c:f>
              <c:strCache>
                <c:ptCount val="1"/>
                <c:pt idx="0">
                  <c:v>%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f>'EJE SECRETARIAS'!$A$54:$A$58</c:f>
              <c:strCache>
                <c:ptCount val="5"/>
                <c:pt idx="0">
                  <c:v>Sobresaliente  (Entre 80%-100%) </c:v>
                </c:pt>
                <c:pt idx="1">
                  <c:v>Satisfactorio (Entre 70% -79,99%)</c:v>
                </c:pt>
                <c:pt idx="2">
                  <c:v>Medio (Entre 60%-69,99%)</c:v>
                </c:pt>
                <c:pt idx="3">
                  <c:v>Bajo (Entre 40% - 59,99%)</c:v>
                </c:pt>
                <c:pt idx="4">
                  <c:v>Critico (Entre 0% - 39,99%)</c:v>
                </c:pt>
              </c:strCache>
            </c:strRef>
          </c:cat>
          <c:val>
            <c:numRef>
              <c:f>'EJE SECRETARIAS'!$C$54:$C$58</c:f>
              <c:numCache>
                <c:formatCode>0%</c:formatCode>
                <c:ptCount val="5"/>
                <c:pt idx="0">
                  <c:v>0.38461538461538464</c:v>
                </c:pt>
                <c:pt idx="1">
                  <c:v>0.15384615384615385</c:v>
                </c:pt>
                <c:pt idx="2">
                  <c:v>0.23076923076923078</c:v>
                </c:pt>
                <c:pt idx="3">
                  <c:v>0.15384615384615385</c:v>
                </c:pt>
                <c:pt idx="4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67D-41B4-BF58-15C45462E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250249640"/>
        <c:axId val="250737112"/>
        <c:axId val="0"/>
      </c:bar3DChart>
      <c:catAx>
        <c:axId val="250249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50737112"/>
        <c:crosses val="autoZero"/>
        <c:auto val="1"/>
        <c:lblAlgn val="ctr"/>
        <c:lblOffset val="100"/>
        <c:noMultiLvlLbl val="0"/>
      </c:catAx>
      <c:valAx>
        <c:axId val="2507371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502496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s-CO" sz="1050">
                <a:solidFill>
                  <a:srgbClr val="FF0000"/>
                </a:solidFill>
              </a:rPr>
              <a:t>Secretaria</a:t>
            </a:r>
            <a:r>
              <a:rPr lang="es-CO" sz="1050" baseline="0">
                <a:solidFill>
                  <a:srgbClr val="FF0000"/>
                </a:solidFill>
              </a:rPr>
              <a:t> Administrativa</a:t>
            </a:r>
          </a:p>
          <a:p>
            <a:pPr>
              <a:defRPr sz="1050" b="0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s-CO" sz="1050" baseline="0">
                <a:solidFill>
                  <a:srgbClr val="FF0000"/>
                </a:solidFill>
              </a:rPr>
              <a:t>Ejecución Gastos de Inversión</a:t>
            </a:r>
          </a:p>
          <a:p>
            <a:pPr>
              <a:defRPr sz="1050" b="0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s-CO" sz="1050" baseline="0">
                <a:solidFill>
                  <a:srgbClr val="FF0000"/>
                </a:solidFill>
              </a:rPr>
              <a:t>III Trimestre de 2017</a:t>
            </a:r>
            <a:endParaRPr lang="es-CO" sz="105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34560156344687532"/>
          <c:y val="2.04368267111578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ADMINISTRATIVA!$E$41</c:f>
              <c:strCache>
                <c:ptCount val="1"/>
                <c:pt idx="0">
                  <c:v>Recursos Ordinarios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ADMINISTRATIVA!$F$40:$K$40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ADMINISTRATIVA!$F$41:$K$41</c:f>
              <c:numCache>
                <c:formatCode>#,##0</c:formatCode>
                <c:ptCount val="6"/>
                <c:pt idx="0">
                  <c:v>2154647401</c:v>
                </c:pt>
                <c:pt idx="1">
                  <c:v>543010510</c:v>
                </c:pt>
                <c:pt idx="2">
                  <c:v>543010510</c:v>
                </c:pt>
                <c:pt idx="3">
                  <c:v>478535510</c:v>
                </c:pt>
                <c:pt idx="4">
                  <c:v>478535510</c:v>
                </c:pt>
                <c:pt idx="5">
                  <c:v>1611636891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DE-489F-8C94-279296E366B0}"/>
            </c:ext>
          </c:extLst>
        </c:ser>
        <c:ser>
          <c:idx val="1"/>
          <c:order val="1"/>
          <c:tx>
            <c:strRef>
              <c:f>ADMINISTRATIVA!$E$42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ADMINISTRATIVA!$F$40:$K$40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ADMINISTRATIVA!$F$42:$K$42</c:f>
              <c:numCache>
                <c:formatCode>0%</c:formatCode>
                <c:ptCount val="6"/>
                <c:pt idx="0">
                  <c:v>1</c:v>
                </c:pt>
                <c:pt idx="1">
                  <c:v>0.25201826978650044</c:v>
                </c:pt>
                <c:pt idx="2">
                  <c:v>0.25201826978650044</c:v>
                </c:pt>
                <c:pt idx="3">
                  <c:v>0.88126380831929019</c:v>
                </c:pt>
                <c:pt idx="4">
                  <c:v>0.88126380831929019</c:v>
                </c:pt>
                <c:pt idx="5">
                  <c:v>0.74798173021349956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DE-489F-8C94-279296E36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9697232"/>
        <c:axId val="249697624"/>
      </c:barChart>
      <c:catAx>
        <c:axId val="24969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Ejecución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9697624"/>
        <c:crosses val="autoZero"/>
        <c:auto val="1"/>
        <c:lblAlgn val="ctr"/>
        <c:lblOffset val="100"/>
        <c:noMultiLvlLbl val="0"/>
      </c:catAx>
      <c:valAx>
        <c:axId val="24969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Gastos</a:t>
                </a:r>
                <a:r>
                  <a:rPr lang="es-CO" baseline="0"/>
                  <a:t> de Inversión</a:t>
                </a:r>
                <a:endParaRPr lang="es-CO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9697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00"/>
              <a:t>Secretaria</a:t>
            </a:r>
            <a:r>
              <a:rPr lang="es-CO" sz="1000" baseline="0"/>
              <a:t> Administrativa</a:t>
            </a:r>
          </a:p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00" baseline="0"/>
              <a:t>Comparativo Ejecución por meses</a:t>
            </a:r>
          </a:p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00" baseline="0"/>
              <a:t>vigencia 2017 </a:t>
            </a:r>
          </a:p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00" baseline="0"/>
              <a:t>(en miles de pesos)</a:t>
            </a:r>
            <a:endParaRPr lang="es-CO" sz="1000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ADMINISTRATIVA!$E$26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(ADMINISTRATIVA!$F$25:$J$25,ADMINISTRATIVA!$M$25:$N$25)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DEF</c:v>
                </c:pt>
              </c:strCache>
            </c:strRef>
          </c:cat>
          <c:val>
            <c:numRef>
              <c:f>(ADMINISTRATIVA!$F$26:$J$26,ADMINISTRATIVA!$M$26:$N$26)</c:f>
              <c:numCache>
                <c:formatCode>#,##0</c:formatCode>
                <c:ptCount val="7"/>
                <c:pt idx="0">
                  <c:v>554647.40099999995</c:v>
                </c:pt>
                <c:pt idx="1">
                  <c:v>25520</c:v>
                </c:pt>
                <c:pt idx="2" formatCode="0%">
                  <c:v>4.6011213527709295E-2</c:v>
                </c:pt>
                <c:pt idx="3">
                  <c:v>25520</c:v>
                </c:pt>
                <c:pt idx="4" formatCode="0%">
                  <c:v>4.6011213527709295E-2</c:v>
                </c:pt>
                <c:pt idx="5" formatCode="_(* #,##0_);_(* \(#,##0\);_(* &quot;-&quot;??_);_(@_)">
                  <c:v>529127.40099999995</c:v>
                </c:pt>
                <c:pt idx="6" formatCode="0%">
                  <c:v>0.95398878647229068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3A-4991-80CA-07DE436AB92E}"/>
            </c:ext>
          </c:extLst>
        </c:ser>
        <c:ser>
          <c:idx val="1"/>
          <c:order val="1"/>
          <c:tx>
            <c:strRef>
              <c:f>ADMINISTRATIVA!$E$27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(ADMINISTRATIVA!$F$25:$J$25,ADMINISTRATIVA!$M$25:$N$25)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DEF</c:v>
                </c:pt>
              </c:strCache>
            </c:strRef>
          </c:cat>
          <c:val>
            <c:numRef>
              <c:f>(ADMINISTRATIVA!$F$27:$J$27,ADMINISTRATIVA!$M$27:$N$27)</c:f>
              <c:numCache>
                <c:formatCode>#,##0</c:formatCode>
                <c:ptCount val="7"/>
                <c:pt idx="0">
                  <c:v>2154647.4010000001</c:v>
                </c:pt>
                <c:pt idx="1">
                  <c:v>64295</c:v>
                </c:pt>
                <c:pt idx="2" formatCode="0%">
                  <c:v>2.9840149237485375E-2</c:v>
                </c:pt>
                <c:pt idx="3">
                  <c:v>51095</c:v>
                </c:pt>
                <c:pt idx="4" formatCode="0%">
                  <c:v>2.3713856836290775E-2</c:v>
                </c:pt>
                <c:pt idx="5" formatCode="_(* #,##0_);_(* \(#,##0\);_(* &quot;-&quot;??_);_(@_)">
                  <c:v>2090352.4010000001</c:v>
                </c:pt>
                <c:pt idx="6" formatCode="0%">
                  <c:v>0.97015985076251465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3A-4991-80CA-07DE436AB92E}"/>
            </c:ext>
          </c:extLst>
        </c:ser>
        <c:ser>
          <c:idx val="2"/>
          <c:order val="2"/>
          <c:tx>
            <c:strRef>
              <c:f>ADMINISTRATIVA!$E$28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(ADMINISTRATIVA!$F$25:$J$25,ADMINISTRATIVA!$M$25:$N$25)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DEF</c:v>
                </c:pt>
              </c:strCache>
            </c:strRef>
          </c:cat>
          <c:val>
            <c:numRef>
              <c:f>(ADMINISTRATIVA!$F$28:$J$28,ADMINISTRATIVA!$M$28:$N$28)</c:f>
              <c:numCache>
                <c:formatCode>#,##0</c:formatCode>
                <c:ptCount val="7"/>
                <c:pt idx="0">
                  <c:v>2154647.4010000001</c:v>
                </c:pt>
                <c:pt idx="1">
                  <c:v>64295</c:v>
                </c:pt>
                <c:pt idx="2" formatCode="0%">
                  <c:v>2.9840149237485375E-2</c:v>
                </c:pt>
                <c:pt idx="3">
                  <c:v>64295</c:v>
                </c:pt>
                <c:pt idx="4" formatCode="0%">
                  <c:v>2.9840149237485375E-2</c:v>
                </c:pt>
                <c:pt idx="5" formatCode="_(* #,##0_);_(* \(#,##0\);_(* &quot;-&quot;??_);_(@_)">
                  <c:v>2090352.4010000001</c:v>
                </c:pt>
                <c:pt idx="6" formatCode="0%">
                  <c:v>0.97015985076251465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3A-4991-80CA-07DE436AB92E}"/>
            </c:ext>
          </c:extLst>
        </c:ser>
        <c:ser>
          <c:idx val="3"/>
          <c:order val="3"/>
          <c:tx>
            <c:strRef>
              <c:f>ADMINISTRATIVA!$E$29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(ADMINISTRATIVA!$F$25:$J$25,ADMINISTRATIVA!$M$25:$N$25)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DEF</c:v>
                </c:pt>
              </c:strCache>
            </c:strRef>
          </c:cat>
          <c:val>
            <c:numRef>
              <c:f>(ADMINISTRATIVA!$F$29:$J$29,ADMINISTRATIVA!$M$29:$N$29)</c:f>
              <c:numCache>
                <c:formatCode>#,##0</c:formatCode>
                <c:ptCount val="7"/>
                <c:pt idx="0">
                  <c:v>2154647.4010000001</c:v>
                </c:pt>
                <c:pt idx="1">
                  <c:v>103295</c:v>
                </c:pt>
                <c:pt idx="2" formatCode="0%">
                  <c:v>4.7940558604651247E-2</c:v>
                </c:pt>
                <c:pt idx="3">
                  <c:v>64295</c:v>
                </c:pt>
                <c:pt idx="4" formatCode="0%">
                  <c:v>2.9840149237485375E-2</c:v>
                </c:pt>
                <c:pt idx="5" formatCode="_(* #,##0_);_(* \(#,##0\);_(* &quot;-&quot;??_);_(@_)">
                  <c:v>2051352.4010000001</c:v>
                </c:pt>
                <c:pt idx="6" formatCode="0%">
                  <c:v>0.9520594413953487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3A-4991-80CA-07DE436AB92E}"/>
            </c:ext>
          </c:extLst>
        </c:ser>
        <c:ser>
          <c:idx val="4"/>
          <c:order val="4"/>
          <c:tx>
            <c:strRef>
              <c:f>ADMINISTRATIVA!$E$30</c:f>
              <c:strCache>
                <c:ptCount val="1"/>
                <c:pt idx="0">
                  <c:v>MAY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(ADMINISTRATIVA!$F$25:$J$25,ADMINISTRATIVA!$M$25:$N$25)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DEF</c:v>
                </c:pt>
              </c:strCache>
            </c:strRef>
          </c:cat>
          <c:val>
            <c:numRef>
              <c:f>(ADMINISTRATIVA!$F$30:$J$30,ADMINISTRATIVA!$M$30:$N$30)</c:f>
              <c:numCache>
                <c:formatCode>#,##0</c:formatCode>
                <c:ptCount val="7"/>
                <c:pt idx="0">
                  <c:v>2154647.4010000001</c:v>
                </c:pt>
                <c:pt idx="1">
                  <c:v>122435</c:v>
                </c:pt>
                <c:pt idx="2" formatCode="0%">
                  <c:v>5.6823682586383421E-2</c:v>
                </c:pt>
                <c:pt idx="3">
                  <c:v>122435</c:v>
                </c:pt>
                <c:pt idx="4" formatCode="0%">
                  <c:v>5.6823682586383421E-2</c:v>
                </c:pt>
                <c:pt idx="5" formatCode="_(* #,##0_);_(* \(#,##0\);_(* &quot;-&quot;??_);_(@_)">
                  <c:v>2032212.4010000001</c:v>
                </c:pt>
                <c:pt idx="6" formatCode="0%">
                  <c:v>0.94317631741361663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3A-4991-80CA-07DE436AB92E}"/>
            </c:ext>
          </c:extLst>
        </c:ser>
        <c:ser>
          <c:idx val="5"/>
          <c:order val="5"/>
          <c:tx>
            <c:strRef>
              <c:f>ADMINISTRATIVA!$E$31</c:f>
              <c:strCache>
                <c:ptCount val="1"/>
                <c:pt idx="0">
                  <c:v>JUN </c:v>
                </c:pt>
              </c:strCache>
            </c:strRef>
          </c:tx>
          <c:invertIfNegative val="0"/>
          <c:cat>
            <c:strRef>
              <c:f>(ADMINISTRATIVA!$F$25:$J$25,ADMINISTRATIVA!$M$25:$N$25)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DEF</c:v>
                </c:pt>
              </c:strCache>
            </c:strRef>
          </c:cat>
          <c:val>
            <c:numRef>
              <c:f>(ADMINISTRATIVA!$F$31:$J$31,ADMINISTRATIVA!$M$31:$N$31)</c:f>
              <c:numCache>
                <c:formatCode>#,##0</c:formatCode>
                <c:ptCount val="7"/>
                <c:pt idx="0">
                  <c:v>2154647.0099999998</c:v>
                </c:pt>
                <c:pt idx="1">
                  <c:v>129935</c:v>
                </c:pt>
                <c:pt idx="2" formatCode="0%">
                  <c:v>6.0304541484964634E-2</c:v>
                </c:pt>
                <c:pt idx="3">
                  <c:v>129935</c:v>
                </c:pt>
                <c:pt idx="4" formatCode="0%">
                  <c:v>6.0304541484964634E-2</c:v>
                </c:pt>
                <c:pt idx="5" formatCode="_(* #,##0_);_(* \(#,##0\);_(* &quot;-&quot;??_);_(@_)">
                  <c:v>2024712.4010000001</c:v>
                </c:pt>
                <c:pt idx="6" formatCode="0%">
                  <c:v>0.93969563998327521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73A-4991-80CA-07DE436AB92E}"/>
            </c:ext>
          </c:extLst>
        </c:ser>
        <c:ser>
          <c:idx val="6"/>
          <c:order val="6"/>
          <c:tx>
            <c:strRef>
              <c:f>ADMINISTRATIVA!$E$32</c:f>
              <c:strCache>
                <c:ptCount val="1"/>
                <c:pt idx="0">
                  <c:v>JUL</c:v>
                </c:pt>
              </c:strCache>
            </c:strRef>
          </c:tx>
          <c:invertIfNegative val="0"/>
          <c:cat>
            <c:strRef>
              <c:f>(ADMINISTRATIVA!$F$25:$J$25,ADMINISTRATIVA!$M$25:$N$25)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DEF</c:v>
                </c:pt>
              </c:strCache>
            </c:strRef>
          </c:cat>
          <c:val>
            <c:numRef>
              <c:f>(ADMINISTRATIVA!$F$32:$J$32,ADMINISTRATIVA!$M$32:$N$32)</c:f>
              <c:numCache>
                <c:formatCode>#,##0</c:formatCode>
                <c:ptCount val="7"/>
                <c:pt idx="0">
                  <c:v>2154647.4010000001</c:v>
                </c:pt>
                <c:pt idx="1">
                  <c:v>416336.80099999998</c:v>
                </c:pt>
                <c:pt idx="2" formatCode="0%">
                  <c:v>0.19322734699272495</c:v>
                </c:pt>
                <c:pt idx="3">
                  <c:v>149135</c:v>
                </c:pt>
                <c:pt idx="4" formatCode="0%">
                  <c:v>6.9215501306981592E-2</c:v>
                </c:pt>
                <c:pt idx="5" formatCode="_(* #,##0_);_(* \(#,##0\);_(* &quot;-&quot;??_);_(@_)">
                  <c:v>1738310.6</c:v>
                </c:pt>
                <c:pt idx="6" formatCode="0%">
                  <c:v>0.80677265300727508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73A-4991-80CA-07DE436AB92E}"/>
            </c:ext>
          </c:extLst>
        </c:ser>
        <c:ser>
          <c:idx val="7"/>
          <c:order val="7"/>
          <c:tx>
            <c:strRef>
              <c:f>ADMINISTRATIVA!$E$33</c:f>
              <c:strCache>
                <c:ptCount val="1"/>
                <c:pt idx="0">
                  <c:v>AGO</c:v>
                </c:pt>
              </c:strCache>
            </c:strRef>
          </c:tx>
          <c:invertIfNegative val="0"/>
          <c:cat>
            <c:strRef>
              <c:f>(ADMINISTRATIVA!$F$25:$J$25,ADMINISTRATIVA!$M$25:$N$25)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DEF</c:v>
                </c:pt>
              </c:strCache>
            </c:strRef>
          </c:cat>
          <c:val>
            <c:numRef>
              <c:f>(ADMINISTRATIVA!$F$33:$J$33,ADMINISTRATIVA!$M$33:$N$33)</c:f>
              <c:numCache>
                <c:formatCode>#,##0</c:formatCode>
                <c:ptCount val="7"/>
                <c:pt idx="0">
                  <c:v>2154647.4010000001</c:v>
                </c:pt>
                <c:pt idx="1">
                  <c:v>471321.14199999999</c:v>
                </c:pt>
                <c:pt idx="2" formatCode="0%">
                  <c:v>0.21874629778461835</c:v>
                </c:pt>
                <c:pt idx="3">
                  <c:v>191033.33300000001</c:v>
                </c:pt>
                <c:pt idx="4" formatCode="0%">
                  <c:v>8.8661064873695322E-2</c:v>
                </c:pt>
                <c:pt idx="5" formatCode="_(* #,##0_);_(* \(#,##0\);_(* &quot;-&quot;??_);_(@_)">
                  <c:v>1683326.2590000001</c:v>
                </c:pt>
                <c:pt idx="6" formatCode="0%">
                  <c:v>0.78125370221538171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6C-4A0F-8084-28A821D8CA68}"/>
            </c:ext>
          </c:extLst>
        </c:ser>
        <c:ser>
          <c:idx val="8"/>
          <c:order val="8"/>
          <c:tx>
            <c:strRef>
              <c:f>ADMINISTRATIVA!$E$34</c:f>
              <c:strCache>
                <c:ptCount val="1"/>
                <c:pt idx="0">
                  <c:v>SEP</c:v>
                </c:pt>
              </c:strCache>
            </c:strRef>
          </c:tx>
          <c:invertIfNegative val="0"/>
          <c:cat>
            <c:strRef>
              <c:f>(ADMINISTRATIVA!$F$25:$J$25,ADMINISTRATIVA!$M$25:$N$25)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DEF</c:v>
                </c:pt>
              </c:strCache>
            </c:strRef>
          </c:cat>
          <c:val>
            <c:numRef>
              <c:f>(ADMINISTRATIVA!$F$34:$J$34,ADMINISTRATIVA!$M$34:$N$34)</c:f>
              <c:numCache>
                <c:formatCode>#,##0</c:formatCode>
                <c:ptCount val="7"/>
                <c:pt idx="0">
                  <c:v>2154647.4010000001</c:v>
                </c:pt>
                <c:pt idx="1">
                  <c:v>471321.14199999999</c:v>
                </c:pt>
                <c:pt idx="2" formatCode="0%">
                  <c:v>0.21874629778461835</c:v>
                </c:pt>
                <c:pt idx="3">
                  <c:v>228954.864</c:v>
                </c:pt>
                <c:pt idx="4" formatCode="0%">
                  <c:v>0.10626094269240483</c:v>
                </c:pt>
                <c:pt idx="5" formatCode="_(* #,##0_);_(* \(#,##0\);_(* &quot;-&quot;??_);_(@_)">
                  <c:v>1683326.2590000001</c:v>
                </c:pt>
                <c:pt idx="6" formatCode="0%">
                  <c:v>0.78125370221538171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6C-4A0F-8084-28A821D8CA68}"/>
            </c:ext>
          </c:extLst>
        </c:ser>
        <c:ser>
          <c:idx val="9"/>
          <c:order val="9"/>
          <c:tx>
            <c:strRef>
              <c:f>ADMINISTRATIVA!$E$35</c:f>
              <c:strCache>
                <c:ptCount val="1"/>
                <c:pt idx="0">
                  <c:v>OCT</c:v>
                </c:pt>
              </c:strCache>
            </c:strRef>
          </c:tx>
          <c:invertIfNegative val="0"/>
          <c:cat>
            <c:strRef>
              <c:f>(ADMINISTRATIVA!$F$25:$J$25,ADMINISTRATIVA!$M$25:$N$25)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DEF</c:v>
                </c:pt>
              </c:strCache>
            </c:strRef>
          </c:cat>
          <c:val>
            <c:numRef>
              <c:f>(ADMINISTRATIVA!$F$35:$J$35,ADMINISTRATIVA!$M$35:$N$35)</c:f>
              <c:numCache>
                <c:formatCode>#,##0</c:formatCode>
                <c:ptCount val="7"/>
                <c:pt idx="0">
                  <c:v>2154647.4010000001</c:v>
                </c:pt>
                <c:pt idx="1">
                  <c:v>551085.75399999996</c:v>
                </c:pt>
                <c:pt idx="2" formatCode="0%">
                  <c:v>0.25576609599521194</c:v>
                </c:pt>
                <c:pt idx="3">
                  <c:v>466673.89799999999</c:v>
                </c:pt>
                <c:pt idx="4" formatCode="0%">
                  <c:v>0.21658945114797462</c:v>
                </c:pt>
                <c:pt idx="5" formatCode="_(* #,##0_);_(* \(#,##0\);_(* &quot;-&quot;??_);_(@_)">
                  <c:v>1603561.6470000001</c:v>
                </c:pt>
                <c:pt idx="6" formatCode="0%">
                  <c:v>0.74423390400478806</c:v>
                </c:pt>
              </c:numCache>
            </c:numRef>
          </c:val>
        </c:ser>
        <c:ser>
          <c:idx val="10"/>
          <c:order val="10"/>
          <c:tx>
            <c:strRef>
              <c:f>ADMINISTRATIVA!$E$36</c:f>
              <c:strCache>
                <c:ptCount val="1"/>
                <c:pt idx="0">
                  <c:v>NOV</c:v>
                </c:pt>
              </c:strCache>
            </c:strRef>
          </c:tx>
          <c:invertIfNegative val="0"/>
          <c:cat>
            <c:strRef>
              <c:f>(ADMINISTRATIVA!$F$25:$J$25,ADMINISTRATIVA!$M$25:$N$25)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DEF</c:v>
                </c:pt>
              </c:strCache>
            </c:strRef>
          </c:cat>
          <c:val>
            <c:numRef>
              <c:f>(ADMINISTRATIVA!$F$36:$J$36,ADMINISTRATIVA!$M$36:$N$36)</c:f>
              <c:numCache>
                <c:formatCode>#,##0</c:formatCode>
                <c:ptCount val="7"/>
                <c:pt idx="0">
                  <c:v>2154647.4010000001</c:v>
                </c:pt>
                <c:pt idx="1">
                  <c:v>553232.42000000004</c:v>
                </c:pt>
                <c:pt idx="2" formatCode="0%">
                  <c:v>0.25676239172276522</c:v>
                </c:pt>
                <c:pt idx="3">
                  <c:v>478535.51</c:v>
                </c:pt>
                <c:pt idx="4" formatCode="0%">
                  <c:v>0.22209458019808967</c:v>
                </c:pt>
                <c:pt idx="5" formatCode="_(* #,##0_);_(* \(#,##0\);_(* &quot;-&quot;??_);_(@_)">
                  <c:v>1601414.9809999999</c:v>
                </c:pt>
                <c:pt idx="6" formatCode="0%">
                  <c:v>0.74323760827723473</c:v>
                </c:pt>
              </c:numCache>
            </c:numRef>
          </c:val>
        </c:ser>
        <c:ser>
          <c:idx val="11"/>
          <c:order val="11"/>
          <c:tx>
            <c:strRef>
              <c:f>ADMINISTRATIVA!$E$37</c:f>
              <c:strCache>
                <c:ptCount val="1"/>
                <c:pt idx="0">
                  <c:v>DIC</c:v>
                </c:pt>
              </c:strCache>
            </c:strRef>
          </c:tx>
          <c:invertIfNegative val="0"/>
          <c:cat>
            <c:strRef>
              <c:f>(ADMINISTRATIVA!$F$25:$J$25,ADMINISTRATIVA!$M$25:$N$25)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</c:v>
                </c:pt>
                <c:pt idx="6">
                  <c:v>% DEF</c:v>
                </c:pt>
              </c:strCache>
            </c:strRef>
          </c:cat>
          <c:val>
            <c:numRef>
              <c:f>(ADMINISTRATIVA!$F$37:$J$37,ADMINISTRATIVA!$M$37:$N$37)</c:f>
              <c:numCache>
                <c:formatCode>#,##0</c:formatCode>
                <c:ptCount val="7"/>
                <c:pt idx="0">
                  <c:v>2154647.4010000001</c:v>
                </c:pt>
                <c:pt idx="1">
                  <c:v>543010.51</c:v>
                </c:pt>
                <c:pt idx="2" formatCode="0%">
                  <c:v>0.25201826978650044</c:v>
                </c:pt>
                <c:pt idx="3">
                  <c:v>543010.51</c:v>
                </c:pt>
                <c:pt idx="4" formatCode="0%">
                  <c:v>0.25201826978650044</c:v>
                </c:pt>
                <c:pt idx="5">
                  <c:v>1611636.8910000001</c:v>
                </c:pt>
                <c:pt idx="6" formatCode="0%">
                  <c:v>0.74798173021349956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9698800"/>
        <c:axId val="249699192"/>
        <c:axId val="0"/>
      </c:bar3DChart>
      <c:catAx>
        <c:axId val="24969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9699192"/>
        <c:crosses val="autoZero"/>
        <c:auto val="1"/>
        <c:lblAlgn val="ctr"/>
        <c:lblOffset val="100"/>
        <c:noMultiLvlLbl val="0"/>
      </c:catAx>
      <c:valAx>
        <c:axId val="24969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Gastos</a:t>
                </a:r>
                <a:r>
                  <a:rPr lang="es-CO" baseline="0"/>
                  <a:t> de Inversión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9698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00"/>
              <a:t>Secretaría</a:t>
            </a:r>
            <a:r>
              <a:rPr lang="es-CO" sz="1000" baseline="0"/>
              <a:t> Administrativa </a:t>
            </a:r>
          </a:p>
          <a:p>
            <a:pPr>
              <a:defRPr sz="1000"/>
            </a:pPr>
            <a:r>
              <a:rPr lang="es-CO" sz="1000"/>
              <a:t>Estado</a:t>
            </a:r>
            <a:r>
              <a:rPr lang="es-CO" sz="1000" baseline="0"/>
              <a:t> de recursos comprometido de la vigencia y recursos del Balance </a:t>
            </a:r>
          </a:p>
          <a:p>
            <a:pPr>
              <a:defRPr sz="1000"/>
            </a:pPr>
            <a:r>
              <a:rPr lang="es-CO" sz="1000" baseline="0"/>
              <a:t>a diciembre 31 de 2017</a:t>
            </a:r>
            <a:endParaRPr lang="es-CO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ADMINISTRATIVA!$D$71</c:f>
              <c:strCache>
                <c:ptCount val="1"/>
                <c:pt idx="0">
                  <c:v>Vigencia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ADMINISTRATIVA!$E$70:$M$70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ADMINISTRATIVA!$E$71:$M$71</c:f>
              <c:numCache>
                <c:formatCode>#,##0</c:formatCode>
                <c:ptCount val="9"/>
                <c:pt idx="0">
                  <c:v>554647401</c:v>
                </c:pt>
                <c:pt idx="1">
                  <c:v>532506510</c:v>
                </c:pt>
                <c:pt idx="2" formatCode="0%">
                  <c:v>0.96008114171258863</c:v>
                </c:pt>
                <c:pt idx="3">
                  <c:v>532506510</c:v>
                </c:pt>
                <c:pt idx="4" formatCode="0%">
                  <c:v>1</c:v>
                </c:pt>
                <c:pt idx="5">
                  <c:v>0</c:v>
                </c:pt>
                <c:pt idx="6" formatCode="0%">
                  <c:v>0</c:v>
                </c:pt>
                <c:pt idx="7">
                  <c:v>22140891</c:v>
                </c:pt>
                <c:pt idx="8" formatCode="0%">
                  <c:v>3.9918858287411318E-2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58-404B-BA44-F388C03CD3A6}"/>
            </c:ext>
          </c:extLst>
        </c:ser>
        <c:ser>
          <c:idx val="1"/>
          <c:order val="1"/>
          <c:tx>
            <c:strRef>
              <c:f>ADMINISTRATIVA!$D$72</c:f>
              <c:strCache>
                <c:ptCount val="1"/>
                <c:pt idx="0">
                  <c:v>Superavit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ADMINISTRATIVA!$E$70:$M$70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ADMINISTRATIVA!$E$72:$M$72</c:f>
              <c:numCache>
                <c:formatCode>#,##0</c:formatCode>
                <c:ptCount val="9"/>
                <c:pt idx="0">
                  <c:v>1600000000</c:v>
                </c:pt>
                <c:pt idx="1">
                  <c:v>10504000</c:v>
                </c:pt>
                <c:pt idx="2" formatCode="0%">
                  <c:v>6.5649999999999997E-3</c:v>
                </c:pt>
                <c:pt idx="3">
                  <c:v>10504000</c:v>
                </c:pt>
                <c:pt idx="4" formatCode="0%">
                  <c:v>6.5649999999999997E-3</c:v>
                </c:pt>
                <c:pt idx="5">
                  <c:v>0</c:v>
                </c:pt>
                <c:pt idx="6" formatCode="0%">
                  <c:v>0</c:v>
                </c:pt>
                <c:pt idx="7">
                  <c:v>1589496000</c:v>
                </c:pt>
                <c:pt idx="8" formatCode="0%">
                  <c:v>0.99343499999999996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58-404B-BA44-F388C03CD3A6}"/>
            </c:ext>
          </c:extLst>
        </c:ser>
        <c:ser>
          <c:idx val="2"/>
          <c:order val="2"/>
          <c:tx>
            <c:strRef>
              <c:f>ADMINISTRATIVA!$D$73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ADMINISTRATIVA!$E$70:$M$70</c:f>
              <c:strCache>
                <c:ptCount val="9"/>
                <c:pt idx="0">
                  <c:v>PPTO DEF.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POR RP</c:v>
                </c:pt>
                <c:pt idx="6">
                  <c:v>% POR RP</c:v>
                </c:pt>
                <c:pt idx="7">
                  <c:v>DISP</c:v>
                </c:pt>
                <c:pt idx="8">
                  <c:v>%</c:v>
                </c:pt>
              </c:strCache>
            </c:strRef>
          </c:cat>
          <c:val>
            <c:numRef>
              <c:f>ADMINISTRATIVA!$E$73:$M$73</c:f>
              <c:numCache>
                <c:formatCode>_(* #,##0_);_(* \(#,##0\);_(* "-"??_);_(@_)</c:formatCode>
                <c:ptCount val="9"/>
                <c:pt idx="0">
                  <c:v>2154647401</c:v>
                </c:pt>
                <c:pt idx="1">
                  <c:v>543010510</c:v>
                </c:pt>
                <c:pt idx="2" formatCode="0%">
                  <c:v>0.25201826978650044</c:v>
                </c:pt>
                <c:pt idx="3">
                  <c:v>543010510</c:v>
                </c:pt>
                <c:pt idx="4" formatCode="0%">
                  <c:v>1</c:v>
                </c:pt>
                <c:pt idx="5">
                  <c:v>0</c:v>
                </c:pt>
                <c:pt idx="6" formatCode="0%">
                  <c:v>0</c:v>
                </c:pt>
                <c:pt idx="7">
                  <c:v>1611636891</c:v>
                </c:pt>
                <c:pt idx="8" formatCode="0%">
                  <c:v>0.74798173021349956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258-404B-BA44-F388C03CD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9700368"/>
        <c:axId val="249700760"/>
        <c:axId val="0"/>
      </c:bar3DChart>
      <c:catAx>
        <c:axId val="249700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Ejecución por tipo de recurso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9700760"/>
        <c:crosses val="autoZero"/>
        <c:auto val="1"/>
        <c:lblAlgn val="ctr"/>
        <c:lblOffset val="100"/>
        <c:noMultiLvlLbl val="0"/>
      </c:catAx>
      <c:valAx>
        <c:axId val="24970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Gastos</a:t>
                </a:r>
                <a:r>
                  <a:rPr lang="es-CO" baseline="0"/>
                  <a:t> de Inversión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97003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s-CO" sz="1050">
                <a:solidFill>
                  <a:srgbClr val="FF0000"/>
                </a:solidFill>
              </a:rPr>
              <a:t>Secretaria de Planeación</a:t>
            </a:r>
          </a:p>
          <a:p>
            <a:pPr>
              <a:defRPr sz="1050">
                <a:solidFill>
                  <a:srgbClr val="FF0000"/>
                </a:solidFill>
              </a:defRPr>
            </a:pPr>
            <a:r>
              <a:rPr lang="es-CO" sz="1050">
                <a:solidFill>
                  <a:srgbClr val="FF0000"/>
                </a:solidFill>
              </a:rPr>
              <a:t>Ejecución Gastos de Inversión </a:t>
            </a:r>
          </a:p>
          <a:p>
            <a:pPr>
              <a:defRPr sz="1050">
                <a:solidFill>
                  <a:srgbClr val="FF0000"/>
                </a:solidFill>
              </a:defRPr>
            </a:pPr>
            <a:r>
              <a:rPr lang="es-CO" sz="1050" baseline="0">
                <a:solidFill>
                  <a:srgbClr val="FF0000"/>
                </a:solidFill>
              </a:rPr>
              <a:t>III Trimestre de </a:t>
            </a:r>
            <a:r>
              <a:rPr lang="es-CO" sz="1050">
                <a:solidFill>
                  <a:srgbClr val="FF0000"/>
                </a:solidFill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PLANEACION!$E$50</c:f>
              <c:strCache>
                <c:ptCount val="1"/>
                <c:pt idx="0">
                  <c:v>Recursos Ordinarios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PLANEACION!$F$49:$K$49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PLANEACION!$F$50:$K$50</c:f>
              <c:numCache>
                <c:formatCode>_(* #,##0_);_(* \(#,##0\);_(* "-"??_);_(@_)</c:formatCode>
                <c:ptCount val="6"/>
                <c:pt idx="0">
                  <c:v>1556000000</c:v>
                </c:pt>
                <c:pt idx="1">
                  <c:v>1353559286.23</c:v>
                </c:pt>
                <c:pt idx="2">
                  <c:v>1353559286.23</c:v>
                </c:pt>
                <c:pt idx="3">
                  <c:v>1144541886.23</c:v>
                </c:pt>
                <c:pt idx="4">
                  <c:v>1144541886.23</c:v>
                </c:pt>
                <c:pt idx="5">
                  <c:v>202440713.77000001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B5-4A73-9415-DBC368B0C735}"/>
            </c:ext>
          </c:extLst>
        </c:ser>
        <c:ser>
          <c:idx val="1"/>
          <c:order val="1"/>
          <c:tx>
            <c:strRef>
              <c:f>PLANEACION!$E$51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PLANEACION!$F$49:$K$49</c:f>
              <c:strCache>
                <c:ptCount val="6"/>
                <c:pt idx="0">
                  <c:v>APROPIACIÓN DEFINITIVA </c:v>
                </c:pt>
                <c:pt idx="1">
                  <c:v>CERTIFICADOS DE DISPONIBILIDAD</c:v>
                </c:pt>
                <c:pt idx="2">
                  <c:v>COMPROMISOS </c:v>
                </c:pt>
                <c:pt idx="3">
                  <c:v>OBLIGACIONES</c:v>
                </c:pt>
                <c:pt idx="4">
                  <c:v>PAGOS ACUMULADOS</c:v>
                </c:pt>
                <c:pt idx="5">
                  <c:v>SALDO DISPONIBLE</c:v>
                </c:pt>
              </c:strCache>
            </c:strRef>
          </c:cat>
          <c:val>
            <c:numRef>
              <c:f>PLANEACION!$F$51:$K$51</c:f>
              <c:numCache>
                <c:formatCode>0%</c:formatCode>
                <c:ptCount val="6"/>
                <c:pt idx="0">
                  <c:v>1</c:v>
                </c:pt>
                <c:pt idx="1">
                  <c:v>0.86989671351542419</c:v>
                </c:pt>
                <c:pt idx="2">
                  <c:v>0.86989671351542419</c:v>
                </c:pt>
                <c:pt idx="3">
                  <c:v>0.84557942742045267</c:v>
                </c:pt>
                <c:pt idx="4">
                  <c:v>0.84557942742045267</c:v>
                </c:pt>
                <c:pt idx="5">
                  <c:v>0.13010328648457584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B5-4A73-9415-DBC368B0C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9671664"/>
        <c:axId val="279672056"/>
        <c:axId val="0"/>
      </c:bar3DChart>
      <c:catAx>
        <c:axId val="279671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Ejecución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9672056"/>
        <c:crosses val="autoZero"/>
        <c:auto val="1"/>
        <c:lblAlgn val="ctr"/>
        <c:lblOffset val="100"/>
        <c:noMultiLvlLbl val="0"/>
      </c:catAx>
      <c:valAx>
        <c:axId val="27967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Gastos</a:t>
                </a:r>
                <a:r>
                  <a:rPr lang="es-CO" baseline="0"/>
                  <a:t> de Inversión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9671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00"/>
              <a:t>Secretaría de Planeación</a:t>
            </a:r>
          </a:p>
          <a:p>
            <a:pPr>
              <a:defRPr sz="1000"/>
            </a:pPr>
            <a:r>
              <a:rPr lang="es-CO" sz="1000"/>
              <a:t>Comparativo ejecución por mes</a:t>
            </a:r>
          </a:p>
          <a:p>
            <a:pPr>
              <a:defRPr sz="1000"/>
            </a:pPr>
            <a:r>
              <a:rPr lang="es-CO" sz="1000"/>
              <a:t>Vigencia 2017</a:t>
            </a:r>
          </a:p>
          <a:p>
            <a:pPr>
              <a:defRPr sz="1000"/>
            </a:pPr>
            <a:r>
              <a:rPr lang="es-CO" sz="1000"/>
              <a:t>(en</a:t>
            </a:r>
            <a:r>
              <a:rPr lang="es-CO" sz="1000" baseline="0"/>
              <a:t> miles de pesos)</a:t>
            </a:r>
            <a:endParaRPr lang="es-CO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PLANEACION!$E$36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(PLANEACION!$F$35:$J$35,PLANEACION!$M$35:$N$35)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DISPONIBLE</c:v>
                </c:pt>
                <c:pt idx="6">
                  <c:v>% DISP</c:v>
                </c:pt>
              </c:strCache>
            </c:strRef>
          </c:cat>
          <c:val>
            <c:numRef>
              <c:f>(PLANEACION!$F$36:$J$36,PLANEACION!$M$36:$N$36)</c:f>
              <c:numCache>
                <c:formatCode>_(* #,##0_);_(* \(#,##0\);_(* "-"??_);_(@_)</c:formatCode>
                <c:ptCount val="7"/>
                <c:pt idx="0">
                  <c:v>1340000</c:v>
                </c:pt>
                <c:pt idx="1">
                  <c:v>375510</c:v>
                </c:pt>
                <c:pt idx="2" formatCode="0%">
                  <c:v>0.28023134328358207</c:v>
                </c:pt>
                <c:pt idx="3">
                  <c:v>312328.36</c:v>
                </c:pt>
                <c:pt idx="4" formatCode="0%">
                  <c:v>0.23308086567164177</c:v>
                </c:pt>
                <c:pt idx="5">
                  <c:v>964490</c:v>
                </c:pt>
                <c:pt idx="6" formatCode="0%">
                  <c:v>0.71976865671641788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28-465D-9E62-C04B3B2CED62}"/>
            </c:ext>
          </c:extLst>
        </c:ser>
        <c:ser>
          <c:idx val="1"/>
          <c:order val="1"/>
          <c:tx>
            <c:strRef>
              <c:f>PLANEACION!$E$37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(PLANEACION!$F$35:$J$35,PLANEACION!$M$35:$N$35)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DISPONIBLE</c:v>
                </c:pt>
                <c:pt idx="6">
                  <c:v>% DISP</c:v>
                </c:pt>
              </c:strCache>
            </c:strRef>
          </c:cat>
          <c:val>
            <c:numRef>
              <c:f>(PLANEACION!$F$37:$J$37,PLANEACION!$M$37:$N$37)</c:f>
              <c:numCache>
                <c:formatCode>_(* #,##0_);_(* \(#,##0\);_(* "-"??_);_(@_)</c:formatCode>
                <c:ptCount val="7"/>
                <c:pt idx="0">
                  <c:v>1530000</c:v>
                </c:pt>
                <c:pt idx="1">
                  <c:v>517120</c:v>
                </c:pt>
                <c:pt idx="2" formatCode="0%">
                  <c:v>0.33798692810457515</c:v>
                </c:pt>
                <c:pt idx="3">
                  <c:v>443503.87599999999</c:v>
                </c:pt>
                <c:pt idx="4" formatCode="0%">
                  <c:v>0.28987181437908494</c:v>
                </c:pt>
                <c:pt idx="5">
                  <c:v>1012880</c:v>
                </c:pt>
                <c:pt idx="6" formatCode="0%">
                  <c:v>0.6620130718954248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28-465D-9E62-C04B3B2CED62}"/>
            </c:ext>
          </c:extLst>
        </c:ser>
        <c:ser>
          <c:idx val="2"/>
          <c:order val="2"/>
          <c:tx>
            <c:strRef>
              <c:f>PLANEACION!$E$38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(PLANEACION!$F$35:$J$35,PLANEACION!$M$35:$N$35)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DISPONIBLE</c:v>
                </c:pt>
                <c:pt idx="6">
                  <c:v>% DISP</c:v>
                </c:pt>
              </c:strCache>
            </c:strRef>
          </c:cat>
          <c:val>
            <c:numRef>
              <c:f>(PLANEACION!$F$38:$J$38,PLANEACION!$M$38:$N$38)</c:f>
              <c:numCache>
                <c:formatCode>_(* #,##0_);_(* \(#,##0\);_(* "-"??_);_(@_)</c:formatCode>
                <c:ptCount val="7"/>
                <c:pt idx="0">
                  <c:v>1530000</c:v>
                </c:pt>
                <c:pt idx="1">
                  <c:v>602340</c:v>
                </c:pt>
                <c:pt idx="2" formatCode="0%">
                  <c:v>0.39368627450980392</c:v>
                </c:pt>
                <c:pt idx="3">
                  <c:v>443499.20899999997</c:v>
                </c:pt>
                <c:pt idx="4" formatCode="0%">
                  <c:v>0.28986876405228756</c:v>
                </c:pt>
                <c:pt idx="5">
                  <c:v>927660</c:v>
                </c:pt>
                <c:pt idx="6" formatCode="0%">
                  <c:v>0.60631372549019613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28-465D-9E62-C04B3B2CED62}"/>
            </c:ext>
          </c:extLst>
        </c:ser>
        <c:ser>
          <c:idx val="3"/>
          <c:order val="3"/>
          <c:tx>
            <c:strRef>
              <c:f>PLANEACION!$E$39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(PLANEACION!$F$35:$J$35,PLANEACION!$M$35:$N$35)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DISPONIBLE</c:v>
                </c:pt>
                <c:pt idx="6">
                  <c:v>% DISP</c:v>
                </c:pt>
              </c:strCache>
            </c:strRef>
          </c:cat>
          <c:val>
            <c:numRef>
              <c:f>(PLANEACION!$F$39:$J$39,PLANEACION!$M$39:$N$39)</c:f>
              <c:numCache>
                <c:formatCode>_(* #,##0_);_(* \(#,##0\);_(* "-"??_);_(@_)</c:formatCode>
                <c:ptCount val="7"/>
                <c:pt idx="0">
                  <c:v>1530000</c:v>
                </c:pt>
                <c:pt idx="1">
                  <c:v>768309.3</c:v>
                </c:pt>
                <c:pt idx="2" formatCode="0%">
                  <c:v>0.50216294117647065</c:v>
                </c:pt>
                <c:pt idx="3">
                  <c:v>448299.20899999997</c:v>
                </c:pt>
                <c:pt idx="4" formatCode="0%">
                  <c:v>0.29300601895424833</c:v>
                </c:pt>
                <c:pt idx="5">
                  <c:v>761690.7</c:v>
                </c:pt>
                <c:pt idx="6" formatCode="0%">
                  <c:v>0.49783705882352935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628-465D-9E62-C04B3B2CED62}"/>
            </c:ext>
          </c:extLst>
        </c:ser>
        <c:ser>
          <c:idx val="4"/>
          <c:order val="4"/>
          <c:tx>
            <c:strRef>
              <c:f>PLANEACION!$E$40</c:f>
              <c:strCache>
                <c:ptCount val="1"/>
                <c:pt idx="0">
                  <c:v>MAY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(PLANEACION!$F$35:$J$35,PLANEACION!$M$35:$N$35)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DISPONIBLE</c:v>
                </c:pt>
                <c:pt idx="6">
                  <c:v>% DISP</c:v>
                </c:pt>
              </c:strCache>
            </c:strRef>
          </c:cat>
          <c:val>
            <c:numRef>
              <c:f>(PLANEACION!$F$40:$J$40,PLANEACION!$M$40:$N$40)</c:f>
              <c:numCache>
                <c:formatCode>_(* #,##0_);_(* \(#,##0\);_(* "-"??_);_(@_)</c:formatCode>
                <c:ptCount val="7"/>
                <c:pt idx="0">
                  <c:v>1530000</c:v>
                </c:pt>
                <c:pt idx="1">
                  <c:v>777814.99300000002</c:v>
                </c:pt>
                <c:pt idx="2" formatCode="0%">
                  <c:v>0.50837581241830065</c:v>
                </c:pt>
                <c:pt idx="3">
                  <c:v>597809.20900000003</c:v>
                </c:pt>
                <c:pt idx="4" formatCode="0%">
                  <c:v>0.3907249732026144</c:v>
                </c:pt>
                <c:pt idx="5">
                  <c:v>752185.00699999998</c:v>
                </c:pt>
                <c:pt idx="6" formatCode="0%">
                  <c:v>0.49162418758169935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628-465D-9E62-C04B3B2CED62}"/>
            </c:ext>
          </c:extLst>
        </c:ser>
        <c:ser>
          <c:idx val="5"/>
          <c:order val="5"/>
          <c:tx>
            <c:strRef>
              <c:f>PLANEACION!$E$41</c:f>
              <c:strCache>
                <c:ptCount val="1"/>
                <c:pt idx="0">
                  <c:v>JUN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(PLANEACION!$F$35:$J$35,PLANEACION!$M$35:$N$35)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DISPONIBLE</c:v>
                </c:pt>
                <c:pt idx="6">
                  <c:v>% DISP</c:v>
                </c:pt>
              </c:strCache>
            </c:strRef>
          </c:cat>
          <c:val>
            <c:numRef>
              <c:f>(PLANEACION!$F$41:$J$41,PLANEACION!$M$41:$N$41)</c:f>
              <c:numCache>
                <c:formatCode>#,##0_);\-#,##0</c:formatCode>
                <c:ptCount val="7"/>
                <c:pt idx="0">
                  <c:v>1530000</c:v>
                </c:pt>
                <c:pt idx="1">
                  <c:v>775778.50899999996</c:v>
                </c:pt>
                <c:pt idx="2" formatCode="0%">
                  <c:v>0.50704477712418294</c:v>
                </c:pt>
                <c:pt idx="3">
                  <c:v>597809.20900000003</c:v>
                </c:pt>
                <c:pt idx="4" formatCode="0%">
                  <c:v>0.3907249732026144</c:v>
                </c:pt>
                <c:pt idx="5">
                  <c:v>754221.49100000004</c:v>
                </c:pt>
                <c:pt idx="6" formatCode="0%">
                  <c:v>0.492955222875817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628-465D-9E62-C04B3B2CED62}"/>
            </c:ext>
          </c:extLst>
        </c:ser>
        <c:ser>
          <c:idx val="6"/>
          <c:order val="6"/>
          <c:tx>
            <c:strRef>
              <c:f>PLANEACION!$E$42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(PLANEACION!$F$35:$J$35,PLANEACION!$M$35:$N$35)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DISPONIBLE</c:v>
                </c:pt>
                <c:pt idx="6">
                  <c:v>% DISP</c:v>
                </c:pt>
              </c:strCache>
            </c:strRef>
          </c:cat>
          <c:val>
            <c:numRef>
              <c:f>(PLANEACION!$F$42:$J$42,PLANEACION!$M$42:$N$42)</c:f>
              <c:numCache>
                <c:formatCode>#,##0_);\-#,##0</c:formatCode>
                <c:ptCount val="7"/>
                <c:pt idx="0">
                  <c:v>1530000</c:v>
                </c:pt>
                <c:pt idx="1">
                  <c:v>893179.07499999995</c:v>
                </c:pt>
                <c:pt idx="2" formatCode="0%">
                  <c:v>0.58377717320261435</c:v>
                </c:pt>
                <c:pt idx="3">
                  <c:v>653434.97499999998</c:v>
                </c:pt>
                <c:pt idx="4" formatCode="0%">
                  <c:v>0.42708168300653593</c:v>
                </c:pt>
                <c:pt idx="5">
                  <c:v>636820.92500000005</c:v>
                </c:pt>
                <c:pt idx="6" formatCode="0%">
                  <c:v>0.41622282679738565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628-465D-9E62-C04B3B2CED62}"/>
            </c:ext>
          </c:extLst>
        </c:ser>
        <c:ser>
          <c:idx val="7"/>
          <c:order val="7"/>
          <c:tx>
            <c:strRef>
              <c:f>PLANEACION!$E$43</c:f>
              <c:strCache>
                <c:ptCount val="1"/>
                <c:pt idx="0">
                  <c:v>AGO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(PLANEACION!$F$35:$J$35,PLANEACION!$M$35:$N$35)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DISPONIBLE</c:v>
                </c:pt>
                <c:pt idx="6">
                  <c:v>% DISP</c:v>
                </c:pt>
              </c:strCache>
            </c:strRef>
          </c:cat>
          <c:val>
            <c:numRef>
              <c:f>(PLANEACION!$F$43:$J$43,PLANEACION!$M$43:$N$43)</c:f>
              <c:numCache>
                <c:formatCode>#,##0_);\-#,##0</c:formatCode>
                <c:ptCount val="7"/>
                <c:pt idx="0">
                  <c:v>1530000</c:v>
                </c:pt>
                <c:pt idx="1">
                  <c:v>1051236.875</c:v>
                </c:pt>
                <c:pt idx="2" formatCode="0%">
                  <c:v>0.68708292483660127</c:v>
                </c:pt>
                <c:pt idx="3">
                  <c:v>998642.75800000003</c:v>
                </c:pt>
                <c:pt idx="4" formatCode="0%">
                  <c:v>0.65270768496732023</c:v>
                </c:pt>
                <c:pt idx="5">
                  <c:v>478763.125</c:v>
                </c:pt>
                <c:pt idx="6" formatCode="0%">
                  <c:v>0.31291707516339867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2F-442B-B9C8-07E2E9E4ADF7}"/>
            </c:ext>
          </c:extLst>
        </c:ser>
        <c:ser>
          <c:idx val="8"/>
          <c:order val="8"/>
          <c:tx>
            <c:strRef>
              <c:f>PLANEACION!$E$44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(PLANEACION!$F$35:$J$35,PLANEACION!$M$35:$N$35)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DISPONIBLE</c:v>
                </c:pt>
                <c:pt idx="6">
                  <c:v>% DISP</c:v>
                </c:pt>
              </c:strCache>
            </c:strRef>
          </c:cat>
          <c:val>
            <c:numRef>
              <c:f>(PLANEACION!$F$44:$J$44,PLANEACION!$M$44:$N$44)</c:f>
              <c:numCache>
                <c:formatCode>#,##0_);\-#,##0</c:formatCode>
                <c:ptCount val="7"/>
                <c:pt idx="0">
                  <c:v>1530000</c:v>
                </c:pt>
                <c:pt idx="1">
                  <c:v>1319782.7579999999</c:v>
                </c:pt>
                <c:pt idx="2" formatCode="0%">
                  <c:v>0.86260310980392152</c:v>
                </c:pt>
                <c:pt idx="3">
                  <c:v>1064282.7579999999</c:v>
                </c:pt>
                <c:pt idx="4" formatCode="0%">
                  <c:v>0.69560964575163398</c:v>
                </c:pt>
                <c:pt idx="5">
                  <c:v>210217.242</c:v>
                </c:pt>
                <c:pt idx="6" formatCode="0%">
                  <c:v>0.13739689019607843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2F-442B-B9C8-07E2E9E4ADF7}"/>
            </c:ext>
          </c:extLst>
        </c:ser>
        <c:ser>
          <c:idx val="9"/>
          <c:order val="9"/>
          <c:tx>
            <c:strRef>
              <c:f>PLANEACION!$E$45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(PLANEACION!$F$35:$J$35,PLANEACION!$M$35:$N$35)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DISPONIBLE</c:v>
                </c:pt>
                <c:pt idx="6">
                  <c:v>% DISP</c:v>
                </c:pt>
              </c:strCache>
            </c:strRef>
          </c:cat>
          <c:val>
            <c:numRef>
              <c:f>(PLANEACION!$F$45:$J$45,PLANEACION!$M$45:$N$45)</c:f>
              <c:numCache>
                <c:formatCode>#,##0_);\-#,##0</c:formatCode>
                <c:ptCount val="7"/>
                <c:pt idx="0">
                  <c:v>1530000</c:v>
                </c:pt>
                <c:pt idx="1">
                  <c:v>1324416.091</c:v>
                </c:pt>
                <c:pt idx="2" formatCode="0%">
                  <c:v>0.86563143202614379</c:v>
                </c:pt>
                <c:pt idx="3">
                  <c:v>1124352.091</c:v>
                </c:pt>
                <c:pt idx="4" formatCode="0%">
                  <c:v>0.73487064771241828</c:v>
                </c:pt>
                <c:pt idx="5">
                  <c:v>205583.90900000001</c:v>
                </c:pt>
                <c:pt idx="6" formatCode="0%">
                  <c:v>0.13436856797385621</c:v>
                </c:pt>
              </c:numCache>
            </c:numRef>
          </c:val>
        </c:ser>
        <c:ser>
          <c:idx val="10"/>
          <c:order val="10"/>
          <c:tx>
            <c:strRef>
              <c:f>PLANEACION!$E$46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(PLANEACION!$F$35:$J$35,PLANEACION!$M$35:$N$35)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DISPONIBLE</c:v>
                </c:pt>
                <c:pt idx="6">
                  <c:v>% DISP</c:v>
                </c:pt>
              </c:strCache>
            </c:strRef>
          </c:cat>
          <c:val>
            <c:numRef>
              <c:f>(PLANEACION!$F$46:$J$46,PLANEACION!$M$46:$N$46)</c:f>
              <c:numCache>
                <c:formatCode>#,##0_);\-#,##0</c:formatCode>
                <c:ptCount val="7"/>
                <c:pt idx="0">
                  <c:v>1556000</c:v>
                </c:pt>
                <c:pt idx="1">
                  <c:v>1382856.618</c:v>
                </c:pt>
                <c:pt idx="2" formatCode="0%">
                  <c:v>0.88872533290488431</c:v>
                </c:pt>
                <c:pt idx="3">
                  <c:v>1328092.1910000001</c:v>
                </c:pt>
                <c:pt idx="4" formatCode="0%">
                  <c:v>0.85352968573264787</c:v>
                </c:pt>
                <c:pt idx="5">
                  <c:v>173143.38200000001</c:v>
                </c:pt>
                <c:pt idx="6" formatCode="0%">
                  <c:v>0.11127466709511569</c:v>
                </c:pt>
              </c:numCache>
            </c:numRef>
          </c:val>
        </c:ser>
        <c:ser>
          <c:idx val="11"/>
          <c:order val="11"/>
          <c:tx>
            <c:strRef>
              <c:f>PLANEACION!$E$47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(PLANEACION!$F$35:$J$35,PLANEACION!$M$35:$N$35)</c:f>
              <c:strCache>
                <c:ptCount val="7"/>
                <c:pt idx="0">
                  <c:v>PPTO</c:v>
                </c:pt>
                <c:pt idx="1">
                  <c:v>CDP</c:v>
                </c:pt>
                <c:pt idx="2">
                  <c:v>% CDP</c:v>
                </c:pt>
                <c:pt idx="3">
                  <c:v>RP</c:v>
                </c:pt>
                <c:pt idx="4">
                  <c:v>% RP</c:v>
                </c:pt>
                <c:pt idx="5">
                  <c:v>DISPONIBLE</c:v>
                </c:pt>
                <c:pt idx="6">
                  <c:v>% DISP</c:v>
                </c:pt>
              </c:strCache>
            </c:strRef>
          </c:cat>
          <c:val>
            <c:numRef>
              <c:f>(PLANEACION!$F$47:$J$47,PLANEACION!$M$47:$N$47)</c:f>
              <c:numCache>
                <c:formatCode>#,##0_);\-#,##0</c:formatCode>
                <c:ptCount val="7"/>
                <c:pt idx="0">
                  <c:v>1556000</c:v>
                </c:pt>
                <c:pt idx="1">
                  <c:v>1353559.28623</c:v>
                </c:pt>
                <c:pt idx="2" formatCode="0%">
                  <c:v>0.86989671351542419</c:v>
                </c:pt>
                <c:pt idx="3">
                  <c:v>1353559.28623</c:v>
                </c:pt>
                <c:pt idx="4" formatCode="0%">
                  <c:v>0.86989671351542419</c:v>
                </c:pt>
                <c:pt idx="5">
                  <c:v>202440.71377</c:v>
                </c:pt>
                <c:pt idx="6" formatCode="0%">
                  <c:v>0.13010328648457584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9673232"/>
        <c:axId val="279673624"/>
        <c:axId val="0"/>
      </c:bar3DChart>
      <c:catAx>
        <c:axId val="279673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Ejecución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9673624"/>
        <c:crosses val="autoZero"/>
        <c:auto val="1"/>
        <c:lblAlgn val="ctr"/>
        <c:lblOffset val="100"/>
        <c:noMultiLvlLbl val="0"/>
      </c:catAx>
      <c:valAx>
        <c:axId val="27967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Gastos</a:t>
                </a:r>
                <a:r>
                  <a:rPr lang="es-CO" baseline="0"/>
                  <a:t> de Inversión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9673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png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image" Target="../media/image1.png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Relationship Id="rId4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image" Target="../media/image1.png"/><Relationship Id="rId4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25</xdr:row>
      <xdr:rowOff>42860</xdr:rowOff>
    </xdr:from>
    <xdr:to>
      <xdr:col>11</xdr:col>
      <xdr:colOff>390525</xdr:colOff>
      <xdr:row>46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666750</xdr:colOff>
      <xdr:row>50</xdr:row>
      <xdr:rowOff>9525</xdr:rowOff>
    </xdr:from>
    <xdr:to>
      <xdr:col>16</xdr:col>
      <xdr:colOff>0</xdr:colOff>
      <xdr:row>68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100</xdr:row>
      <xdr:rowOff>14286</xdr:rowOff>
    </xdr:from>
    <xdr:to>
      <xdr:col>8</xdr:col>
      <xdr:colOff>733425</xdr:colOff>
      <xdr:row>120</xdr:row>
      <xdr:rowOff>57149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123825</xdr:colOff>
      <xdr:row>51</xdr:row>
      <xdr:rowOff>147637</xdr:rowOff>
    </xdr:from>
    <xdr:to>
      <xdr:col>7</xdr:col>
      <xdr:colOff>1162050</xdr:colOff>
      <xdr:row>60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802483</xdr:colOff>
      <xdr:row>0</xdr:row>
      <xdr:rowOff>190499</xdr:rowOff>
    </xdr:from>
    <xdr:to>
      <xdr:col>2</xdr:col>
      <xdr:colOff>742157</xdr:colOff>
      <xdr:row>5</xdr:row>
      <xdr:rowOff>146539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791" y="190499"/>
          <a:ext cx="1319578" cy="1055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1452562</xdr:colOff>
      <xdr:row>44</xdr:row>
      <xdr:rowOff>86914</xdr:rowOff>
    </xdr:from>
    <xdr:to>
      <xdr:col>10</xdr:col>
      <xdr:colOff>107156</xdr:colOff>
      <xdr:row>64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631031</xdr:colOff>
      <xdr:row>38</xdr:row>
      <xdr:rowOff>51194</xdr:rowOff>
    </xdr:from>
    <xdr:to>
      <xdr:col>15</xdr:col>
      <xdr:colOff>369092</xdr:colOff>
      <xdr:row>57</xdr:row>
      <xdr:rowOff>27213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852365</xdr:colOff>
      <xdr:row>76</xdr:row>
      <xdr:rowOff>2196</xdr:rowOff>
    </xdr:from>
    <xdr:to>
      <xdr:col>9</xdr:col>
      <xdr:colOff>280865</xdr:colOff>
      <xdr:row>95</xdr:row>
      <xdr:rowOff>12211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314326</xdr:colOff>
      <xdr:row>0</xdr:row>
      <xdr:rowOff>142874</xdr:rowOff>
    </xdr:from>
    <xdr:to>
      <xdr:col>2</xdr:col>
      <xdr:colOff>176893</xdr:colOff>
      <xdr:row>3</xdr:row>
      <xdr:rowOff>186925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612" y="142874"/>
          <a:ext cx="1250495" cy="778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83343</xdr:colOff>
      <xdr:row>55</xdr:row>
      <xdr:rowOff>181841</xdr:rowOff>
    </xdr:from>
    <xdr:to>
      <xdr:col>8</xdr:col>
      <xdr:colOff>580159</xdr:colOff>
      <xdr:row>73</xdr:row>
      <xdr:rowOff>34636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126998</xdr:colOff>
      <xdr:row>47</xdr:row>
      <xdr:rowOff>125939</xdr:rowOff>
    </xdr:from>
    <xdr:to>
      <xdr:col>15</xdr:col>
      <xdr:colOff>690562</xdr:colOff>
      <xdr:row>71</xdr:row>
      <xdr:rowOff>108857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86</xdr:row>
      <xdr:rowOff>1</xdr:rowOff>
    </xdr:from>
    <xdr:to>
      <xdr:col>9</xdr:col>
      <xdr:colOff>244928</xdr:colOff>
      <xdr:row>104</xdr:row>
      <xdr:rowOff>54430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314326</xdr:colOff>
      <xdr:row>0</xdr:row>
      <xdr:rowOff>142874</xdr:rowOff>
    </xdr:from>
    <xdr:to>
      <xdr:col>2</xdr:col>
      <xdr:colOff>254000</xdr:colOff>
      <xdr:row>3</xdr:row>
      <xdr:rowOff>301624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1" y="142874"/>
          <a:ext cx="1320799" cy="111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1012031</xdr:colOff>
      <xdr:row>56</xdr:row>
      <xdr:rowOff>0</xdr:rowOff>
    </xdr:from>
    <xdr:to>
      <xdr:col>10</xdr:col>
      <xdr:colOff>751417</xdr:colOff>
      <xdr:row>79</xdr:row>
      <xdr:rowOff>74084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571499</xdr:colOff>
      <xdr:row>40</xdr:row>
      <xdr:rowOff>7937</xdr:rowOff>
    </xdr:from>
    <xdr:to>
      <xdr:col>17</xdr:col>
      <xdr:colOff>301625</xdr:colOff>
      <xdr:row>67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1476376</xdr:colOff>
      <xdr:row>88</xdr:row>
      <xdr:rowOff>95249</xdr:rowOff>
    </xdr:from>
    <xdr:to>
      <xdr:col>10</xdr:col>
      <xdr:colOff>1137897</xdr:colOff>
      <xdr:row>106</xdr:row>
      <xdr:rowOff>88447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314326</xdr:colOff>
      <xdr:row>0</xdr:row>
      <xdr:rowOff>142874</xdr:rowOff>
    </xdr:from>
    <xdr:to>
      <xdr:col>2</xdr:col>
      <xdr:colOff>254000</xdr:colOff>
      <xdr:row>3</xdr:row>
      <xdr:rowOff>301624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1" y="142874"/>
          <a:ext cx="1320799" cy="111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750455</xdr:colOff>
      <xdr:row>71</xdr:row>
      <xdr:rowOff>150955</xdr:rowOff>
    </xdr:from>
    <xdr:to>
      <xdr:col>10</xdr:col>
      <xdr:colOff>1544205</xdr:colOff>
      <xdr:row>99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988218</xdr:colOff>
      <xdr:row>53</xdr:row>
      <xdr:rowOff>289319</xdr:rowOff>
    </xdr:from>
    <xdr:to>
      <xdr:col>16</xdr:col>
      <xdr:colOff>693964</xdr:colOff>
      <xdr:row>78</xdr:row>
      <xdr:rowOff>122463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113</xdr:row>
      <xdr:rowOff>0</xdr:rowOff>
    </xdr:from>
    <xdr:to>
      <xdr:col>10</xdr:col>
      <xdr:colOff>1209334</xdr:colOff>
      <xdr:row>130</xdr:row>
      <xdr:rowOff>159885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314326</xdr:colOff>
      <xdr:row>0</xdr:row>
      <xdr:rowOff>142874</xdr:rowOff>
    </xdr:from>
    <xdr:to>
      <xdr:col>2</xdr:col>
      <xdr:colOff>254000</xdr:colOff>
      <xdr:row>3</xdr:row>
      <xdr:rowOff>301624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1" y="142874"/>
          <a:ext cx="1320799" cy="111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1785937</xdr:colOff>
      <xdr:row>61</xdr:row>
      <xdr:rowOff>63102</xdr:rowOff>
    </xdr:from>
    <xdr:to>
      <xdr:col>10</xdr:col>
      <xdr:colOff>547687</xdr:colOff>
      <xdr:row>80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1057953</xdr:colOff>
      <xdr:row>51</xdr:row>
      <xdr:rowOff>256154</xdr:rowOff>
    </xdr:from>
    <xdr:to>
      <xdr:col>20</xdr:col>
      <xdr:colOff>190500</xdr:colOff>
      <xdr:row>79</xdr:row>
      <xdr:rowOff>31751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93</xdr:row>
      <xdr:rowOff>0</xdr:rowOff>
    </xdr:from>
    <xdr:to>
      <xdr:col>10</xdr:col>
      <xdr:colOff>1209334</xdr:colOff>
      <xdr:row>110</xdr:row>
      <xdr:rowOff>159885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314326</xdr:colOff>
      <xdr:row>0</xdr:row>
      <xdr:rowOff>142874</xdr:rowOff>
    </xdr:from>
    <xdr:to>
      <xdr:col>2</xdr:col>
      <xdr:colOff>254000</xdr:colOff>
      <xdr:row>3</xdr:row>
      <xdr:rowOff>301624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1" y="142874"/>
          <a:ext cx="1320799" cy="111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1785937</xdr:colOff>
      <xdr:row>64</xdr:row>
      <xdr:rowOff>63102</xdr:rowOff>
    </xdr:from>
    <xdr:to>
      <xdr:col>10</xdr:col>
      <xdr:colOff>547687</xdr:colOff>
      <xdr:row>83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541733</xdr:colOff>
      <xdr:row>50</xdr:row>
      <xdr:rowOff>51196</xdr:rowOff>
    </xdr:from>
    <xdr:to>
      <xdr:col>17</xdr:col>
      <xdr:colOff>95250</xdr:colOff>
      <xdr:row>70</xdr:row>
      <xdr:rowOff>136071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94</xdr:row>
      <xdr:rowOff>0</xdr:rowOff>
    </xdr:from>
    <xdr:to>
      <xdr:col>10</xdr:col>
      <xdr:colOff>1209334</xdr:colOff>
      <xdr:row>111</xdr:row>
      <xdr:rowOff>159885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0</xdr:rowOff>
    </xdr:from>
    <xdr:to>
      <xdr:col>2</xdr:col>
      <xdr:colOff>1102179</xdr:colOff>
      <xdr:row>1</xdr:row>
      <xdr:rowOff>262889</xdr:rowOff>
    </xdr:to>
    <xdr:pic>
      <xdr:nvPicPr>
        <xdr:cNvPr id="3" name="Imagen 2" descr="http://4.bp.blogspot.com/_W2IFY88iS1c/TO_Oedf0NQI/AAAAAAAAAFw/fJjOEKGo1Og/s1600/Quindio_escudo_1%255B1%255D.jpg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0"/>
          <a:ext cx="721179" cy="725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view="pageBreakPreview" zoomScaleNormal="100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13.28515625" style="130" customWidth="1"/>
    <col min="2" max="2" width="21" style="206" customWidth="1"/>
    <col min="3" max="3" width="19.42578125" style="207" customWidth="1"/>
    <col min="4" max="4" width="13.28515625" style="207" customWidth="1"/>
    <col min="5" max="5" width="18.42578125" style="207" customWidth="1"/>
    <col min="6" max="6" width="15.28515625" style="207" customWidth="1"/>
    <col min="7" max="7" width="19.28515625" style="207" customWidth="1"/>
    <col min="8" max="8" width="19.140625" style="207" customWidth="1"/>
    <col min="9" max="9" width="19.5703125" style="207" customWidth="1"/>
    <col min="10" max="10" width="10.42578125" style="207" customWidth="1"/>
    <col min="11" max="11" width="18.85546875" style="207" customWidth="1"/>
    <col min="12" max="12" width="10.85546875" style="207" customWidth="1"/>
    <col min="13" max="13" width="18.85546875" style="207" customWidth="1"/>
    <col min="14" max="14" width="11.42578125" style="130"/>
    <col min="15" max="15" width="24.28515625" style="130" customWidth="1"/>
    <col min="16" max="16384" width="11.42578125" style="130"/>
  </cols>
  <sheetData>
    <row r="1" spans="1:15" ht="51.75" customHeight="1" x14ac:dyDescent="0.2">
      <c r="A1" s="495" t="s">
        <v>492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</row>
    <row r="2" spans="1:15" ht="103.5" customHeight="1" x14ac:dyDescent="0.2">
      <c r="A2" s="497" t="s">
        <v>299</v>
      </c>
      <c r="B2" s="498"/>
      <c r="C2" s="178" t="s">
        <v>300</v>
      </c>
      <c r="D2" s="178" t="s">
        <v>301</v>
      </c>
      <c r="E2" s="178" t="s">
        <v>302</v>
      </c>
      <c r="F2" s="178" t="s">
        <v>40</v>
      </c>
      <c r="G2" s="178" t="s">
        <v>303</v>
      </c>
      <c r="H2" s="178" t="s">
        <v>42</v>
      </c>
      <c r="I2" s="178" t="s">
        <v>304</v>
      </c>
      <c r="J2" s="178" t="s">
        <v>305</v>
      </c>
      <c r="K2" s="178" t="s">
        <v>16</v>
      </c>
      <c r="L2" s="178" t="s">
        <v>306</v>
      </c>
      <c r="M2" s="178" t="s">
        <v>17</v>
      </c>
      <c r="N2" s="178" t="s">
        <v>307</v>
      </c>
      <c r="O2" s="179" t="s">
        <v>308</v>
      </c>
    </row>
    <row r="3" spans="1:15" ht="15" x14ac:dyDescent="0.2">
      <c r="A3" s="400">
        <v>304</v>
      </c>
      <c r="B3" s="180" t="s">
        <v>309</v>
      </c>
      <c r="C3" s="136">
        <f>ADMINISTRATIVA!F22</f>
        <v>2154647401</v>
      </c>
      <c r="D3" s="181">
        <v>1</v>
      </c>
      <c r="E3" s="136">
        <f>ADMINISTRATIVA!G22</f>
        <v>543010510</v>
      </c>
      <c r="F3" s="181">
        <f>E3/C3</f>
        <v>0.25201826978650044</v>
      </c>
      <c r="G3" s="136">
        <f>ADMINISTRATIVA!H22</f>
        <v>543010510</v>
      </c>
      <c r="H3" s="181">
        <f>G3/C3</f>
        <v>0.25201826978650044</v>
      </c>
      <c r="I3" s="136">
        <f>ADMINISTRATIVA!I22</f>
        <v>478535510</v>
      </c>
      <c r="J3" s="181">
        <f>I3/G3</f>
        <v>0.88126380831929019</v>
      </c>
      <c r="K3" s="136">
        <f>ADMINISTRATIVA!J22</f>
        <v>478535510</v>
      </c>
      <c r="L3" s="181">
        <f>K3/G3</f>
        <v>0.88126380831929019</v>
      </c>
      <c r="M3" s="182">
        <f>C3-E3</f>
        <v>1611636891</v>
      </c>
      <c r="N3" s="82">
        <f>M3/C3</f>
        <v>0.74798173021349956</v>
      </c>
      <c r="O3" s="183">
        <f>G3/C3</f>
        <v>0.25201826978650044</v>
      </c>
    </row>
    <row r="4" spans="1:15" ht="15" x14ac:dyDescent="0.2">
      <c r="A4" s="400">
        <v>305</v>
      </c>
      <c r="B4" s="180" t="s">
        <v>310</v>
      </c>
      <c r="C4" s="136">
        <f>PLANEACION!F31</f>
        <v>1556000000</v>
      </c>
      <c r="D4" s="181">
        <v>1</v>
      </c>
      <c r="E4" s="136">
        <f>PLANEACION!G31</f>
        <v>1353559286.23</v>
      </c>
      <c r="F4" s="181">
        <f t="shared" ref="F4:F15" si="0">E4/C4</f>
        <v>0.86989671351542419</v>
      </c>
      <c r="G4" s="136">
        <f>PLANEACION!H31</f>
        <v>1353559286.23</v>
      </c>
      <c r="H4" s="181">
        <f t="shared" ref="H4:H15" si="1">G4/C4</f>
        <v>0.86989671351542419</v>
      </c>
      <c r="I4" s="136">
        <f>PLANEACION!I31</f>
        <v>1144541886.23</v>
      </c>
      <c r="J4" s="181">
        <f t="shared" ref="J4:J21" si="2">I4/G4</f>
        <v>0.84557942742045267</v>
      </c>
      <c r="K4" s="136">
        <f>PLANEACION!J31</f>
        <v>1144541886.23</v>
      </c>
      <c r="L4" s="181">
        <f t="shared" ref="L4:L15" si="3">K4/G4</f>
        <v>0.84557942742045267</v>
      </c>
      <c r="M4" s="182">
        <f t="shared" ref="M4:M15" si="4">C4-E4</f>
        <v>202440713.76999998</v>
      </c>
      <c r="N4" s="82">
        <f t="shared" ref="N4:N15" si="5">M4/C4</f>
        <v>0.13010328648457584</v>
      </c>
      <c r="O4" s="183">
        <f t="shared" ref="O4:O23" si="6">G4/C4</f>
        <v>0.86989671351542419</v>
      </c>
    </row>
    <row r="5" spans="1:15" ht="15" x14ac:dyDescent="0.2">
      <c r="A5" s="400">
        <v>307</v>
      </c>
      <c r="B5" s="180" t="s">
        <v>311</v>
      </c>
      <c r="C5" s="136">
        <f>HACIENDA!F24</f>
        <v>2230734367</v>
      </c>
      <c r="D5" s="181">
        <v>1</v>
      </c>
      <c r="E5" s="136">
        <f>HACIENDA!G24</f>
        <v>2025030046</v>
      </c>
      <c r="F5" s="181">
        <f t="shared" si="0"/>
        <v>0.90778627700229442</v>
      </c>
      <c r="G5" s="136">
        <f>HACIENDA!H24</f>
        <v>2025030046</v>
      </c>
      <c r="H5" s="181">
        <f t="shared" si="1"/>
        <v>0.90778627700229442</v>
      </c>
      <c r="I5" s="136">
        <f>HACIENDA!I24</f>
        <v>1877567416</v>
      </c>
      <c r="J5" s="181">
        <f t="shared" si="2"/>
        <v>0.92718002861672111</v>
      </c>
      <c r="K5" s="136">
        <f>HACIENDA!J24</f>
        <v>1877567416</v>
      </c>
      <c r="L5" s="181">
        <f t="shared" si="3"/>
        <v>0.92718002861672111</v>
      </c>
      <c r="M5" s="182">
        <f t="shared" si="4"/>
        <v>205704321</v>
      </c>
      <c r="N5" s="82">
        <f t="shared" si="5"/>
        <v>9.2213722997705541E-2</v>
      </c>
      <c r="O5" s="183">
        <f t="shared" si="6"/>
        <v>0.90778627700229442</v>
      </c>
    </row>
    <row r="6" spans="1:15" s="60" customFormat="1" x14ac:dyDescent="0.2">
      <c r="A6" s="218">
        <v>308</v>
      </c>
      <c r="B6" s="45" t="s">
        <v>312</v>
      </c>
      <c r="C6" s="182">
        <f>INFRAESTRUCTURA!F37</f>
        <v>15788210895.279999</v>
      </c>
      <c r="D6" s="181">
        <v>1</v>
      </c>
      <c r="E6" s="182">
        <f>INFRAESTRUCTURA!G37</f>
        <v>10497926393.309999</v>
      </c>
      <c r="F6" s="181">
        <f t="shared" si="0"/>
        <v>0.66492184978656643</v>
      </c>
      <c r="G6" s="182">
        <f>INFRAESTRUCTURA!H37</f>
        <v>10497926393.309999</v>
      </c>
      <c r="H6" s="181">
        <f t="shared" si="1"/>
        <v>0.66492184978656643</v>
      </c>
      <c r="I6" s="136">
        <f>INFRAESTRUCTURA!I37</f>
        <v>9330780138.5100002</v>
      </c>
      <c r="J6" s="181">
        <f t="shared" si="2"/>
        <v>0.88882125754436747</v>
      </c>
      <c r="K6" s="136">
        <f>INFRAESTRUCTURA!J37</f>
        <v>9255102746.5100002</v>
      </c>
      <c r="L6" s="181">
        <f t="shared" si="3"/>
        <v>0.88161246323921527</v>
      </c>
      <c r="M6" s="182">
        <f t="shared" si="4"/>
        <v>5290284501.9699993</v>
      </c>
      <c r="N6" s="184">
        <f t="shared" si="5"/>
        <v>0.33507815021343351</v>
      </c>
      <c r="O6" s="474">
        <f>G6/C6</f>
        <v>0.66492184978656643</v>
      </c>
    </row>
    <row r="7" spans="1:15" s="60" customFormat="1" ht="15" x14ac:dyDescent="0.2">
      <c r="A7" s="218">
        <v>309</v>
      </c>
      <c r="B7" s="185" t="s">
        <v>313</v>
      </c>
      <c r="C7" s="182">
        <f>INTERIOR!F34</f>
        <v>11349624591.1</v>
      </c>
      <c r="D7" s="181">
        <v>1</v>
      </c>
      <c r="E7" s="182">
        <f>INTERIOR!G34</f>
        <v>6547449050</v>
      </c>
      <c r="F7" s="181">
        <f t="shared" si="0"/>
        <v>0.57688683863026557</v>
      </c>
      <c r="G7" s="182">
        <f>INTERIOR!H34</f>
        <v>6547449050</v>
      </c>
      <c r="H7" s="181">
        <f t="shared" si="1"/>
        <v>0.57688683863026557</v>
      </c>
      <c r="I7" s="136">
        <f>INTERIOR!I34</f>
        <v>6408630035</v>
      </c>
      <c r="J7" s="181">
        <f t="shared" si="2"/>
        <v>0.97879799996305428</v>
      </c>
      <c r="K7" s="136">
        <f>INTERIOR!J34</f>
        <v>6408630035</v>
      </c>
      <c r="L7" s="181">
        <f t="shared" si="3"/>
        <v>0.97879799996305428</v>
      </c>
      <c r="M7" s="182">
        <f t="shared" si="4"/>
        <v>4802175541.1000004</v>
      </c>
      <c r="N7" s="184">
        <f t="shared" si="5"/>
        <v>0.42311316136973443</v>
      </c>
      <c r="O7" s="183">
        <f t="shared" si="6"/>
        <v>0.57688683863026557</v>
      </c>
    </row>
    <row r="8" spans="1:15" s="60" customFormat="1" ht="15" x14ac:dyDescent="0.2">
      <c r="A8" s="218">
        <v>310</v>
      </c>
      <c r="B8" s="180" t="s">
        <v>280</v>
      </c>
      <c r="C8" s="136">
        <f>CULTURA!F33</f>
        <v>4853483592.2600002</v>
      </c>
      <c r="D8" s="181">
        <v>1</v>
      </c>
      <c r="E8" s="136">
        <f>CULTURA!G33</f>
        <v>2995355419.8000002</v>
      </c>
      <c r="F8" s="181">
        <f t="shared" si="0"/>
        <v>0.61715577334531135</v>
      </c>
      <c r="G8" s="136">
        <f>CULTURA!H33</f>
        <v>2995355419.8000002</v>
      </c>
      <c r="H8" s="181">
        <f t="shared" si="1"/>
        <v>0.61715577334531135</v>
      </c>
      <c r="I8" s="136">
        <f>CULTURA!I33</f>
        <v>2995355419.8000002</v>
      </c>
      <c r="J8" s="181">
        <f t="shared" si="2"/>
        <v>1</v>
      </c>
      <c r="K8" s="136">
        <f>CULTURA!J33</f>
        <v>2985335419.8000002</v>
      </c>
      <c r="L8" s="181">
        <f t="shared" si="3"/>
        <v>0.99665482101597513</v>
      </c>
      <c r="M8" s="182">
        <f>C8-E8</f>
        <v>1858128172.46</v>
      </c>
      <c r="N8" s="184">
        <f t="shared" si="5"/>
        <v>0.38284422665468865</v>
      </c>
      <c r="O8" s="183">
        <f t="shared" si="6"/>
        <v>0.61715577334531135</v>
      </c>
    </row>
    <row r="9" spans="1:15" s="60" customFormat="1" ht="15" x14ac:dyDescent="0.2">
      <c r="A9" s="218">
        <v>311</v>
      </c>
      <c r="B9" s="180" t="s">
        <v>314</v>
      </c>
      <c r="C9" s="136" t="e">
        <f>#REF!</f>
        <v>#REF!</v>
      </c>
      <c r="D9" s="181">
        <v>1</v>
      </c>
      <c r="E9" s="136" t="e">
        <f>#REF!</f>
        <v>#REF!</v>
      </c>
      <c r="F9" s="181" t="e">
        <f t="shared" si="0"/>
        <v>#REF!</v>
      </c>
      <c r="G9" s="136" t="e">
        <f>#REF!</f>
        <v>#REF!</v>
      </c>
      <c r="H9" s="181" t="e">
        <f t="shared" si="1"/>
        <v>#REF!</v>
      </c>
      <c r="I9" s="136" t="e">
        <f>#REF!</f>
        <v>#REF!</v>
      </c>
      <c r="J9" s="181" t="e">
        <f t="shared" si="2"/>
        <v>#REF!</v>
      </c>
      <c r="K9" s="136" t="e">
        <f>#REF!</f>
        <v>#REF!</v>
      </c>
      <c r="L9" s="181" t="e">
        <f t="shared" si="3"/>
        <v>#REF!</v>
      </c>
      <c r="M9" s="182" t="e">
        <f>C9-E9</f>
        <v>#REF!</v>
      </c>
      <c r="N9" s="184" t="e">
        <f t="shared" si="5"/>
        <v>#REF!</v>
      </c>
      <c r="O9" s="183" t="e">
        <f t="shared" si="6"/>
        <v>#REF!</v>
      </c>
    </row>
    <row r="10" spans="1:15" s="60" customFormat="1" ht="15" x14ac:dyDescent="0.2">
      <c r="A10" s="218">
        <v>312</v>
      </c>
      <c r="B10" s="180" t="s">
        <v>315</v>
      </c>
      <c r="C10" s="136" t="e">
        <f>#REF!</f>
        <v>#REF!</v>
      </c>
      <c r="D10" s="181">
        <v>1</v>
      </c>
      <c r="E10" s="136" t="e">
        <f>#REF!</f>
        <v>#REF!</v>
      </c>
      <c r="F10" s="181" t="e">
        <f t="shared" si="0"/>
        <v>#REF!</v>
      </c>
      <c r="G10" s="136" t="e">
        <f>#REF!</f>
        <v>#REF!</v>
      </c>
      <c r="H10" s="181" t="e">
        <f t="shared" si="1"/>
        <v>#REF!</v>
      </c>
      <c r="I10" s="136" t="e">
        <f>#REF!</f>
        <v>#REF!</v>
      </c>
      <c r="J10" s="181" t="e">
        <f t="shared" si="2"/>
        <v>#REF!</v>
      </c>
      <c r="K10" s="136" t="e">
        <f>#REF!</f>
        <v>#REF!</v>
      </c>
      <c r="L10" s="181" t="e">
        <f t="shared" si="3"/>
        <v>#REF!</v>
      </c>
      <c r="M10" s="182" t="e">
        <f>C10-E10</f>
        <v>#REF!</v>
      </c>
      <c r="N10" s="184" t="e">
        <f t="shared" si="5"/>
        <v>#REF!</v>
      </c>
      <c r="O10" s="183" t="e">
        <f t="shared" si="6"/>
        <v>#REF!</v>
      </c>
    </row>
    <row r="11" spans="1:15" s="191" customFormat="1" ht="15" x14ac:dyDescent="0.2">
      <c r="A11" s="219">
        <v>313</v>
      </c>
      <c r="B11" s="187" t="s">
        <v>316</v>
      </c>
      <c r="C11" s="188" t="e">
        <f>#REF!</f>
        <v>#REF!</v>
      </c>
      <c r="D11" s="181">
        <v>1</v>
      </c>
      <c r="E11" s="189" t="e">
        <f>#REF!</f>
        <v>#REF!</v>
      </c>
      <c r="F11" s="181" t="e">
        <f t="shared" si="0"/>
        <v>#REF!</v>
      </c>
      <c r="G11" s="188" t="e">
        <f>#REF!</f>
        <v>#REF!</v>
      </c>
      <c r="H11" s="181" t="e">
        <f t="shared" si="1"/>
        <v>#REF!</v>
      </c>
      <c r="I11" s="188" t="e">
        <f>#REF!</f>
        <v>#REF!</v>
      </c>
      <c r="J11" s="181" t="e">
        <f t="shared" si="2"/>
        <v>#REF!</v>
      </c>
      <c r="K11" s="188" t="e">
        <f>#REF!</f>
        <v>#REF!</v>
      </c>
      <c r="L11" s="181" t="e">
        <f t="shared" si="3"/>
        <v>#REF!</v>
      </c>
      <c r="M11" s="190" t="e">
        <f t="shared" ref="M11:M13" si="7">C11-E11</f>
        <v>#REF!</v>
      </c>
      <c r="N11" s="184" t="e">
        <f t="shared" si="5"/>
        <v>#REF!</v>
      </c>
      <c r="O11" s="183" t="e">
        <f t="shared" si="6"/>
        <v>#REF!</v>
      </c>
    </row>
    <row r="12" spans="1:15" s="191" customFormat="1" ht="15" x14ac:dyDescent="0.2">
      <c r="A12" s="219">
        <v>314</v>
      </c>
      <c r="B12" s="187" t="s">
        <v>298</v>
      </c>
      <c r="C12" s="192" t="e">
        <f>#REF!</f>
        <v>#REF!</v>
      </c>
      <c r="D12" s="181">
        <v>1</v>
      </c>
      <c r="E12" s="192" t="e">
        <f>#REF!</f>
        <v>#REF!</v>
      </c>
      <c r="F12" s="181" t="e">
        <f t="shared" si="0"/>
        <v>#REF!</v>
      </c>
      <c r="G12" s="192" t="e">
        <f>#REF!</f>
        <v>#REF!</v>
      </c>
      <c r="H12" s="181" t="e">
        <f>G12/C12</f>
        <v>#REF!</v>
      </c>
      <c r="I12" s="192" t="e">
        <f>#REF!</f>
        <v>#REF!</v>
      </c>
      <c r="J12" s="181" t="e">
        <f t="shared" si="2"/>
        <v>#REF!</v>
      </c>
      <c r="K12" s="192" t="e">
        <f>#REF!</f>
        <v>#REF!</v>
      </c>
      <c r="L12" s="181" t="e">
        <f t="shared" si="3"/>
        <v>#REF!</v>
      </c>
      <c r="M12" s="192" t="e">
        <f t="shared" si="7"/>
        <v>#REF!</v>
      </c>
      <c r="N12" s="184" t="e">
        <f t="shared" si="5"/>
        <v>#REF!</v>
      </c>
      <c r="O12" s="183" t="e">
        <f t="shared" si="6"/>
        <v>#REF!</v>
      </c>
    </row>
    <row r="13" spans="1:15" s="60" customFormat="1" ht="15" x14ac:dyDescent="0.2">
      <c r="A13" s="218">
        <v>316</v>
      </c>
      <c r="B13" s="180" t="s">
        <v>317</v>
      </c>
      <c r="C13" s="193" t="e">
        <f>#REF!</f>
        <v>#REF!</v>
      </c>
      <c r="D13" s="181">
        <v>1</v>
      </c>
      <c r="E13" s="193" t="e">
        <f>#REF!</f>
        <v>#REF!</v>
      </c>
      <c r="F13" s="181" t="e">
        <f t="shared" si="0"/>
        <v>#REF!</v>
      </c>
      <c r="G13" s="193" t="e">
        <f>#REF!</f>
        <v>#REF!</v>
      </c>
      <c r="H13" s="181" t="e">
        <f t="shared" si="1"/>
        <v>#REF!</v>
      </c>
      <c r="I13" s="193" t="e">
        <f>#REF!</f>
        <v>#REF!</v>
      </c>
      <c r="J13" s="181" t="e">
        <f t="shared" si="2"/>
        <v>#REF!</v>
      </c>
      <c r="K13" s="193" t="e">
        <f>#REF!</f>
        <v>#REF!</v>
      </c>
      <c r="L13" s="181" t="e">
        <f t="shared" si="3"/>
        <v>#REF!</v>
      </c>
      <c r="M13" s="182" t="e">
        <f t="shared" si="7"/>
        <v>#REF!</v>
      </c>
      <c r="N13" s="184" t="e">
        <f t="shared" si="5"/>
        <v>#REF!</v>
      </c>
      <c r="O13" s="183" t="e">
        <f t="shared" si="6"/>
        <v>#REF!</v>
      </c>
    </row>
    <row r="14" spans="1:15" s="60" customFormat="1" ht="15" x14ac:dyDescent="0.2">
      <c r="A14" s="218">
        <v>317</v>
      </c>
      <c r="B14" s="185" t="s">
        <v>318</v>
      </c>
      <c r="C14" s="182" t="e">
        <f>#REF!</f>
        <v>#REF!</v>
      </c>
      <c r="D14" s="181">
        <v>1</v>
      </c>
      <c r="E14" s="182" t="e">
        <f>#REF!</f>
        <v>#REF!</v>
      </c>
      <c r="F14" s="181" t="e">
        <f t="shared" si="0"/>
        <v>#REF!</v>
      </c>
      <c r="G14" s="182" t="e">
        <f>#REF!</f>
        <v>#REF!</v>
      </c>
      <c r="H14" s="181" t="e">
        <f t="shared" si="1"/>
        <v>#REF!</v>
      </c>
      <c r="I14" s="182" t="e">
        <f>#REF!</f>
        <v>#REF!</v>
      </c>
      <c r="J14" s="181" t="e">
        <f t="shared" si="2"/>
        <v>#REF!</v>
      </c>
      <c r="K14" s="182" t="e">
        <f>#REF!</f>
        <v>#REF!</v>
      </c>
      <c r="L14" s="181" t="e">
        <f t="shared" si="3"/>
        <v>#REF!</v>
      </c>
      <c r="M14" s="182" t="e">
        <f>C14-E14</f>
        <v>#REF!</v>
      </c>
      <c r="N14" s="184" t="e">
        <f t="shared" si="5"/>
        <v>#REF!</v>
      </c>
      <c r="O14" s="194" t="e">
        <f t="shared" si="6"/>
        <v>#REF!</v>
      </c>
    </row>
    <row r="15" spans="1:15" ht="15" x14ac:dyDescent="0.2">
      <c r="A15" s="400">
        <v>318</v>
      </c>
      <c r="B15" s="180" t="s">
        <v>294</v>
      </c>
      <c r="C15" s="136" t="e">
        <f>#REF!</f>
        <v>#REF!</v>
      </c>
      <c r="D15" s="181">
        <v>1</v>
      </c>
      <c r="E15" s="136" t="e">
        <f>#REF!</f>
        <v>#REF!</v>
      </c>
      <c r="F15" s="181" t="e">
        <f t="shared" si="0"/>
        <v>#REF!</v>
      </c>
      <c r="G15" s="136" t="e">
        <f>#REF!</f>
        <v>#REF!</v>
      </c>
      <c r="H15" s="181" t="e">
        <f t="shared" si="1"/>
        <v>#REF!</v>
      </c>
      <c r="I15" s="136" t="e">
        <f>#REF!</f>
        <v>#REF!</v>
      </c>
      <c r="J15" s="181" t="e">
        <f t="shared" si="2"/>
        <v>#REF!</v>
      </c>
      <c r="K15" s="136" t="e">
        <f>#REF!</f>
        <v>#REF!</v>
      </c>
      <c r="L15" s="181" t="e">
        <f t="shared" si="3"/>
        <v>#REF!</v>
      </c>
      <c r="M15" s="182" t="e">
        <f t="shared" si="4"/>
        <v>#REF!</v>
      </c>
      <c r="N15" s="82" t="e">
        <f t="shared" si="5"/>
        <v>#REF!</v>
      </c>
      <c r="O15" s="194" t="e">
        <f t="shared" si="6"/>
        <v>#REF!</v>
      </c>
    </row>
    <row r="16" spans="1:15" s="60" customFormat="1" ht="15" x14ac:dyDescent="0.2">
      <c r="A16" s="195" t="s">
        <v>319</v>
      </c>
      <c r="B16" s="196"/>
      <c r="C16" s="197" t="e">
        <f>SUM(C3:C15)</f>
        <v>#REF!</v>
      </c>
      <c r="D16" s="198">
        <v>1</v>
      </c>
      <c r="E16" s="197" t="e">
        <f>SUM(E3:E15)</f>
        <v>#REF!</v>
      </c>
      <c r="F16" s="198" t="e">
        <f>E16/C16</f>
        <v>#REF!</v>
      </c>
      <c r="G16" s="197" t="e">
        <f t="shared" ref="G16:M16" si="8">SUM(G3:G15)</f>
        <v>#REF!</v>
      </c>
      <c r="H16" s="198" t="e">
        <f>G16/C16</f>
        <v>#REF!</v>
      </c>
      <c r="I16" s="197" t="e">
        <f t="shared" si="8"/>
        <v>#REF!</v>
      </c>
      <c r="J16" s="198" t="e">
        <f t="shared" si="2"/>
        <v>#REF!</v>
      </c>
      <c r="K16" s="197" t="e">
        <f t="shared" si="8"/>
        <v>#REF!</v>
      </c>
      <c r="L16" s="198" t="e">
        <f>K16/G16</f>
        <v>#REF!</v>
      </c>
      <c r="M16" s="197" t="e">
        <f t="shared" si="8"/>
        <v>#REF!</v>
      </c>
      <c r="N16" s="198" t="e">
        <f>M16/C16</f>
        <v>#REF!</v>
      </c>
      <c r="O16" s="194" t="e">
        <f t="shared" si="6"/>
        <v>#REF!</v>
      </c>
    </row>
    <row r="17" spans="1:15" s="60" customFormat="1" ht="15.75" customHeight="1" x14ac:dyDescent="0.2">
      <c r="B17" s="199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O17" s="173"/>
    </row>
    <row r="18" spans="1:15" s="60" customFormat="1" ht="15" x14ac:dyDescent="0.2">
      <c r="A18" s="201">
        <v>319</v>
      </c>
      <c r="B18" s="180" t="s">
        <v>320</v>
      </c>
      <c r="C18" s="136" t="e">
        <f>#REF!</f>
        <v>#REF!</v>
      </c>
      <c r="D18" s="181">
        <v>1</v>
      </c>
      <c r="E18" s="136" t="e">
        <f>#REF!</f>
        <v>#REF!</v>
      </c>
      <c r="F18" s="181" t="e">
        <f t="shared" ref="F18:F20" si="9">E18/C18</f>
        <v>#REF!</v>
      </c>
      <c r="G18" s="136" t="e">
        <f>#REF!</f>
        <v>#REF!</v>
      </c>
      <c r="H18" s="181" t="e">
        <f t="shared" ref="H18:H20" si="10">G18/C18</f>
        <v>#REF!</v>
      </c>
      <c r="I18" s="136" t="e">
        <f>#REF!</f>
        <v>#REF!</v>
      </c>
      <c r="J18" s="181">
        <v>0</v>
      </c>
      <c r="K18" s="136" t="e">
        <f>#REF!</f>
        <v>#REF!</v>
      </c>
      <c r="L18" s="181">
        <v>0</v>
      </c>
      <c r="M18" s="182" t="e">
        <f t="shared" ref="M18:M20" si="11">C18-E18</f>
        <v>#REF!</v>
      </c>
      <c r="N18" s="184" t="e">
        <f t="shared" ref="N18:N20" si="12">M18/C18</f>
        <v>#REF!</v>
      </c>
      <c r="O18" s="194" t="e">
        <f t="shared" si="6"/>
        <v>#REF!</v>
      </c>
    </row>
    <row r="19" spans="1:15" s="60" customFormat="1" ht="15" x14ac:dyDescent="0.2">
      <c r="A19" s="201">
        <v>320</v>
      </c>
      <c r="B19" s="180" t="s">
        <v>321</v>
      </c>
      <c r="C19" s="136" t="e">
        <f>#REF!</f>
        <v>#REF!</v>
      </c>
      <c r="D19" s="181">
        <v>1</v>
      </c>
      <c r="E19" s="136" t="e">
        <f>#REF!</f>
        <v>#REF!</v>
      </c>
      <c r="F19" s="181" t="e">
        <f t="shared" si="9"/>
        <v>#REF!</v>
      </c>
      <c r="G19" s="136" t="e">
        <f>#REF!</f>
        <v>#REF!</v>
      </c>
      <c r="H19" s="181" t="e">
        <f t="shared" si="10"/>
        <v>#REF!</v>
      </c>
      <c r="I19" s="136" t="e">
        <f>#REF!</f>
        <v>#REF!</v>
      </c>
      <c r="J19" s="181">
        <v>0</v>
      </c>
      <c r="K19" s="136" t="e">
        <f>#REF!</f>
        <v>#REF!</v>
      </c>
      <c r="L19" s="181">
        <v>0</v>
      </c>
      <c r="M19" s="182" t="e">
        <f t="shared" si="11"/>
        <v>#REF!</v>
      </c>
      <c r="N19" s="184" t="e">
        <f t="shared" si="12"/>
        <v>#REF!</v>
      </c>
      <c r="O19" s="194" t="e">
        <f t="shared" si="6"/>
        <v>#REF!</v>
      </c>
    </row>
    <row r="20" spans="1:15" s="60" customFormat="1" ht="15" x14ac:dyDescent="0.2">
      <c r="A20" s="201">
        <v>321</v>
      </c>
      <c r="B20" s="180" t="s">
        <v>322</v>
      </c>
      <c r="C20" s="136" t="e">
        <f>#REF!</f>
        <v>#REF!</v>
      </c>
      <c r="D20" s="181">
        <v>1</v>
      </c>
      <c r="E20" s="136" t="e">
        <f>#REF!</f>
        <v>#REF!</v>
      </c>
      <c r="F20" s="181" t="e">
        <f t="shared" si="9"/>
        <v>#REF!</v>
      </c>
      <c r="G20" s="136" t="e">
        <f>#REF!</f>
        <v>#REF!</v>
      </c>
      <c r="H20" s="181" t="e">
        <f t="shared" si="10"/>
        <v>#REF!</v>
      </c>
      <c r="I20" s="136" t="e">
        <f>#REF!</f>
        <v>#REF!</v>
      </c>
      <c r="J20" s="181">
        <v>0</v>
      </c>
      <c r="K20" s="136" t="e">
        <f>#REF!</f>
        <v>#REF!</v>
      </c>
      <c r="L20" s="181">
        <v>0</v>
      </c>
      <c r="M20" s="182" t="e">
        <f t="shared" si="11"/>
        <v>#REF!</v>
      </c>
      <c r="N20" s="184" t="e">
        <f t="shared" si="12"/>
        <v>#REF!</v>
      </c>
      <c r="O20" s="194" t="e">
        <f t="shared" si="6"/>
        <v>#REF!</v>
      </c>
    </row>
    <row r="21" spans="1:15" ht="15" customHeight="1" x14ac:dyDescent="0.2">
      <c r="A21" s="202" t="s">
        <v>319</v>
      </c>
      <c r="B21" s="203"/>
      <c r="C21" s="204" t="e">
        <f>SUM(C18:C20)</f>
        <v>#REF!</v>
      </c>
      <c r="D21" s="198">
        <v>1</v>
      </c>
      <c r="E21" s="204" t="e">
        <f t="shared" ref="E21:M21" si="13">SUM(E18:E20)</f>
        <v>#REF!</v>
      </c>
      <c r="F21" s="198" t="e">
        <f>E21/C21</f>
        <v>#REF!</v>
      </c>
      <c r="G21" s="204" t="e">
        <f t="shared" si="13"/>
        <v>#REF!</v>
      </c>
      <c r="H21" s="198" t="e">
        <f>G21/C21</f>
        <v>#REF!</v>
      </c>
      <c r="I21" s="204" t="e">
        <f t="shared" si="13"/>
        <v>#REF!</v>
      </c>
      <c r="J21" s="198" t="e">
        <f t="shared" si="2"/>
        <v>#REF!</v>
      </c>
      <c r="K21" s="204" t="e">
        <f t="shared" si="13"/>
        <v>#REF!</v>
      </c>
      <c r="L21" s="198" t="e">
        <f>K21/G21</f>
        <v>#REF!</v>
      </c>
      <c r="M21" s="204" t="e">
        <f t="shared" si="13"/>
        <v>#REF!</v>
      </c>
      <c r="N21" s="198" t="e">
        <f>M21/C21</f>
        <v>#REF!</v>
      </c>
      <c r="O21" s="194" t="e">
        <f t="shared" si="6"/>
        <v>#REF!</v>
      </c>
    </row>
    <row r="22" spans="1:15" ht="6.75" customHeight="1" x14ac:dyDescent="0.2">
      <c r="D22" s="208"/>
      <c r="F22" s="208"/>
    </row>
    <row r="23" spans="1:15" ht="15" customHeight="1" x14ac:dyDescent="0.2">
      <c r="A23" s="209" t="s">
        <v>254</v>
      </c>
      <c r="B23" s="210"/>
      <c r="C23" s="211" t="e">
        <f>C21+C16</f>
        <v>#REF!</v>
      </c>
      <c r="D23" s="198">
        <v>1</v>
      </c>
      <c r="E23" s="211" t="e">
        <f>E21+E16</f>
        <v>#REF!</v>
      </c>
      <c r="F23" s="198" t="e">
        <f>E23/C23</f>
        <v>#REF!</v>
      </c>
      <c r="G23" s="211" t="e">
        <f>G21+G16</f>
        <v>#REF!</v>
      </c>
      <c r="H23" s="198" t="e">
        <f>G23/C23</f>
        <v>#REF!</v>
      </c>
      <c r="I23" s="211" t="e">
        <f>I21+I16</f>
        <v>#REF!</v>
      </c>
      <c r="J23" s="198" t="e">
        <f t="shared" ref="J23" si="14">I23/G23</f>
        <v>#REF!</v>
      </c>
      <c r="K23" s="211" t="e">
        <f>K21+K16</f>
        <v>#REF!</v>
      </c>
      <c r="L23" s="198" t="e">
        <f>K23/G23</f>
        <v>#REF!</v>
      </c>
      <c r="M23" s="211" t="e">
        <f>M21+M16</f>
        <v>#REF!</v>
      </c>
      <c r="N23" s="198" t="e">
        <f>M23/C23</f>
        <v>#REF!</v>
      </c>
      <c r="O23" s="194" t="e">
        <f t="shared" si="6"/>
        <v>#REF!</v>
      </c>
    </row>
    <row r="24" spans="1:15" ht="15" x14ac:dyDescent="0.25">
      <c r="C24" s="476"/>
      <c r="D24" s="475"/>
      <c r="E24" s="475"/>
      <c r="F24" s="475"/>
      <c r="G24" s="476"/>
      <c r="H24" s="475"/>
      <c r="I24" s="476"/>
    </row>
    <row r="26" spans="1:15" x14ac:dyDescent="0.2">
      <c r="A26" s="499" t="s">
        <v>299</v>
      </c>
      <c r="B26" s="499"/>
      <c r="C26" s="499"/>
      <c r="D26" s="499"/>
      <c r="E26" s="499"/>
    </row>
    <row r="27" spans="1:15" x14ac:dyDescent="0.2">
      <c r="A27" s="45">
        <v>304</v>
      </c>
      <c r="B27" s="500" t="s">
        <v>309</v>
      </c>
      <c r="C27" s="500"/>
      <c r="D27" s="500"/>
      <c r="E27" s="500"/>
    </row>
    <row r="28" spans="1:15" x14ac:dyDescent="0.2">
      <c r="A28" s="45">
        <v>305</v>
      </c>
      <c r="B28" s="500" t="s">
        <v>310</v>
      </c>
      <c r="C28" s="500"/>
      <c r="D28" s="500"/>
      <c r="E28" s="500"/>
    </row>
    <row r="29" spans="1:15" x14ac:dyDescent="0.2">
      <c r="A29" s="45">
        <v>307</v>
      </c>
      <c r="B29" s="500" t="s">
        <v>311</v>
      </c>
      <c r="C29" s="500"/>
      <c r="D29" s="500"/>
      <c r="E29" s="500"/>
    </row>
    <row r="30" spans="1:15" x14ac:dyDescent="0.2">
      <c r="A30" s="45">
        <v>308</v>
      </c>
      <c r="B30" s="501" t="s">
        <v>312</v>
      </c>
      <c r="C30" s="501"/>
      <c r="D30" s="501"/>
      <c r="E30" s="501"/>
    </row>
    <row r="31" spans="1:15" x14ac:dyDescent="0.2">
      <c r="A31" s="45">
        <v>309</v>
      </c>
      <c r="B31" s="501" t="s">
        <v>313</v>
      </c>
      <c r="C31" s="501"/>
      <c r="D31" s="501"/>
      <c r="E31" s="501"/>
    </row>
    <row r="32" spans="1:15" x14ac:dyDescent="0.2">
      <c r="A32" s="45">
        <v>310</v>
      </c>
      <c r="B32" s="500" t="s">
        <v>280</v>
      </c>
      <c r="C32" s="500"/>
      <c r="D32" s="500"/>
      <c r="E32" s="500"/>
    </row>
    <row r="33" spans="1:14" x14ac:dyDescent="0.2">
      <c r="A33" s="45">
        <v>311</v>
      </c>
      <c r="B33" s="500" t="s">
        <v>314</v>
      </c>
      <c r="C33" s="500"/>
      <c r="D33" s="500"/>
      <c r="E33" s="500"/>
    </row>
    <row r="34" spans="1:14" x14ac:dyDescent="0.2">
      <c r="A34" s="45">
        <v>312</v>
      </c>
      <c r="B34" s="500" t="s">
        <v>315</v>
      </c>
      <c r="C34" s="500"/>
      <c r="D34" s="500"/>
      <c r="E34" s="500"/>
    </row>
    <row r="35" spans="1:14" x14ac:dyDescent="0.2">
      <c r="A35" s="186">
        <v>313</v>
      </c>
      <c r="B35" s="494" t="s">
        <v>316</v>
      </c>
      <c r="C35" s="494"/>
      <c r="D35" s="494"/>
      <c r="E35" s="494"/>
    </row>
    <row r="36" spans="1:14" x14ac:dyDescent="0.2">
      <c r="A36" s="186">
        <v>314</v>
      </c>
      <c r="B36" s="494" t="s">
        <v>298</v>
      </c>
      <c r="C36" s="494"/>
      <c r="D36" s="494"/>
      <c r="E36" s="494"/>
    </row>
    <row r="37" spans="1:14" x14ac:dyDescent="0.2">
      <c r="A37" s="45">
        <v>316</v>
      </c>
      <c r="B37" s="500" t="s">
        <v>317</v>
      </c>
      <c r="C37" s="500"/>
      <c r="D37" s="500"/>
      <c r="E37" s="500"/>
    </row>
    <row r="38" spans="1:14" x14ac:dyDescent="0.2">
      <c r="A38" s="45">
        <v>317</v>
      </c>
      <c r="B38" s="501" t="s">
        <v>318</v>
      </c>
      <c r="C38" s="501"/>
      <c r="D38" s="501"/>
      <c r="E38" s="501"/>
    </row>
    <row r="39" spans="1:14" x14ac:dyDescent="0.2">
      <c r="A39" s="45">
        <v>318</v>
      </c>
      <c r="B39" s="500" t="s">
        <v>294</v>
      </c>
      <c r="C39" s="500"/>
      <c r="D39" s="500"/>
      <c r="E39" s="500"/>
    </row>
    <row r="40" spans="1:14" x14ac:dyDescent="0.2">
      <c r="A40" s="201">
        <v>319</v>
      </c>
      <c r="B40" s="500" t="s">
        <v>320</v>
      </c>
      <c r="C40" s="500"/>
      <c r="D40" s="500"/>
      <c r="E40" s="500"/>
    </row>
    <row r="41" spans="1:14" x14ac:dyDescent="0.2">
      <c r="A41" s="201">
        <v>320</v>
      </c>
      <c r="B41" s="500" t="s">
        <v>321</v>
      </c>
      <c r="C41" s="500"/>
      <c r="D41" s="500"/>
      <c r="E41" s="500"/>
    </row>
    <row r="42" spans="1:14" x14ac:dyDescent="0.2">
      <c r="A42" s="201">
        <v>321</v>
      </c>
      <c r="B42" s="500" t="s">
        <v>322</v>
      </c>
      <c r="C42" s="500"/>
      <c r="D42" s="500"/>
      <c r="E42" s="500"/>
    </row>
    <row r="48" spans="1:14" s="214" customFormat="1" ht="30.75" customHeight="1" x14ac:dyDescent="0.2">
      <c r="A48" s="502" t="s">
        <v>299</v>
      </c>
      <c r="B48" s="503"/>
      <c r="C48" s="212" t="s">
        <v>323</v>
      </c>
      <c r="D48" s="213" t="s">
        <v>301</v>
      </c>
      <c r="E48" s="212" t="s">
        <v>324</v>
      </c>
      <c r="F48" s="213" t="s">
        <v>40</v>
      </c>
      <c r="G48" s="212" t="s">
        <v>325</v>
      </c>
      <c r="H48" s="213" t="s">
        <v>42</v>
      </c>
      <c r="I48" s="212" t="s">
        <v>326</v>
      </c>
      <c r="J48" s="213" t="s">
        <v>305</v>
      </c>
      <c r="K48" s="212" t="s">
        <v>327</v>
      </c>
      <c r="L48" s="213" t="s">
        <v>306</v>
      </c>
      <c r="M48" s="212" t="s">
        <v>17</v>
      </c>
      <c r="N48" s="212" t="s">
        <v>307</v>
      </c>
    </row>
    <row r="49" spans="1:14" ht="15" customHeight="1" x14ac:dyDescent="0.2">
      <c r="A49" s="209" t="s">
        <v>254</v>
      </c>
      <c r="B49" s="210"/>
      <c r="C49" s="211" t="e">
        <f>C23/1000000</f>
        <v>#REF!</v>
      </c>
      <c r="D49" s="205">
        <v>1</v>
      </c>
      <c r="E49" s="211" t="e">
        <f>E23/1000000</f>
        <v>#REF!</v>
      </c>
      <c r="F49" s="205" t="e">
        <f>E49/C49</f>
        <v>#REF!</v>
      </c>
      <c r="G49" s="211" t="e">
        <f>G23/1000000</f>
        <v>#REF!</v>
      </c>
      <c r="H49" s="205" t="e">
        <f>G49/C49</f>
        <v>#REF!</v>
      </c>
      <c r="I49" s="211" t="e">
        <f>I23/1000000</f>
        <v>#REF!</v>
      </c>
      <c r="J49" s="198" t="e">
        <f>I49/G49</f>
        <v>#REF!</v>
      </c>
      <c r="K49" s="211" t="e">
        <f>K23/1000000</f>
        <v>#REF!</v>
      </c>
      <c r="L49" s="205" t="e">
        <f>K49/G49</f>
        <v>#REF!</v>
      </c>
      <c r="M49" s="211" t="e">
        <f>M23/1000000</f>
        <v>#REF!</v>
      </c>
      <c r="N49" s="205" t="e">
        <f>M49/C49</f>
        <v>#REF!</v>
      </c>
    </row>
    <row r="53" spans="1:14" x14ac:dyDescent="0.2">
      <c r="A53" s="462" t="s">
        <v>479</v>
      </c>
      <c r="B53" s="463" t="s">
        <v>484</v>
      </c>
      <c r="C53" s="463" t="s">
        <v>301</v>
      </c>
    </row>
    <row r="54" spans="1:14" ht="38.25" x14ac:dyDescent="0.2">
      <c r="A54" s="464" t="s">
        <v>485</v>
      </c>
      <c r="B54" s="465">
        <v>5</v>
      </c>
      <c r="C54" s="466">
        <f>+B54/B59</f>
        <v>0.38461538461538464</v>
      </c>
    </row>
    <row r="55" spans="1:14" ht="38.25" x14ac:dyDescent="0.2">
      <c r="A55" s="464" t="s">
        <v>480</v>
      </c>
      <c r="B55" s="467">
        <v>2</v>
      </c>
      <c r="C55" s="466">
        <f>+B55/B59</f>
        <v>0.15384615384615385</v>
      </c>
    </row>
    <row r="56" spans="1:14" ht="25.5" x14ac:dyDescent="0.2">
      <c r="A56" s="464" t="s">
        <v>481</v>
      </c>
      <c r="B56" s="468">
        <v>3</v>
      </c>
      <c r="C56" s="466">
        <f>+B56/B59</f>
        <v>0.23076923076923078</v>
      </c>
    </row>
    <row r="57" spans="1:14" ht="25.5" x14ac:dyDescent="0.2">
      <c r="A57" s="464" t="s">
        <v>482</v>
      </c>
      <c r="B57" s="469">
        <v>2</v>
      </c>
      <c r="C57" s="466">
        <f>+B57/B59</f>
        <v>0.15384615384615385</v>
      </c>
    </row>
    <row r="58" spans="1:14" ht="25.5" x14ac:dyDescent="0.2">
      <c r="A58" s="464" t="s">
        <v>483</v>
      </c>
      <c r="B58" s="470">
        <v>1</v>
      </c>
      <c r="C58" s="466">
        <f>+B58/B59</f>
        <v>7.6923076923076927E-2</v>
      </c>
    </row>
    <row r="59" spans="1:14" x14ac:dyDescent="0.2">
      <c r="A59" s="471" t="s">
        <v>35</v>
      </c>
      <c r="B59" s="472">
        <f>SUM(B54:B58)</f>
        <v>13</v>
      </c>
      <c r="C59" s="473">
        <f>SUM(C54:C58)</f>
        <v>1.0000000000000002</v>
      </c>
    </row>
    <row r="81" spans="1:10" ht="38.25" x14ac:dyDescent="0.2">
      <c r="A81" s="215" t="s">
        <v>299</v>
      </c>
      <c r="B81" s="216"/>
      <c r="C81" s="217" t="s">
        <v>300</v>
      </c>
      <c r="D81" s="178" t="s">
        <v>301</v>
      </c>
      <c r="E81" s="217" t="s">
        <v>302</v>
      </c>
      <c r="F81" s="178" t="s">
        <v>40</v>
      </c>
      <c r="G81" s="217" t="s">
        <v>303</v>
      </c>
      <c r="H81" s="178" t="s">
        <v>42</v>
      </c>
      <c r="I81" s="217" t="s">
        <v>17</v>
      </c>
      <c r="J81" s="217" t="s">
        <v>307</v>
      </c>
    </row>
    <row r="82" spans="1:10" x14ac:dyDescent="0.2">
      <c r="A82" s="143">
        <v>304</v>
      </c>
      <c r="B82" s="180" t="s">
        <v>309</v>
      </c>
      <c r="C82" s="136">
        <f t="shared" ref="C82:C94" si="15">C3</f>
        <v>2154647401</v>
      </c>
      <c r="D82" s="181">
        <v>1</v>
      </c>
      <c r="E82" s="136">
        <f>E3</f>
        <v>543010510</v>
      </c>
      <c r="F82" s="181">
        <f>E82/C82</f>
        <v>0.25201826978650044</v>
      </c>
      <c r="G82" s="136">
        <f>G3</f>
        <v>543010510</v>
      </c>
      <c r="H82" s="181">
        <f>G82/C82</f>
        <v>0.25201826978650044</v>
      </c>
      <c r="I82" s="182">
        <f>M3</f>
        <v>1611636891</v>
      </c>
      <c r="J82" s="82">
        <f>I82/C82</f>
        <v>0.74798173021349956</v>
      </c>
    </row>
    <row r="83" spans="1:10" x14ac:dyDescent="0.2">
      <c r="A83" s="143">
        <v>305</v>
      </c>
      <c r="B83" s="180" t="s">
        <v>310</v>
      </c>
      <c r="C83" s="136">
        <f t="shared" si="15"/>
        <v>1556000000</v>
      </c>
      <c r="D83" s="181">
        <v>1</v>
      </c>
      <c r="E83" s="136">
        <f t="shared" ref="E83:G94" si="16">E4</f>
        <v>1353559286.23</v>
      </c>
      <c r="F83" s="181">
        <f t="shared" ref="F83:F97" si="17">E83/C83</f>
        <v>0.86989671351542419</v>
      </c>
      <c r="G83" s="136">
        <f t="shared" si="16"/>
        <v>1353559286.23</v>
      </c>
      <c r="H83" s="181">
        <f t="shared" ref="H83:H98" si="18">G83/C83</f>
        <v>0.86989671351542419</v>
      </c>
      <c r="I83" s="182">
        <f t="shared" ref="I83:I94" si="19">M4</f>
        <v>202440713.76999998</v>
      </c>
      <c r="J83" s="82">
        <f t="shared" ref="J83:J94" si="20">I83/C83</f>
        <v>0.13010328648457584</v>
      </c>
    </row>
    <row r="84" spans="1:10" x14ac:dyDescent="0.2">
      <c r="A84" s="143">
        <v>307</v>
      </c>
      <c r="B84" s="180" t="s">
        <v>311</v>
      </c>
      <c r="C84" s="136">
        <f t="shared" si="15"/>
        <v>2230734367</v>
      </c>
      <c r="D84" s="181">
        <v>1</v>
      </c>
      <c r="E84" s="136">
        <f t="shared" si="16"/>
        <v>2025030046</v>
      </c>
      <c r="F84" s="181">
        <f t="shared" si="17"/>
        <v>0.90778627700229442</v>
      </c>
      <c r="G84" s="136">
        <f t="shared" si="16"/>
        <v>2025030046</v>
      </c>
      <c r="H84" s="181">
        <f t="shared" si="18"/>
        <v>0.90778627700229442</v>
      </c>
      <c r="I84" s="182">
        <f t="shared" si="19"/>
        <v>205704321</v>
      </c>
      <c r="J84" s="82">
        <f t="shared" si="20"/>
        <v>9.2213722997705541E-2</v>
      </c>
    </row>
    <row r="85" spans="1:10" x14ac:dyDescent="0.2">
      <c r="A85" s="218">
        <v>308</v>
      </c>
      <c r="B85" s="45" t="s">
        <v>312</v>
      </c>
      <c r="C85" s="136">
        <f t="shared" si="15"/>
        <v>15788210895.279999</v>
      </c>
      <c r="D85" s="181">
        <v>1</v>
      </c>
      <c r="E85" s="136">
        <f t="shared" si="16"/>
        <v>10497926393.309999</v>
      </c>
      <c r="F85" s="181">
        <f t="shared" si="17"/>
        <v>0.66492184978656643</v>
      </c>
      <c r="G85" s="136">
        <f t="shared" si="16"/>
        <v>10497926393.309999</v>
      </c>
      <c r="H85" s="181">
        <f t="shared" si="18"/>
        <v>0.66492184978656643</v>
      </c>
      <c r="I85" s="182">
        <f t="shared" si="19"/>
        <v>5290284501.9699993</v>
      </c>
      <c r="J85" s="82">
        <f t="shared" si="20"/>
        <v>0.33507815021343351</v>
      </c>
    </row>
    <row r="86" spans="1:10" x14ac:dyDescent="0.2">
      <c r="A86" s="218">
        <v>309</v>
      </c>
      <c r="B86" s="185" t="s">
        <v>313</v>
      </c>
      <c r="C86" s="136">
        <f t="shared" si="15"/>
        <v>11349624591.1</v>
      </c>
      <c r="D86" s="181">
        <v>1</v>
      </c>
      <c r="E86" s="136">
        <f t="shared" si="16"/>
        <v>6547449050</v>
      </c>
      <c r="F86" s="181">
        <f t="shared" si="17"/>
        <v>0.57688683863026557</v>
      </c>
      <c r="G86" s="136">
        <f t="shared" si="16"/>
        <v>6547449050</v>
      </c>
      <c r="H86" s="181">
        <f t="shared" si="18"/>
        <v>0.57688683863026557</v>
      </c>
      <c r="I86" s="182">
        <f t="shared" si="19"/>
        <v>4802175541.1000004</v>
      </c>
      <c r="J86" s="82">
        <f t="shared" si="20"/>
        <v>0.42311316136973443</v>
      </c>
    </row>
    <row r="87" spans="1:10" x14ac:dyDescent="0.2">
      <c r="A87" s="218">
        <v>310</v>
      </c>
      <c r="B87" s="180" t="s">
        <v>280</v>
      </c>
      <c r="C87" s="136">
        <f t="shared" si="15"/>
        <v>4853483592.2600002</v>
      </c>
      <c r="D87" s="181">
        <v>1</v>
      </c>
      <c r="E87" s="136">
        <f t="shared" si="16"/>
        <v>2995355419.8000002</v>
      </c>
      <c r="F87" s="181">
        <f t="shared" si="17"/>
        <v>0.61715577334531135</v>
      </c>
      <c r="G87" s="136">
        <f t="shared" si="16"/>
        <v>2995355419.8000002</v>
      </c>
      <c r="H87" s="181">
        <f t="shared" si="18"/>
        <v>0.61715577334531135</v>
      </c>
      <c r="I87" s="182">
        <f t="shared" si="19"/>
        <v>1858128172.46</v>
      </c>
      <c r="J87" s="82">
        <f t="shared" si="20"/>
        <v>0.38284422665468865</v>
      </c>
    </row>
    <row r="88" spans="1:10" x14ac:dyDescent="0.2">
      <c r="A88" s="218">
        <v>311</v>
      </c>
      <c r="B88" s="180" t="s">
        <v>314</v>
      </c>
      <c r="C88" s="136" t="e">
        <f t="shared" si="15"/>
        <v>#REF!</v>
      </c>
      <c r="D88" s="181">
        <v>1</v>
      </c>
      <c r="E88" s="136" t="e">
        <f t="shared" si="16"/>
        <v>#REF!</v>
      </c>
      <c r="F88" s="181" t="e">
        <f t="shared" si="17"/>
        <v>#REF!</v>
      </c>
      <c r="G88" s="136" t="e">
        <f t="shared" si="16"/>
        <v>#REF!</v>
      </c>
      <c r="H88" s="181" t="e">
        <f t="shared" si="18"/>
        <v>#REF!</v>
      </c>
      <c r="I88" s="182" t="e">
        <f t="shared" si="19"/>
        <v>#REF!</v>
      </c>
      <c r="J88" s="82" t="e">
        <f t="shared" si="20"/>
        <v>#REF!</v>
      </c>
    </row>
    <row r="89" spans="1:10" x14ac:dyDescent="0.2">
      <c r="A89" s="218">
        <v>312</v>
      </c>
      <c r="B89" s="180" t="s">
        <v>315</v>
      </c>
      <c r="C89" s="136" t="e">
        <f t="shared" si="15"/>
        <v>#REF!</v>
      </c>
      <c r="D89" s="181">
        <v>1</v>
      </c>
      <c r="E89" s="136" t="e">
        <f t="shared" si="16"/>
        <v>#REF!</v>
      </c>
      <c r="F89" s="181" t="e">
        <f t="shared" si="17"/>
        <v>#REF!</v>
      </c>
      <c r="G89" s="136" t="e">
        <f t="shared" si="16"/>
        <v>#REF!</v>
      </c>
      <c r="H89" s="181" t="e">
        <f t="shared" si="18"/>
        <v>#REF!</v>
      </c>
      <c r="I89" s="182" t="e">
        <f t="shared" si="19"/>
        <v>#REF!</v>
      </c>
      <c r="J89" s="82" t="e">
        <f t="shared" si="20"/>
        <v>#REF!</v>
      </c>
    </row>
    <row r="90" spans="1:10" x14ac:dyDescent="0.2">
      <c r="A90" s="219">
        <v>313</v>
      </c>
      <c r="B90" s="187" t="s">
        <v>316</v>
      </c>
      <c r="C90" s="136" t="e">
        <f t="shared" si="15"/>
        <v>#REF!</v>
      </c>
      <c r="D90" s="181">
        <v>1</v>
      </c>
      <c r="E90" s="136" t="e">
        <f t="shared" si="16"/>
        <v>#REF!</v>
      </c>
      <c r="F90" s="181" t="e">
        <f t="shared" si="17"/>
        <v>#REF!</v>
      </c>
      <c r="G90" s="136" t="e">
        <f t="shared" si="16"/>
        <v>#REF!</v>
      </c>
      <c r="H90" s="181" t="e">
        <f t="shared" si="18"/>
        <v>#REF!</v>
      </c>
      <c r="I90" s="182" t="e">
        <f t="shared" si="19"/>
        <v>#REF!</v>
      </c>
      <c r="J90" s="82" t="e">
        <f t="shared" si="20"/>
        <v>#REF!</v>
      </c>
    </row>
    <row r="91" spans="1:10" x14ac:dyDescent="0.2">
      <c r="A91" s="219">
        <v>314</v>
      </c>
      <c r="B91" s="187" t="s">
        <v>298</v>
      </c>
      <c r="C91" s="136" t="e">
        <f t="shared" si="15"/>
        <v>#REF!</v>
      </c>
      <c r="D91" s="181">
        <v>1</v>
      </c>
      <c r="E91" s="136" t="e">
        <f t="shared" si="16"/>
        <v>#REF!</v>
      </c>
      <c r="F91" s="181" t="e">
        <f t="shared" si="17"/>
        <v>#REF!</v>
      </c>
      <c r="G91" s="136" t="e">
        <f t="shared" si="16"/>
        <v>#REF!</v>
      </c>
      <c r="H91" s="181" t="e">
        <f>G91/C91</f>
        <v>#REF!</v>
      </c>
      <c r="I91" s="182" t="e">
        <f t="shared" si="19"/>
        <v>#REF!</v>
      </c>
      <c r="J91" s="82" t="e">
        <f t="shared" si="20"/>
        <v>#REF!</v>
      </c>
    </row>
    <row r="92" spans="1:10" x14ac:dyDescent="0.2">
      <c r="A92" s="218">
        <v>316</v>
      </c>
      <c r="B92" s="180" t="s">
        <v>317</v>
      </c>
      <c r="C92" s="136" t="e">
        <f t="shared" si="15"/>
        <v>#REF!</v>
      </c>
      <c r="D92" s="181">
        <v>1</v>
      </c>
      <c r="E92" s="136" t="e">
        <f t="shared" si="16"/>
        <v>#REF!</v>
      </c>
      <c r="F92" s="181" t="e">
        <f t="shared" si="17"/>
        <v>#REF!</v>
      </c>
      <c r="G92" s="136" t="e">
        <f t="shared" si="16"/>
        <v>#REF!</v>
      </c>
      <c r="H92" s="181" t="e">
        <f t="shared" si="18"/>
        <v>#REF!</v>
      </c>
      <c r="I92" s="182" t="e">
        <f t="shared" si="19"/>
        <v>#REF!</v>
      </c>
      <c r="J92" s="82" t="e">
        <f t="shared" si="20"/>
        <v>#REF!</v>
      </c>
    </row>
    <row r="93" spans="1:10" x14ac:dyDescent="0.2">
      <c r="A93" s="218">
        <v>317</v>
      </c>
      <c r="B93" s="185" t="s">
        <v>318</v>
      </c>
      <c r="C93" s="136" t="e">
        <f t="shared" si="15"/>
        <v>#REF!</v>
      </c>
      <c r="D93" s="181">
        <v>1</v>
      </c>
      <c r="E93" s="136" t="e">
        <f t="shared" si="16"/>
        <v>#REF!</v>
      </c>
      <c r="F93" s="181" t="e">
        <f t="shared" si="17"/>
        <v>#REF!</v>
      </c>
      <c r="G93" s="136" t="e">
        <f t="shared" si="16"/>
        <v>#REF!</v>
      </c>
      <c r="H93" s="181" t="e">
        <f t="shared" si="18"/>
        <v>#REF!</v>
      </c>
      <c r="I93" s="182" t="e">
        <f t="shared" si="19"/>
        <v>#REF!</v>
      </c>
      <c r="J93" s="82" t="e">
        <f t="shared" si="20"/>
        <v>#REF!</v>
      </c>
    </row>
    <row r="94" spans="1:10" x14ac:dyDescent="0.2">
      <c r="A94" s="143">
        <v>318</v>
      </c>
      <c r="B94" s="180" t="s">
        <v>294</v>
      </c>
      <c r="C94" s="136" t="e">
        <f t="shared" si="15"/>
        <v>#REF!</v>
      </c>
      <c r="D94" s="181">
        <v>1</v>
      </c>
      <c r="E94" s="136" t="e">
        <f t="shared" si="16"/>
        <v>#REF!</v>
      </c>
      <c r="F94" s="181" t="e">
        <f t="shared" si="17"/>
        <v>#REF!</v>
      </c>
      <c r="G94" s="136" t="e">
        <f t="shared" si="16"/>
        <v>#REF!</v>
      </c>
      <c r="H94" s="181" t="e">
        <f t="shared" si="18"/>
        <v>#REF!</v>
      </c>
      <c r="I94" s="182" t="e">
        <f t="shared" si="19"/>
        <v>#REF!</v>
      </c>
      <c r="J94" s="82" t="e">
        <f t="shared" si="20"/>
        <v>#REF!</v>
      </c>
    </row>
    <row r="95" spans="1:10" hidden="1" x14ac:dyDescent="0.2">
      <c r="A95" s="135">
        <v>319</v>
      </c>
      <c r="B95" s="180" t="s">
        <v>320</v>
      </c>
      <c r="C95" s="136" t="e">
        <f>C18</f>
        <v>#REF!</v>
      </c>
      <c r="D95" s="181">
        <v>1</v>
      </c>
      <c r="E95" s="136" t="e">
        <f>E18</f>
        <v>#REF!</v>
      </c>
      <c r="F95" s="181" t="e">
        <f t="shared" si="17"/>
        <v>#REF!</v>
      </c>
      <c r="G95" s="136" t="e">
        <f>G18</f>
        <v>#REF!</v>
      </c>
      <c r="H95" s="181" t="e">
        <f t="shared" si="18"/>
        <v>#REF!</v>
      </c>
      <c r="I95" s="182" t="e">
        <f>M18</f>
        <v>#REF!</v>
      </c>
      <c r="J95" s="82">
        <v>0.60782751475098651</v>
      </c>
    </row>
    <row r="96" spans="1:10" hidden="1" x14ac:dyDescent="0.2">
      <c r="A96" s="135">
        <v>320</v>
      </c>
      <c r="B96" s="180" t="s">
        <v>321</v>
      </c>
      <c r="C96" s="136" t="e">
        <f t="shared" ref="C96:C97" si="21">C19</f>
        <v>#REF!</v>
      </c>
      <c r="D96" s="181">
        <v>1</v>
      </c>
      <c r="E96" s="136" t="e">
        <f t="shared" ref="E96:G97" si="22">E19</f>
        <v>#REF!</v>
      </c>
      <c r="F96" s="181" t="e">
        <f t="shared" si="17"/>
        <v>#REF!</v>
      </c>
      <c r="G96" s="136" t="e">
        <f t="shared" si="22"/>
        <v>#REF!</v>
      </c>
      <c r="H96" s="181" t="e">
        <f t="shared" si="18"/>
        <v>#REF!</v>
      </c>
      <c r="I96" s="182" t="e">
        <f t="shared" ref="I96:I97" si="23">M19</f>
        <v>#REF!</v>
      </c>
      <c r="J96" s="82">
        <v>0.33815453226221776</v>
      </c>
    </row>
    <row r="97" spans="1:10" hidden="1" x14ac:dyDescent="0.2">
      <c r="A97" s="135">
        <v>321</v>
      </c>
      <c r="B97" s="180" t="s">
        <v>322</v>
      </c>
      <c r="C97" s="136" t="e">
        <f t="shared" si="21"/>
        <v>#REF!</v>
      </c>
      <c r="D97" s="181">
        <v>1</v>
      </c>
      <c r="E97" s="136" t="e">
        <f t="shared" si="22"/>
        <v>#REF!</v>
      </c>
      <c r="F97" s="181" t="e">
        <f t="shared" si="17"/>
        <v>#REF!</v>
      </c>
      <c r="G97" s="136" t="e">
        <f t="shared" si="22"/>
        <v>#REF!</v>
      </c>
      <c r="H97" s="181" t="e">
        <f t="shared" si="18"/>
        <v>#REF!</v>
      </c>
      <c r="I97" s="182" t="e">
        <f t="shared" si="23"/>
        <v>#REF!</v>
      </c>
      <c r="J97" s="82">
        <v>0.77281670088928844</v>
      </c>
    </row>
    <row r="98" spans="1:10" x14ac:dyDescent="0.2">
      <c r="A98" s="202" t="s">
        <v>254</v>
      </c>
      <c r="B98" s="203"/>
      <c r="C98" s="204" t="e">
        <f>SUM(C82:C94)</f>
        <v>#REF!</v>
      </c>
      <c r="D98" s="205">
        <v>1</v>
      </c>
      <c r="E98" s="204" t="e">
        <f>SUM(E82:E94)</f>
        <v>#REF!</v>
      </c>
      <c r="F98" s="205" t="e">
        <f>E98/C98</f>
        <v>#REF!</v>
      </c>
      <c r="G98" s="204" t="e">
        <f>SUM(G82:G94)</f>
        <v>#REF!</v>
      </c>
      <c r="H98" s="205" t="e">
        <f t="shared" si="18"/>
        <v>#REF!</v>
      </c>
      <c r="I98" s="204" t="e">
        <f>SUM(I82:I94)</f>
        <v>#REF!</v>
      </c>
      <c r="J98" s="205" t="e">
        <f>I98/C98</f>
        <v>#REF!</v>
      </c>
    </row>
    <row r="99" spans="1:10" x14ac:dyDescent="0.2">
      <c r="D99" s="208"/>
      <c r="F99" s="208"/>
      <c r="J99" s="130"/>
    </row>
  </sheetData>
  <mergeCells count="20">
    <mergeCell ref="B42:E42"/>
    <mergeCell ref="A48:B48"/>
    <mergeCell ref="B36:E36"/>
    <mergeCell ref="B37:E37"/>
    <mergeCell ref="B38:E38"/>
    <mergeCell ref="B39:E39"/>
    <mergeCell ref="B40:E40"/>
    <mergeCell ref="B41:E41"/>
    <mergeCell ref="B35:E35"/>
    <mergeCell ref="A1:N1"/>
    <mergeCell ref="A2:B2"/>
    <mergeCell ref="A26:E26"/>
    <mergeCell ref="B27:E27"/>
    <mergeCell ref="B28:E28"/>
    <mergeCell ref="B29:E29"/>
    <mergeCell ref="B30:E30"/>
    <mergeCell ref="B31:E31"/>
    <mergeCell ref="B32:E32"/>
    <mergeCell ref="B33:E33"/>
    <mergeCell ref="B34:E34"/>
  </mergeCells>
  <conditionalFormatting sqref="O3:O5 O7:O16">
    <cfRule type="cellIs" dxfId="87" priority="23" operator="between">
      <formula>0.799</formula>
      <formula>1</formula>
    </cfRule>
    <cfRule type="cellIs" dxfId="86" priority="24" operator="between">
      <formula>0.695</formula>
      <formula>0.794</formula>
    </cfRule>
    <cfRule type="cellIs" dxfId="85" priority="25" operator="between">
      <formula>0.5955</formula>
      <formula>0.69</formula>
    </cfRule>
    <cfRule type="cellIs" dxfId="84" priority="26" operator="between">
      <formula>0.4</formula>
      <formula>0.5932</formula>
    </cfRule>
    <cfRule type="cellIs" dxfId="83" priority="27" operator="between">
      <formula>0</formula>
      <formula>0.39</formula>
    </cfRule>
    <cfRule type="cellIs" dxfId="82" priority="28" operator="between">
      <formula>1</formula>
      <formula>1</formula>
    </cfRule>
    <cfRule type="cellIs" dxfId="81" priority="29" operator="between">
      <formula>0.8</formula>
      <formula>1</formula>
    </cfRule>
    <cfRule type="cellIs" dxfId="80" priority="30" operator="between">
      <formula>50</formula>
      <formula>0.79</formula>
    </cfRule>
    <cfRule type="cellIs" dxfId="79" priority="31" operator="between">
      <formula>0.8</formula>
      <formula>1</formula>
    </cfRule>
    <cfRule type="cellIs" dxfId="78" priority="32" operator="between">
      <formula>0.5</formula>
      <formula>0.79</formula>
    </cfRule>
    <cfRule type="cellIs" dxfId="77" priority="33" operator="between">
      <formula>0</formula>
      <formula>0.49</formula>
    </cfRule>
  </conditionalFormatting>
  <conditionalFormatting sqref="O18:O21 O23">
    <cfRule type="cellIs" dxfId="76" priority="1" operator="between">
      <formula>0.8</formula>
      <formula>1</formula>
    </cfRule>
    <cfRule type="cellIs" dxfId="75" priority="2" operator="between">
      <formula>0.7</formula>
      <formula>0.79</formula>
    </cfRule>
    <cfRule type="cellIs" dxfId="74" priority="3" operator="between">
      <formula>0.5955</formula>
      <formula>0.69</formula>
    </cfRule>
    <cfRule type="cellIs" dxfId="73" priority="4" operator="between">
      <formula>0.4</formula>
      <formula>0.5932</formula>
    </cfRule>
    <cfRule type="cellIs" dxfId="72" priority="5" operator="between">
      <formula>0</formula>
      <formula>0.39</formula>
    </cfRule>
    <cfRule type="cellIs" dxfId="71" priority="6" operator="between">
      <formula>1</formula>
      <formula>1</formula>
    </cfRule>
    <cfRule type="cellIs" dxfId="70" priority="7" operator="between">
      <formula>0.8</formula>
      <formula>1</formula>
    </cfRule>
    <cfRule type="cellIs" dxfId="69" priority="8" operator="between">
      <formula>50</formula>
      <formula>0.79</formula>
    </cfRule>
    <cfRule type="cellIs" dxfId="68" priority="9" operator="between">
      <formula>0.8</formula>
      <formula>1</formula>
    </cfRule>
    <cfRule type="cellIs" dxfId="67" priority="10" operator="between">
      <formula>0.5</formula>
      <formula>0.79</formula>
    </cfRule>
    <cfRule type="cellIs" dxfId="66" priority="11" operator="between">
      <formula>0</formula>
      <formula>0.49</formula>
    </cfRule>
  </conditionalFormatting>
  <pageMargins left="0.7" right="0.7" top="0.75" bottom="0.75" header="0.3" footer="0.3"/>
  <pageSetup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0"/>
  <sheetViews>
    <sheetView showGridLines="0" topLeftCell="G7" zoomScale="70" zoomScaleNormal="70" workbookViewId="0">
      <selection activeCell="I19" sqref="I19:J19"/>
    </sheetView>
  </sheetViews>
  <sheetFormatPr baseColWidth="10" defaultColWidth="11.42578125" defaultRowHeight="12.75" x14ac:dyDescent="0.2"/>
  <cols>
    <col min="1" max="1" width="8.140625" style="7" customWidth="1"/>
    <col min="2" max="2" width="20.7109375" style="35" customWidth="1"/>
    <col min="3" max="3" width="31.7109375" style="7" customWidth="1"/>
    <col min="4" max="4" width="27" style="81" customWidth="1"/>
    <col min="5" max="5" width="18.42578125" style="7" customWidth="1"/>
    <col min="6" max="6" width="22.28515625" style="89" customWidth="1"/>
    <col min="7" max="7" width="23.140625" style="89" customWidth="1"/>
    <col min="8" max="8" width="21.42578125" style="89" customWidth="1"/>
    <col min="9" max="9" width="20.5703125" style="89" customWidth="1"/>
    <col min="10" max="10" width="22.140625" style="89" customWidth="1"/>
    <col min="11" max="11" width="23.42578125" style="89" customWidth="1"/>
    <col min="12" max="12" width="34.140625" style="7" customWidth="1"/>
    <col min="13" max="13" width="17.28515625" style="7" customWidth="1"/>
    <col min="14" max="14" width="15" style="7" customWidth="1"/>
    <col min="15" max="15" width="14.85546875" style="7" customWidth="1"/>
    <col min="16" max="16" width="11.42578125" style="7" customWidth="1"/>
    <col min="17" max="16384" width="11.42578125" style="7"/>
  </cols>
  <sheetData>
    <row r="1" spans="1:21" ht="15" customHeight="1" x14ac:dyDescent="0.2">
      <c r="A1" s="1"/>
      <c r="B1" s="2"/>
      <c r="C1" s="3"/>
      <c r="D1" s="505" t="s">
        <v>0</v>
      </c>
      <c r="E1" s="506"/>
      <c r="F1" s="506"/>
      <c r="G1" s="506"/>
      <c r="H1" s="506"/>
      <c r="I1" s="506"/>
      <c r="J1" s="506"/>
      <c r="K1" s="506"/>
      <c r="L1" s="4" t="s">
        <v>1</v>
      </c>
      <c r="M1" s="5"/>
      <c r="N1" s="6"/>
    </row>
    <row r="2" spans="1:21" ht="15" customHeight="1" x14ac:dyDescent="0.2">
      <c r="A2" s="1"/>
      <c r="B2" s="8"/>
      <c r="C2" s="1"/>
      <c r="D2" s="507"/>
      <c r="E2" s="508"/>
      <c r="F2" s="508"/>
      <c r="G2" s="508"/>
      <c r="H2" s="508"/>
      <c r="I2" s="508"/>
      <c r="J2" s="508"/>
      <c r="K2" s="508"/>
      <c r="L2" s="9" t="s">
        <v>2</v>
      </c>
      <c r="M2" s="5"/>
      <c r="N2" s="6"/>
    </row>
    <row r="3" spans="1:21" ht="15" customHeight="1" x14ac:dyDescent="0.2">
      <c r="A3" s="1"/>
      <c r="B3" s="8"/>
      <c r="C3" s="1"/>
      <c r="D3" s="509" t="s">
        <v>3</v>
      </c>
      <c r="E3" s="510"/>
      <c r="F3" s="510"/>
      <c r="G3" s="510"/>
      <c r="H3" s="510"/>
      <c r="I3" s="510"/>
      <c r="J3" s="510"/>
      <c r="K3" s="510"/>
      <c r="L3" s="10" t="s">
        <v>4</v>
      </c>
      <c r="M3" s="5"/>
      <c r="N3" s="6"/>
    </row>
    <row r="4" spans="1:21" ht="15" customHeight="1" x14ac:dyDescent="0.2">
      <c r="A4" s="1"/>
      <c r="B4" s="11"/>
      <c r="C4" s="12"/>
      <c r="D4" s="511"/>
      <c r="E4" s="512"/>
      <c r="F4" s="512"/>
      <c r="G4" s="512"/>
      <c r="H4" s="512"/>
      <c r="I4" s="512"/>
      <c r="J4" s="512"/>
      <c r="K4" s="512"/>
      <c r="L4" s="4" t="s">
        <v>5</v>
      </c>
      <c r="M4" s="5"/>
      <c r="N4" s="6"/>
    </row>
    <row r="5" spans="1:21" ht="24.75" customHeight="1" x14ac:dyDescent="0.2">
      <c r="A5" s="13"/>
      <c r="B5" s="513" t="s">
        <v>83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"/>
      <c r="N5" s="5"/>
      <c r="O5" s="6"/>
      <c r="P5" s="6"/>
    </row>
    <row r="6" spans="1:21" ht="24.75" customHeight="1" x14ac:dyDescent="0.2">
      <c r="A6" s="13"/>
      <c r="B6" s="513" t="s">
        <v>84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"/>
      <c r="N6" s="5"/>
      <c r="O6" s="6"/>
      <c r="P6" s="6"/>
    </row>
    <row r="7" spans="1:21" ht="24.75" customHeight="1" x14ac:dyDescent="0.2">
      <c r="A7" s="13"/>
      <c r="B7" s="513" t="s">
        <v>493</v>
      </c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"/>
      <c r="N7" s="5"/>
      <c r="O7" s="6"/>
      <c r="P7" s="6"/>
    </row>
    <row r="8" spans="1:21" x14ac:dyDescent="0.2">
      <c r="A8" s="14"/>
      <c r="B8" s="47"/>
      <c r="C8" s="47"/>
      <c r="D8" s="69"/>
      <c r="E8" s="47"/>
      <c r="F8" s="70"/>
      <c r="G8" s="70"/>
      <c r="H8" s="70"/>
      <c r="I8" s="70"/>
      <c r="J8" s="70"/>
      <c r="K8" s="70"/>
      <c r="L8" s="51"/>
      <c r="M8" s="15"/>
      <c r="N8" s="16"/>
      <c r="O8" s="6"/>
      <c r="P8" s="6"/>
    </row>
    <row r="9" spans="1:21" ht="13.5" customHeight="1" x14ac:dyDescent="0.2">
      <c r="A9" s="523"/>
      <c r="B9" s="524" t="s">
        <v>8</v>
      </c>
      <c r="C9" s="524" t="s">
        <v>9</v>
      </c>
      <c r="D9" s="525" t="s">
        <v>10</v>
      </c>
      <c r="E9" s="524" t="s">
        <v>11</v>
      </c>
      <c r="F9" s="504" t="s">
        <v>12</v>
      </c>
      <c r="G9" s="504" t="s">
        <v>13</v>
      </c>
      <c r="H9" s="504" t="s">
        <v>14</v>
      </c>
      <c r="I9" s="514" t="s">
        <v>15</v>
      </c>
      <c r="J9" s="504" t="s">
        <v>16</v>
      </c>
      <c r="K9" s="504" t="s">
        <v>17</v>
      </c>
      <c r="L9" s="48" t="s">
        <v>18</v>
      </c>
    </row>
    <row r="10" spans="1:21" ht="13.5" customHeight="1" x14ac:dyDescent="0.2">
      <c r="A10" s="523"/>
      <c r="B10" s="524"/>
      <c r="C10" s="524"/>
      <c r="D10" s="525"/>
      <c r="E10" s="524"/>
      <c r="F10" s="504"/>
      <c r="G10" s="504"/>
      <c r="H10" s="504"/>
      <c r="I10" s="515"/>
      <c r="J10" s="504"/>
      <c r="K10" s="504"/>
      <c r="L10" s="49" t="s">
        <v>19</v>
      </c>
    </row>
    <row r="11" spans="1:21" ht="13.5" customHeight="1" x14ac:dyDescent="0.2">
      <c r="A11" s="523"/>
      <c r="B11" s="524"/>
      <c r="C11" s="524"/>
      <c r="D11" s="525"/>
      <c r="E11" s="524"/>
      <c r="F11" s="504"/>
      <c r="G11" s="504"/>
      <c r="H11" s="504"/>
      <c r="I11" s="515"/>
      <c r="J11" s="504"/>
      <c r="K11" s="504"/>
      <c r="L11" s="49" t="s">
        <v>20</v>
      </c>
    </row>
    <row r="12" spans="1:21" ht="13.5" customHeight="1" x14ac:dyDescent="0.2">
      <c r="A12" s="523"/>
      <c r="B12" s="524"/>
      <c r="C12" s="524"/>
      <c r="D12" s="525"/>
      <c r="E12" s="524"/>
      <c r="F12" s="504"/>
      <c r="G12" s="504"/>
      <c r="H12" s="504"/>
      <c r="I12" s="515"/>
      <c r="J12" s="504"/>
      <c r="K12" s="504"/>
      <c r="L12" s="49" t="s">
        <v>53</v>
      </c>
    </row>
    <row r="13" spans="1:21" ht="13.5" customHeight="1" x14ac:dyDescent="0.2">
      <c r="A13" s="523"/>
      <c r="B13" s="524"/>
      <c r="C13" s="524"/>
      <c r="D13" s="525"/>
      <c r="E13" s="524"/>
      <c r="F13" s="504"/>
      <c r="G13" s="504"/>
      <c r="H13" s="504"/>
      <c r="I13" s="515"/>
      <c r="J13" s="504"/>
      <c r="K13" s="504"/>
      <c r="L13" s="49" t="s">
        <v>22</v>
      </c>
    </row>
    <row r="14" spans="1:21" ht="13.5" customHeight="1" x14ac:dyDescent="0.2">
      <c r="A14" s="523"/>
      <c r="B14" s="524"/>
      <c r="C14" s="524"/>
      <c r="D14" s="525"/>
      <c r="E14" s="524"/>
      <c r="F14" s="504"/>
      <c r="G14" s="504"/>
      <c r="H14" s="504"/>
      <c r="I14" s="516"/>
      <c r="J14" s="504"/>
      <c r="K14" s="504"/>
      <c r="L14" s="50" t="s">
        <v>54</v>
      </c>
    </row>
    <row r="15" spans="1:21" ht="51.75" customHeight="1" x14ac:dyDescent="0.2">
      <c r="B15" s="17">
        <v>20</v>
      </c>
      <c r="C15" s="18" t="s">
        <v>85</v>
      </c>
      <c r="D15" s="140" t="s">
        <v>86</v>
      </c>
      <c r="E15" s="18" t="s">
        <v>24</v>
      </c>
      <c r="F15" s="93">
        <v>39000000</v>
      </c>
      <c r="G15" s="92">
        <v>39000000</v>
      </c>
      <c r="H15" s="92">
        <v>39000000</v>
      </c>
      <c r="I15" s="92">
        <v>39000000</v>
      </c>
      <c r="J15" s="92">
        <v>39000000</v>
      </c>
      <c r="K15" s="123">
        <f>F15-G15</f>
        <v>0</v>
      </c>
      <c r="L15" s="53">
        <f>H15/F15</f>
        <v>1</v>
      </c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72" customHeight="1" x14ac:dyDescent="0.2">
      <c r="B16" s="17">
        <v>20</v>
      </c>
      <c r="C16" s="18" t="s">
        <v>87</v>
      </c>
      <c r="D16" s="72" t="s">
        <v>88</v>
      </c>
      <c r="E16" s="18" t="s">
        <v>24</v>
      </c>
      <c r="F16" s="93">
        <v>48317341</v>
      </c>
      <c r="G16" s="92">
        <v>37501531</v>
      </c>
      <c r="H16" s="92">
        <v>37501531</v>
      </c>
      <c r="I16" s="92">
        <v>37501531</v>
      </c>
      <c r="J16" s="92">
        <v>37501531</v>
      </c>
      <c r="K16" s="123">
        <f t="shared" ref="K16:K20" si="0">F16-G16</f>
        <v>10815810</v>
      </c>
      <c r="L16" s="20">
        <f>H16/F16</f>
        <v>0.77615055431133928</v>
      </c>
      <c r="M16" s="21"/>
      <c r="N16" s="21"/>
      <c r="O16" s="21"/>
      <c r="P16" s="21"/>
      <c r="Q16" s="21"/>
      <c r="R16" s="21"/>
      <c r="S16" s="21"/>
      <c r="T16" s="21"/>
      <c r="U16" s="21"/>
    </row>
    <row r="17" spans="2:21" ht="48.75" customHeight="1" x14ac:dyDescent="0.2">
      <c r="B17" s="17">
        <v>20</v>
      </c>
      <c r="C17" s="18" t="s">
        <v>89</v>
      </c>
      <c r="D17" s="73" t="s">
        <v>90</v>
      </c>
      <c r="E17" s="18" t="s">
        <v>24</v>
      </c>
      <c r="F17" s="93">
        <v>70162427</v>
      </c>
      <c r="G17" s="92">
        <v>69729945</v>
      </c>
      <c r="H17" s="92">
        <v>69729945</v>
      </c>
      <c r="I17" s="92">
        <v>5254945</v>
      </c>
      <c r="J17" s="92">
        <v>5254945</v>
      </c>
      <c r="K17" s="123">
        <f t="shared" si="0"/>
        <v>432482</v>
      </c>
      <c r="L17" s="53">
        <f>H17/F17</f>
        <v>0.99383598859828493</v>
      </c>
      <c r="M17" s="21"/>
      <c r="N17" s="21"/>
      <c r="O17" s="21"/>
      <c r="P17" s="21"/>
      <c r="Q17" s="21"/>
      <c r="R17" s="21"/>
      <c r="S17" s="21"/>
      <c r="T17" s="21"/>
      <c r="U17" s="21"/>
    </row>
    <row r="18" spans="2:21" ht="75.75" customHeight="1" x14ac:dyDescent="0.2">
      <c r="B18" s="17">
        <v>20</v>
      </c>
      <c r="C18" s="18" t="s">
        <v>91</v>
      </c>
      <c r="D18" s="73" t="s">
        <v>92</v>
      </c>
      <c r="E18" s="18" t="s">
        <v>24</v>
      </c>
      <c r="F18" s="93">
        <v>59525000</v>
      </c>
      <c r="G18" s="92">
        <v>59525000</v>
      </c>
      <c r="H18" s="92">
        <v>59525000</v>
      </c>
      <c r="I18" s="92">
        <v>59525000</v>
      </c>
      <c r="J18" s="92">
        <v>59525000</v>
      </c>
      <c r="K18" s="123">
        <f t="shared" si="0"/>
        <v>0</v>
      </c>
      <c r="L18" s="53">
        <f>H18/F18</f>
        <v>1</v>
      </c>
      <c r="M18" s="21"/>
      <c r="N18" s="21"/>
      <c r="O18" s="21"/>
      <c r="P18" s="21"/>
      <c r="Q18" s="21"/>
      <c r="R18" s="21"/>
      <c r="S18" s="21"/>
      <c r="T18" s="21"/>
      <c r="U18" s="21"/>
    </row>
    <row r="19" spans="2:21" ht="68.25" customHeight="1" x14ac:dyDescent="0.2">
      <c r="B19" s="17">
        <v>20</v>
      </c>
      <c r="C19" s="18" t="s">
        <v>93</v>
      </c>
      <c r="D19" s="73" t="s">
        <v>94</v>
      </c>
      <c r="E19" s="18" t="s">
        <v>24</v>
      </c>
      <c r="F19" s="90">
        <v>337642633</v>
      </c>
      <c r="G19" s="92">
        <v>326750034</v>
      </c>
      <c r="H19" s="92">
        <v>326750034</v>
      </c>
      <c r="I19" s="92">
        <v>326750034</v>
      </c>
      <c r="J19" s="92">
        <v>326750034</v>
      </c>
      <c r="K19" s="123">
        <f t="shared" si="0"/>
        <v>10892599</v>
      </c>
      <c r="L19" s="53">
        <f>H19/F19</f>
        <v>0.96773926650429831</v>
      </c>
      <c r="M19" s="21"/>
      <c r="N19" s="21"/>
      <c r="O19" s="21"/>
      <c r="P19" s="21"/>
      <c r="Q19" s="21"/>
      <c r="R19" s="21"/>
      <c r="S19" s="21"/>
      <c r="T19" s="21"/>
      <c r="U19" s="21"/>
    </row>
    <row r="20" spans="2:21" ht="78.75" customHeight="1" x14ac:dyDescent="0.2">
      <c r="B20" s="17">
        <v>88</v>
      </c>
      <c r="C20" s="18" t="s">
        <v>95</v>
      </c>
      <c r="D20" s="73" t="s">
        <v>94</v>
      </c>
      <c r="E20" s="18" t="s">
        <v>96</v>
      </c>
      <c r="F20" s="90">
        <v>1600000000</v>
      </c>
      <c r="G20" s="92">
        <v>10504000</v>
      </c>
      <c r="H20" s="92">
        <v>10504000</v>
      </c>
      <c r="I20" s="92">
        <v>10504000</v>
      </c>
      <c r="J20" s="92">
        <v>10504000</v>
      </c>
      <c r="K20" s="123">
        <f t="shared" si="0"/>
        <v>1589496000</v>
      </c>
      <c r="L20" s="53">
        <f>G30/F20</f>
        <v>7.6521874999999995E-5</v>
      </c>
      <c r="M20" s="21"/>
      <c r="N20" s="21"/>
      <c r="O20" s="21"/>
      <c r="P20" s="21"/>
      <c r="Q20" s="21"/>
      <c r="R20" s="21"/>
      <c r="S20" s="21"/>
      <c r="T20" s="21"/>
      <c r="U20" s="21"/>
    </row>
    <row r="21" spans="2:21" s="130" customFormat="1" ht="17.25" customHeight="1" x14ac:dyDescent="0.2">
      <c r="B21" s="131"/>
      <c r="C21" s="144"/>
      <c r="D21" s="140"/>
      <c r="E21" s="144"/>
      <c r="F21" s="90"/>
      <c r="G21" s="92"/>
      <c r="H21" s="92"/>
      <c r="I21" s="92"/>
      <c r="J21" s="92"/>
      <c r="K21" s="123"/>
      <c r="L21" s="123"/>
      <c r="M21" s="132"/>
      <c r="N21" s="132"/>
      <c r="O21" s="132"/>
      <c r="P21" s="132"/>
      <c r="Q21" s="132"/>
      <c r="R21" s="132"/>
      <c r="S21" s="132"/>
      <c r="T21" s="132"/>
      <c r="U21" s="132"/>
    </row>
    <row r="22" spans="2:21" ht="42" customHeight="1" x14ac:dyDescent="0.2">
      <c r="B22" s="27"/>
      <c r="C22" s="28"/>
      <c r="D22" s="74" t="s">
        <v>35</v>
      </c>
      <c r="E22" s="30"/>
      <c r="F22" s="220">
        <f t="shared" ref="F22:K22" si="1">SUM(F15:F20)</f>
        <v>2154647401</v>
      </c>
      <c r="G22" s="220">
        <f t="shared" si="1"/>
        <v>543010510</v>
      </c>
      <c r="H22" s="220">
        <f t="shared" si="1"/>
        <v>543010510</v>
      </c>
      <c r="I22" s="220">
        <f t="shared" si="1"/>
        <v>478535510</v>
      </c>
      <c r="J22" s="220">
        <f t="shared" si="1"/>
        <v>478535510</v>
      </c>
      <c r="K22" s="220">
        <f t="shared" si="1"/>
        <v>1611636891</v>
      </c>
      <c r="L22" s="53">
        <f>H22/F22</f>
        <v>0.25201826978650044</v>
      </c>
    </row>
    <row r="23" spans="2:21" ht="34.5" customHeight="1" x14ac:dyDescent="0.2">
      <c r="B23" s="17"/>
      <c r="C23" s="31"/>
      <c r="D23" s="526" t="s">
        <v>36</v>
      </c>
      <c r="E23" s="527"/>
      <c r="F23" s="58">
        <v>1</v>
      </c>
      <c r="G23" s="58">
        <f>G22/F22</f>
        <v>0.25201826978650044</v>
      </c>
      <c r="H23" s="58">
        <f>H22/F22</f>
        <v>0.25201826978650044</v>
      </c>
      <c r="I23" s="58">
        <f>I22/H22</f>
        <v>0.88126380831929019</v>
      </c>
      <c r="J23" s="58">
        <f>J22/H22</f>
        <v>0.88126380831929019</v>
      </c>
      <c r="K23" s="58">
        <f>K22/F22</f>
        <v>0.74798173021349956</v>
      </c>
      <c r="L23" s="34"/>
    </row>
    <row r="24" spans="2:21" ht="19.5" customHeight="1" x14ac:dyDescent="0.2">
      <c r="B24" s="75"/>
      <c r="C24" s="76"/>
      <c r="D24" s="77"/>
      <c r="E24" s="78"/>
      <c r="F24" s="79"/>
      <c r="G24" s="80"/>
      <c r="H24" s="80"/>
      <c r="I24" s="80"/>
      <c r="J24" s="80"/>
      <c r="K24" s="80"/>
      <c r="L24" s="6"/>
    </row>
    <row r="25" spans="2:21" ht="19.5" customHeight="1" x14ac:dyDescent="0.2">
      <c r="B25" s="75"/>
      <c r="C25" s="76"/>
      <c r="E25" s="145" t="s">
        <v>37</v>
      </c>
      <c r="F25" s="146" t="s">
        <v>38</v>
      </c>
      <c r="G25" s="147" t="s">
        <v>39</v>
      </c>
      <c r="H25" s="148" t="s">
        <v>40</v>
      </c>
      <c r="I25" s="147" t="s">
        <v>41</v>
      </c>
      <c r="J25" s="148" t="s">
        <v>42</v>
      </c>
      <c r="K25" s="147" t="s">
        <v>43</v>
      </c>
      <c r="L25" s="149" t="s">
        <v>97</v>
      </c>
      <c r="M25" s="149" t="s">
        <v>45</v>
      </c>
      <c r="N25" s="150" t="s">
        <v>98</v>
      </c>
    </row>
    <row r="26" spans="2:21" ht="19.5" customHeight="1" x14ac:dyDescent="0.2">
      <c r="B26" s="75"/>
      <c r="C26" s="76"/>
      <c r="E26" s="159" t="s">
        <v>470</v>
      </c>
      <c r="F26" s="146">
        <f>554647401/1000</f>
        <v>554647.40099999995</v>
      </c>
      <c r="G26" s="151">
        <f>25520000/1000</f>
        <v>25520</v>
      </c>
      <c r="H26" s="152">
        <f>G26/F26</f>
        <v>4.6011213527709295E-2</v>
      </c>
      <c r="I26" s="151">
        <f>25520000/1000</f>
        <v>25520</v>
      </c>
      <c r="J26" s="152">
        <f t="shared" ref="J26:J33" si="2">I26/F26</f>
        <v>4.6011213527709295E-2</v>
      </c>
      <c r="K26" s="151">
        <v>0</v>
      </c>
      <c r="L26" s="153">
        <f>0</f>
        <v>0</v>
      </c>
      <c r="M26" s="154">
        <f>529127401/1000</f>
        <v>529127.40099999995</v>
      </c>
      <c r="N26" s="152">
        <f t="shared" ref="N26:N33" si="3">M26/F26</f>
        <v>0.95398878647229068</v>
      </c>
    </row>
    <row r="27" spans="2:21" ht="15" x14ac:dyDescent="0.25">
      <c r="E27" s="159" t="s">
        <v>471</v>
      </c>
      <c r="F27" s="157">
        <f>2154647401/1000</f>
        <v>2154647.4010000001</v>
      </c>
      <c r="G27" s="155">
        <f>64295000/1000</f>
        <v>64295</v>
      </c>
      <c r="H27" s="152">
        <f>G27/F27</f>
        <v>2.9840149237485375E-2</v>
      </c>
      <c r="I27" s="155">
        <f>51095000/1000</f>
        <v>51095</v>
      </c>
      <c r="J27" s="152">
        <f t="shared" si="2"/>
        <v>2.3713856836290775E-2</v>
      </c>
      <c r="K27" s="155">
        <f>4640000/1000</f>
        <v>4640</v>
      </c>
      <c r="L27" s="156">
        <f>4640000/1000</f>
        <v>4640</v>
      </c>
      <c r="M27" s="154">
        <f>2090352401/1000</f>
        <v>2090352.4010000001</v>
      </c>
      <c r="N27" s="152">
        <f t="shared" si="3"/>
        <v>0.97015985076251465</v>
      </c>
    </row>
    <row r="28" spans="2:21" x14ac:dyDescent="0.2">
      <c r="E28" s="159" t="s">
        <v>472</v>
      </c>
      <c r="F28" s="157">
        <f>2154647401/1000</f>
        <v>2154647.4010000001</v>
      </c>
      <c r="G28" s="157">
        <f>64295000/1000</f>
        <v>64295</v>
      </c>
      <c r="H28" s="152">
        <f>G28/F28</f>
        <v>2.9840149237485375E-2</v>
      </c>
      <c r="I28" s="157">
        <f>64295000/1000</f>
        <v>64295</v>
      </c>
      <c r="J28" s="152">
        <f t="shared" si="2"/>
        <v>2.9840149237485375E-2</v>
      </c>
      <c r="K28" s="157">
        <f>13930000/1000</f>
        <v>13930</v>
      </c>
      <c r="L28" s="158">
        <f>13930000/1000</f>
        <v>13930</v>
      </c>
      <c r="M28" s="154">
        <f>2090352401/1000</f>
        <v>2090352.4010000001</v>
      </c>
      <c r="N28" s="152">
        <f t="shared" si="3"/>
        <v>0.97015985076251465</v>
      </c>
    </row>
    <row r="29" spans="2:21" x14ac:dyDescent="0.2">
      <c r="E29" s="159" t="s">
        <v>473</v>
      </c>
      <c r="F29" s="157">
        <f>2154647401/1000</f>
        <v>2154647.4010000001</v>
      </c>
      <c r="G29" s="157">
        <f>103295000/1000</f>
        <v>103295</v>
      </c>
      <c r="H29" s="152">
        <f t="shared" ref="H29:H33" si="4">G29/F29</f>
        <v>4.7940558604651247E-2</v>
      </c>
      <c r="I29" s="157">
        <f>64295000/1000</f>
        <v>64295</v>
      </c>
      <c r="J29" s="152">
        <f t="shared" si="2"/>
        <v>2.9840149237485375E-2</v>
      </c>
      <c r="K29" s="157">
        <f>25860000/1000</f>
        <v>25860</v>
      </c>
      <c r="L29" s="158">
        <f>25860000/1000</f>
        <v>25860</v>
      </c>
      <c r="M29" s="154">
        <f>2051352401/1000</f>
        <v>2051352.4010000001</v>
      </c>
      <c r="N29" s="152">
        <f t="shared" si="3"/>
        <v>0.9520594413953487</v>
      </c>
    </row>
    <row r="30" spans="2:21" x14ac:dyDescent="0.2">
      <c r="E30" s="159" t="s">
        <v>476</v>
      </c>
      <c r="F30" s="157">
        <f>2154647401/1000</f>
        <v>2154647.4010000001</v>
      </c>
      <c r="G30" s="157">
        <f>122435000/1000</f>
        <v>122435</v>
      </c>
      <c r="H30" s="152">
        <f t="shared" si="4"/>
        <v>5.6823682586383421E-2</v>
      </c>
      <c r="I30" s="157">
        <f>122435000/1000</f>
        <v>122435</v>
      </c>
      <c r="J30" s="152">
        <f t="shared" si="2"/>
        <v>5.6823682586383421E-2</v>
      </c>
      <c r="K30" s="157">
        <f>35790000/1000</f>
        <v>35790</v>
      </c>
      <c r="L30" s="158">
        <f>35790000/1000</f>
        <v>35790</v>
      </c>
      <c r="M30" s="154">
        <f>2032212401/1000</f>
        <v>2032212.4010000001</v>
      </c>
      <c r="N30" s="152">
        <f t="shared" si="3"/>
        <v>0.94317631741361663</v>
      </c>
    </row>
    <row r="31" spans="2:21" x14ac:dyDescent="0.2">
      <c r="E31" s="159" t="s">
        <v>477</v>
      </c>
      <c r="F31" s="157">
        <v>2154647.0099999998</v>
      </c>
      <c r="G31" s="157">
        <f>129935000/1000</f>
        <v>129935</v>
      </c>
      <c r="H31" s="152">
        <f t="shared" si="4"/>
        <v>6.0304541484964634E-2</v>
      </c>
      <c r="I31" s="157">
        <v>129935</v>
      </c>
      <c r="J31" s="152">
        <f t="shared" si="2"/>
        <v>6.0304541484964634E-2</v>
      </c>
      <c r="K31" s="157">
        <v>58320</v>
      </c>
      <c r="L31" s="158">
        <v>58320</v>
      </c>
      <c r="M31" s="154">
        <f>2024712401/1000</f>
        <v>2024712.4010000001</v>
      </c>
      <c r="N31" s="152">
        <f t="shared" si="3"/>
        <v>0.93969563998327521</v>
      </c>
    </row>
    <row r="32" spans="2:21" s="130" customFormat="1" x14ac:dyDescent="0.2">
      <c r="B32" s="134"/>
      <c r="D32" s="81"/>
      <c r="E32" s="159" t="s">
        <v>474</v>
      </c>
      <c r="F32" s="157">
        <f>2154647401/1000</f>
        <v>2154647.4010000001</v>
      </c>
      <c r="G32" s="157">
        <f>416336801/1000</f>
        <v>416336.80099999998</v>
      </c>
      <c r="H32" s="152">
        <f t="shared" si="4"/>
        <v>0.19322734699272495</v>
      </c>
      <c r="I32" s="157">
        <f>149135000/1000</f>
        <v>149135</v>
      </c>
      <c r="J32" s="152">
        <f t="shared" si="2"/>
        <v>6.9215501306981592E-2</v>
      </c>
      <c r="K32" s="157">
        <f>71355000/1000</f>
        <v>71355</v>
      </c>
      <c r="L32" s="158">
        <f>71355000/1000</f>
        <v>71355</v>
      </c>
      <c r="M32" s="154">
        <f>1738310600/1000</f>
        <v>1738310.6</v>
      </c>
      <c r="N32" s="152">
        <f t="shared" si="3"/>
        <v>0.80677265300727508</v>
      </c>
    </row>
    <row r="33" spans="2:14" s="130" customFormat="1" x14ac:dyDescent="0.2">
      <c r="B33" s="134"/>
      <c r="D33" s="81"/>
      <c r="E33" s="159" t="s">
        <v>475</v>
      </c>
      <c r="F33" s="157">
        <f>2154647401/1000</f>
        <v>2154647.4010000001</v>
      </c>
      <c r="G33" s="157">
        <f>471321142/1000</f>
        <v>471321.14199999999</v>
      </c>
      <c r="H33" s="152">
        <f t="shared" si="4"/>
        <v>0.21874629778461835</v>
      </c>
      <c r="I33" s="157">
        <f>191033333/1000</f>
        <v>191033.33300000001</v>
      </c>
      <c r="J33" s="152">
        <f t="shared" si="2"/>
        <v>8.8661064873695322E-2</v>
      </c>
      <c r="K33" s="157">
        <f>91775000/1000</f>
        <v>91775</v>
      </c>
      <c r="L33" s="158">
        <f>91775000/1000</f>
        <v>91775</v>
      </c>
      <c r="M33" s="154">
        <f>1683326259/1000</f>
        <v>1683326.2590000001</v>
      </c>
      <c r="N33" s="152">
        <f t="shared" si="3"/>
        <v>0.78125370221538171</v>
      </c>
    </row>
    <row r="34" spans="2:14" x14ac:dyDescent="0.2">
      <c r="E34" s="159" t="s">
        <v>478</v>
      </c>
      <c r="F34" s="157">
        <f>2154647401/1000</f>
        <v>2154647.4010000001</v>
      </c>
      <c r="G34" s="157">
        <f>471321142/1000</f>
        <v>471321.14199999999</v>
      </c>
      <c r="H34" s="152">
        <f t="shared" ref="H34:H37" si="5">G34/F34</f>
        <v>0.21874629778461835</v>
      </c>
      <c r="I34" s="157">
        <f>228954864/1000</f>
        <v>228954.864</v>
      </c>
      <c r="J34" s="152">
        <f t="shared" ref="J34:J37" si="6">I34/F34</f>
        <v>0.10626094269240483</v>
      </c>
      <c r="K34" s="157">
        <f>146445000/1000</f>
        <v>146445</v>
      </c>
      <c r="L34" s="158">
        <f>146445000/1000</f>
        <v>146445</v>
      </c>
      <c r="M34" s="154">
        <f>1683326259/1000</f>
        <v>1683326.2590000001</v>
      </c>
      <c r="N34" s="152">
        <f t="shared" ref="N34:N37" si="7">M34/F34</f>
        <v>0.78125370221538171</v>
      </c>
    </row>
    <row r="35" spans="2:14" s="130" customFormat="1" x14ac:dyDescent="0.2">
      <c r="B35" s="134"/>
      <c r="D35" s="81"/>
      <c r="E35" s="159" t="s">
        <v>488</v>
      </c>
      <c r="F35" s="157">
        <f>2154647401/1000</f>
        <v>2154647.4010000001</v>
      </c>
      <c r="G35" s="479">
        <f>551085754/1000</f>
        <v>551085.75399999996</v>
      </c>
      <c r="H35" s="152">
        <f t="shared" si="5"/>
        <v>0.25576609599521194</v>
      </c>
      <c r="I35" s="479">
        <f>466673898/1000</f>
        <v>466673.89799999999</v>
      </c>
      <c r="J35" s="152">
        <f t="shared" si="6"/>
        <v>0.21658945114797462</v>
      </c>
      <c r="K35" s="479">
        <f>179391500/1000</f>
        <v>179391.5</v>
      </c>
      <c r="L35" s="159">
        <f>179391500/1000</f>
        <v>179391.5</v>
      </c>
      <c r="M35" s="165">
        <f>1603561647/1000</f>
        <v>1603561.6470000001</v>
      </c>
      <c r="N35" s="152">
        <f t="shared" si="7"/>
        <v>0.74423390400478806</v>
      </c>
    </row>
    <row r="36" spans="2:14" s="130" customFormat="1" x14ac:dyDescent="0.2">
      <c r="B36" s="134"/>
      <c r="D36" s="81"/>
      <c r="E36" s="159" t="s">
        <v>487</v>
      </c>
      <c r="F36" s="479">
        <f>2154647401/1000</f>
        <v>2154647.4010000001</v>
      </c>
      <c r="G36" s="479">
        <f>553232420/1000</f>
        <v>553232.42000000004</v>
      </c>
      <c r="H36" s="152">
        <f t="shared" si="5"/>
        <v>0.25676239172276522</v>
      </c>
      <c r="I36" s="479">
        <f>478535510/1000</f>
        <v>478535.51</v>
      </c>
      <c r="J36" s="152">
        <f t="shared" si="6"/>
        <v>0.22209458019808967</v>
      </c>
      <c r="K36" s="479">
        <f>194751500/1000</f>
        <v>194751.5</v>
      </c>
      <c r="L36" s="484">
        <f>194751500/1000</f>
        <v>194751.5</v>
      </c>
      <c r="M36" s="165">
        <f>1601414981/1000</f>
        <v>1601414.9809999999</v>
      </c>
      <c r="N36" s="152">
        <f t="shared" si="7"/>
        <v>0.74323760827723473</v>
      </c>
    </row>
    <row r="37" spans="2:14" s="130" customFormat="1" x14ac:dyDescent="0.2">
      <c r="B37" s="134"/>
      <c r="D37" s="81"/>
      <c r="E37" s="159" t="s">
        <v>494</v>
      </c>
      <c r="F37" s="479">
        <f>F22/1000</f>
        <v>2154647.4010000001</v>
      </c>
      <c r="G37" s="479">
        <f>G22/1000</f>
        <v>543010.51</v>
      </c>
      <c r="H37" s="152">
        <f t="shared" si="5"/>
        <v>0.25201826978650044</v>
      </c>
      <c r="I37" s="479">
        <f>H22/1000</f>
        <v>543010.51</v>
      </c>
      <c r="J37" s="152">
        <f t="shared" si="6"/>
        <v>0.25201826978650044</v>
      </c>
      <c r="K37" s="479">
        <f>I22/1000</f>
        <v>478535.51</v>
      </c>
      <c r="L37" s="174">
        <f>J22/1000</f>
        <v>478535.51</v>
      </c>
      <c r="M37" s="174">
        <f>K22/1000</f>
        <v>1611636.8910000001</v>
      </c>
      <c r="N37" s="152">
        <f t="shared" si="7"/>
        <v>0.74798173021349956</v>
      </c>
    </row>
    <row r="38" spans="2:14" s="60" customFormat="1" x14ac:dyDescent="0.2">
      <c r="B38" s="62"/>
      <c r="D38" s="485"/>
      <c r="E38" s="102"/>
      <c r="F38" s="486"/>
      <c r="G38" s="486"/>
      <c r="H38" s="63"/>
      <c r="I38" s="486"/>
      <c r="J38" s="63"/>
      <c r="K38" s="486"/>
      <c r="L38" s="102"/>
      <c r="M38" s="102"/>
      <c r="N38" s="63"/>
    </row>
    <row r="40" spans="2:14" ht="43.5" customHeight="1" x14ac:dyDescent="0.2">
      <c r="D40" s="83" t="s">
        <v>47</v>
      </c>
      <c r="E40" s="46" t="s">
        <v>48</v>
      </c>
      <c r="F40" s="84" t="s">
        <v>12</v>
      </c>
      <c r="G40" s="84" t="s">
        <v>13</v>
      </c>
      <c r="H40" s="84" t="s">
        <v>14</v>
      </c>
      <c r="I40" s="85" t="s">
        <v>15</v>
      </c>
      <c r="J40" s="84" t="s">
        <v>16</v>
      </c>
      <c r="K40" s="84" t="s">
        <v>17</v>
      </c>
    </row>
    <row r="41" spans="2:14" ht="23.25" customHeight="1" x14ac:dyDescent="0.2">
      <c r="D41" s="86" t="s">
        <v>49</v>
      </c>
      <c r="E41" s="34" t="s">
        <v>82</v>
      </c>
      <c r="F41" s="38">
        <f t="shared" ref="F41:K42" si="8">F22</f>
        <v>2154647401</v>
      </c>
      <c r="G41" s="38">
        <f>G22</f>
        <v>543010510</v>
      </c>
      <c r="H41" s="38">
        <f>H22</f>
        <v>543010510</v>
      </c>
      <c r="I41" s="38">
        <f>I22</f>
        <v>478535510</v>
      </c>
      <c r="J41" s="38">
        <f>J22</f>
        <v>478535510</v>
      </c>
      <c r="K41" s="38">
        <f>K22</f>
        <v>1611636891</v>
      </c>
    </row>
    <row r="42" spans="2:14" ht="23.25" customHeight="1" x14ac:dyDescent="0.2">
      <c r="D42" s="87"/>
      <c r="E42" s="34" t="s">
        <v>50</v>
      </c>
      <c r="F42" s="88">
        <v>1</v>
      </c>
      <c r="G42" s="88">
        <f t="shared" si="8"/>
        <v>0.25201826978650044</v>
      </c>
      <c r="H42" s="88">
        <f t="shared" si="8"/>
        <v>0.25201826978650044</v>
      </c>
      <c r="I42" s="88">
        <f t="shared" si="8"/>
        <v>0.88126380831929019</v>
      </c>
      <c r="J42" s="88">
        <f t="shared" si="8"/>
        <v>0.88126380831929019</v>
      </c>
      <c r="K42" s="88">
        <f t="shared" si="8"/>
        <v>0.74798173021349956</v>
      </c>
    </row>
    <row r="70" spans="2:13" x14ac:dyDescent="0.2">
      <c r="D70" s="221" t="s">
        <v>332</v>
      </c>
      <c r="E70" s="222" t="s">
        <v>329</v>
      </c>
      <c r="F70" s="222" t="s">
        <v>39</v>
      </c>
      <c r="G70" s="100" t="s">
        <v>40</v>
      </c>
      <c r="H70" s="227" t="s">
        <v>41</v>
      </c>
      <c r="I70" s="227" t="s">
        <v>42</v>
      </c>
      <c r="J70" s="228" t="s">
        <v>330</v>
      </c>
      <c r="K70" s="228" t="s">
        <v>331</v>
      </c>
      <c r="L70" s="229" t="s">
        <v>45</v>
      </c>
      <c r="M70" s="229" t="s">
        <v>301</v>
      </c>
    </row>
    <row r="71" spans="2:13" x14ac:dyDescent="0.2">
      <c r="D71" s="86" t="s">
        <v>333</v>
      </c>
      <c r="E71" s="38">
        <f>F19+F18+F17+F16+F15</f>
        <v>554647401</v>
      </c>
      <c r="F71" s="38">
        <f>G15+G16+G17+G18+G19</f>
        <v>532506510</v>
      </c>
      <c r="G71" s="82">
        <f>F71/E71</f>
        <v>0.96008114171258863</v>
      </c>
      <c r="H71" s="38">
        <f>H19+H18+H17+H16+H15</f>
        <v>532506510</v>
      </c>
      <c r="I71" s="230">
        <f>H71/F71</f>
        <v>1</v>
      </c>
      <c r="J71" s="23">
        <f>F71-H71</f>
        <v>0</v>
      </c>
      <c r="K71" s="142">
        <f>J71/F71</f>
        <v>0</v>
      </c>
      <c r="L71" s="57">
        <f>E71-F71</f>
        <v>22140891</v>
      </c>
      <c r="M71" s="82">
        <f>L71/E71</f>
        <v>3.9918858287411318E-2</v>
      </c>
    </row>
    <row r="72" spans="2:13" x14ac:dyDescent="0.2">
      <c r="D72" s="86" t="s">
        <v>328</v>
      </c>
      <c r="E72" s="38">
        <f>F20</f>
        <v>1600000000</v>
      </c>
      <c r="F72" s="38">
        <f>G20</f>
        <v>10504000</v>
      </c>
      <c r="G72" s="82">
        <f>F72/$E$72</f>
        <v>6.5649999999999997E-3</v>
      </c>
      <c r="H72" s="226">
        <f>H20</f>
        <v>10504000</v>
      </c>
      <c r="I72" s="82">
        <f>H72/$E$72</f>
        <v>6.5649999999999997E-3</v>
      </c>
      <c r="J72" s="23">
        <f>F72-H72</f>
        <v>0</v>
      </c>
      <c r="K72" s="142">
        <v>0</v>
      </c>
      <c r="L72" s="57">
        <f>E72-F72</f>
        <v>1589496000</v>
      </c>
      <c r="M72" s="82">
        <f>L72/E72</f>
        <v>0.99343499999999996</v>
      </c>
    </row>
    <row r="73" spans="2:13" s="116" customFormat="1" ht="20.25" customHeight="1" x14ac:dyDescent="0.2">
      <c r="B73" s="115"/>
      <c r="D73" s="231" t="s">
        <v>134</v>
      </c>
      <c r="E73" s="118">
        <f>SUBTOTAL(9,E71:E72)</f>
        <v>2154647401</v>
      </c>
      <c r="F73" s="118">
        <f>SUBTOTAL(9,F71:F72)</f>
        <v>543010510</v>
      </c>
      <c r="G73" s="232">
        <f>F73/E73</f>
        <v>0.25201826978650044</v>
      </c>
      <c r="H73" s="118">
        <f>SUBTOTAL(9,H71:H72)</f>
        <v>543010510</v>
      </c>
      <c r="I73" s="233">
        <f>H73/F73</f>
        <v>1</v>
      </c>
      <c r="J73" s="118">
        <f>SUBTOTAL(9,J71:J72)</f>
        <v>0</v>
      </c>
      <c r="K73" s="234">
        <f>J73/F73</f>
        <v>0</v>
      </c>
      <c r="L73" s="118">
        <f>SUBTOTAL(9,L71:L72)</f>
        <v>1611636891</v>
      </c>
      <c r="M73" s="232">
        <f>L73/E73</f>
        <v>0.74798173021349956</v>
      </c>
    </row>
    <row r="74" spans="2:13" x14ac:dyDescent="0.2">
      <c r="E74" s="110"/>
      <c r="F74" s="110"/>
    </row>
    <row r="78" spans="2:13" ht="12.75" customHeight="1" x14ac:dyDescent="0.2">
      <c r="D78" s="517" t="s">
        <v>495</v>
      </c>
      <c r="E78" s="518"/>
      <c r="F78" s="235"/>
    </row>
    <row r="79" spans="2:13" x14ac:dyDescent="0.2">
      <c r="D79" s="519"/>
      <c r="E79" s="520"/>
      <c r="F79" s="235"/>
    </row>
    <row r="80" spans="2:13" x14ac:dyDescent="0.2">
      <c r="D80" s="519"/>
      <c r="E80" s="520"/>
      <c r="F80" s="235"/>
    </row>
    <row r="81" spans="4:6" x14ac:dyDescent="0.2">
      <c r="D81" s="519"/>
      <c r="E81" s="520"/>
      <c r="F81" s="235"/>
    </row>
    <row r="82" spans="4:6" x14ac:dyDescent="0.2">
      <c r="D82" s="519"/>
      <c r="E82" s="520"/>
      <c r="F82" s="235"/>
    </row>
    <row r="83" spans="4:6" x14ac:dyDescent="0.2">
      <c r="D83" s="519"/>
      <c r="E83" s="520"/>
      <c r="F83" s="235"/>
    </row>
    <row r="84" spans="4:6" x14ac:dyDescent="0.2">
      <c r="D84" s="519"/>
      <c r="E84" s="520"/>
      <c r="F84" s="235"/>
    </row>
    <row r="85" spans="4:6" x14ac:dyDescent="0.2">
      <c r="D85" s="521"/>
      <c r="E85" s="522"/>
      <c r="F85" s="235"/>
    </row>
    <row r="86" spans="4:6" x14ac:dyDescent="0.2">
      <c r="D86" s="235"/>
      <c r="E86" s="235"/>
      <c r="F86" s="235"/>
    </row>
    <row r="87" spans="4:6" x14ac:dyDescent="0.2">
      <c r="D87" s="235"/>
      <c r="E87" s="235"/>
      <c r="F87" s="235"/>
    </row>
    <row r="88" spans="4:6" x14ac:dyDescent="0.2">
      <c r="D88" s="235"/>
      <c r="E88" s="235"/>
      <c r="F88" s="235"/>
    </row>
    <row r="89" spans="4:6" x14ac:dyDescent="0.2">
      <c r="D89" s="235"/>
      <c r="E89" s="235"/>
      <c r="F89" s="235"/>
    </row>
    <row r="90" spans="4:6" x14ac:dyDescent="0.2">
      <c r="D90" s="235"/>
      <c r="E90" s="235"/>
      <c r="F90" s="235"/>
    </row>
  </sheetData>
  <mergeCells count="18">
    <mergeCell ref="D78:E85"/>
    <mergeCell ref="A9:A14"/>
    <mergeCell ref="B9:B14"/>
    <mergeCell ref="C9:C14"/>
    <mergeCell ref="D9:D14"/>
    <mergeCell ref="E9:E14"/>
    <mergeCell ref="D23:E23"/>
    <mergeCell ref="K9:K14"/>
    <mergeCell ref="D1:K2"/>
    <mergeCell ref="D3:K4"/>
    <mergeCell ref="B5:L5"/>
    <mergeCell ref="B6:L6"/>
    <mergeCell ref="B7:L7"/>
    <mergeCell ref="F9:F14"/>
    <mergeCell ref="G9:G14"/>
    <mergeCell ref="H9:H14"/>
    <mergeCell ref="I9:I14"/>
    <mergeCell ref="J9:J14"/>
  </mergeCells>
  <conditionalFormatting sqref="L15:L20">
    <cfRule type="cellIs" dxfId="65" priority="7" operator="between">
      <formula>0.4</formula>
      <formula>0.5999</formula>
    </cfRule>
    <cfRule type="cellIs" dxfId="64" priority="8" operator="between">
      <formula>0</formula>
      <formula>0.39</formula>
    </cfRule>
    <cfRule type="cellIs" dxfId="63" priority="9" operator="between">
      <formula>0.4</formula>
      <formula>0.59</formula>
    </cfRule>
    <cfRule type="cellIs" dxfId="62" priority="10" operator="between">
      <formula>0.6</formula>
      <formula>0.69</formula>
    </cfRule>
    <cfRule type="cellIs" dxfId="61" priority="11" operator="between">
      <formula>0.7</formula>
      <formula>0.79</formula>
    </cfRule>
    <cfRule type="cellIs" dxfId="60" priority="12" operator="between">
      <formula>0.8</formula>
      <formula>1</formula>
    </cfRule>
  </conditionalFormatting>
  <conditionalFormatting sqref="L22">
    <cfRule type="cellIs" dxfId="59" priority="1" operator="between">
      <formula>0.4</formula>
      <formula>0.5999</formula>
    </cfRule>
    <cfRule type="cellIs" dxfId="58" priority="2" operator="between">
      <formula>0</formula>
      <formula>0.39</formula>
    </cfRule>
    <cfRule type="cellIs" dxfId="57" priority="3" operator="between">
      <formula>0.4</formula>
      <formula>0.59</formula>
    </cfRule>
    <cfRule type="cellIs" dxfId="56" priority="4" operator="between">
      <formula>0.6</formula>
      <formula>0.69</formula>
    </cfRule>
    <cfRule type="cellIs" dxfId="55" priority="5" operator="between">
      <formula>0.7</formula>
      <formula>0.79</formula>
    </cfRule>
    <cfRule type="cellIs" dxfId="54" priority="6" operator="between">
      <formula>0.8</formula>
      <formula>1</formula>
    </cfRule>
  </conditionalFormatting>
  <pageMargins left="0.7" right="0.7" top="0.75" bottom="0.75" header="0.3" footer="0.3"/>
  <pageSetup scale="3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5"/>
  <sheetViews>
    <sheetView showGridLines="0" topLeftCell="A25" zoomScale="70" zoomScaleNormal="70" workbookViewId="0">
      <selection activeCell="C15" sqref="C15"/>
    </sheetView>
  </sheetViews>
  <sheetFormatPr baseColWidth="10" defaultColWidth="11.42578125" defaultRowHeight="12.75" x14ac:dyDescent="0.2"/>
  <cols>
    <col min="1" max="1" width="8.140625" style="7" customWidth="1"/>
    <col min="2" max="2" width="20.7109375" style="35" customWidth="1"/>
    <col min="3" max="3" width="31.7109375" style="7" customWidth="1"/>
    <col min="4" max="4" width="34.7109375" style="7" customWidth="1"/>
    <col min="5" max="5" width="18.5703125" style="7" customWidth="1"/>
    <col min="6" max="6" width="22.28515625" style="7" customWidth="1"/>
    <col min="7" max="7" width="27.5703125" style="7" customWidth="1"/>
    <col min="8" max="8" width="26.5703125" style="7" customWidth="1"/>
    <col min="9" max="9" width="24.5703125" style="7" customWidth="1"/>
    <col min="10" max="10" width="22.140625" style="7" customWidth="1"/>
    <col min="11" max="11" width="23.42578125" style="7" customWidth="1"/>
    <col min="12" max="12" width="35.5703125" style="7" customWidth="1"/>
    <col min="13" max="13" width="16.7109375" style="7" customWidth="1"/>
    <col min="14" max="14" width="18.28515625" style="7" customWidth="1"/>
    <col min="15" max="15" width="15.42578125" style="7" customWidth="1"/>
    <col min="16" max="16384" width="11.42578125" style="7"/>
  </cols>
  <sheetData>
    <row r="1" spans="1:21" ht="18.75" customHeight="1" x14ac:dyDescent="0.2">
      <c r="A1" s="1"/>
      <c r="B1" s="2"/>
      <c r="C1" s="3"/>
      <c r="D1" s="505" t="s">
        <v>0</v>
      </c>
      <c r="E1" s="506"/>
      <c r="F1" s="506"/>
      <c r="G1" s="506"/>
      <c r="H1" s="506"/>
      <c r="I1" s="506"/>
      <c r="J1" s="506"/>
      <c r="K1" s="506"/>
      <c r="L1" s="4" t="s">
        <v>1</v>
      </c>
      <c r="M1" s="5"/>
      <c r="N1" s="6"/>
    </row>
    <row r="2" spans="1:21" ht="18.75" customHeight="1" x14ac:dyDescent="0.2">
      <c r="A2" s="1"/>
      <c r="B2" s="8"/>
      <c r="C2" s="1"/>
      <c r="D2" s="507"/>
      <c r="E2" s="508"/>
      <c r="F2" s="508"/>
      <c r="G2" s="508"/>
      <c r="H2" s="508"/>
      <c r="I2" s="508"/>
      <c r="J2" s="508"/>
      <c r="K2" s="508"/>
      <c r="L2" s="128" t="s">
        <v>2</v>
      </c>
      <c r="M2" s="5"/>
      <c r="N2" s="6"/>
    </row>
    <row r="3" spans="1:21" ht="18.75" customHeight="1" x14ac:dyDescent="0.2">
      <c r="A3" s="1"/>
      <c r="B3" s="8"/>
      <c r="C3" s="1"/>
      <c r="D3" s="509" t="s">
        <v>3</v>
      </c>
      <c r="E3" s="510"/>
      <c r="F3" s="510"/>
      <c r="G3" s="510"/>
      <c r="H3" s="510"/>
      <c r="I3" s="510"/>
      <c r="J3" s="510"/>
      <c r="K3" s="510"/>
      <c r="L3" s="10" t="s">
        <v>4</v>
      </c>
      <c r="M3" s="5"/>
      <c r="N3" s="6"/>
    </row>
    <row r="4" spans="1:21" ht="18.75" customHeight="1" x14ac:dyDescent="0.2">
      <c r="A4" s="1"/>
      <c r="B4" s="11"/>
      <c r="C4" s="12"/>
      <c r="D4" s="511"/>
      <c r="E4" s="512"/>
      <c r="F4" s="512"/>
      <c r="G4" s="512"/>
      <c r="H4" s="512"/>
      <c r="I4" s="512"/>
      <c r="J4" s="512"/>
      <c r="K4" s="512"/>
      <c r="L4" s="4" t="s">
        <v>5</v>
      </c>
      <c r="M4" s="5"/>
      <c r="N4" s="6"/>
    </row>
    <row r="5" spans="1:21" ht="18.75" customHeight="1" x14ac:dyDescent="0.2">
      <c r="A5" s="13"/>
      <c r="B5" s="513" t="s">
        <v>51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"/>
      <c r="N5" s="5"/>
      <c r="O5" s="6"/>
      <c r="P5" s="6"/>
    </row>
    <row r="6" spans="1:21" ht="18.75" customHeight="1" x14ac:dyDescent="0.2">
      <c r="A6" s="13"/>
      <c r="B6" s="513" t="s">
        <v>52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"/>
      <c r="N6" s="5"/>
      <c r="O6" s="6"/>
      <c r="P6" s="6"/>
    </row>
    <row r="7" spans="1:21" ht="18.75" customHeight="1" x14ac:dyDescent="0.2">
      <c r="A7" s="13"/>
      <c r="B7" s="513" t="s">
        <v>496</v>
      </c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"/>
      <c r="N7" s="5"/>
      <c r="O7" s="6"/>
      <c r="P7" s="6"/>
    </row>
    <row r="8" spans="1:21" x14ac:dyDescent="0.2">
      <c r="A8" s="14"/>
      <c r="B8" s="44"/>
      <c r="C8" s="44"/>
      <c r="D8" s="44"/>
      <c r="E8" s="44"/>
      <c r="F8" s="44"/>
      <c r="G8" s="44"/>
      <c r="H8" s="44"/>
      <c r="I8" s="44"/>
      <c r="J8" s="44"/>
      <c r="K8" s="44"/>
      <c r="L8" s="51"/>
      <c r="M8" s="15"/>
      <c r="N8" s="16"/>
      <c r="O8" s="6"/>
      <c r="P8" s="6"/>
    </row>
    <row r="9" spans="1:21" ht="15" customHeight="1" x14ac:dyDescent="0.2">
      <c r="A9" s="523"/>
      <c r="B9" s="524" t="s">
        <v>8</v>
      </c>
      <c r="C9" s="524" t="s">
        <v>9</v>
      </c>
      <c r="D9" s="524" t="s">
        <v>10</v>
      </c>
      <c r="E9" s="524" t="s">
        <v>11</v>
      </c>
      <c r="F9" s="524" t="s">
        <v>12</v>
      </c>
      <c r="G9" s="524" t="s">
        <v>13</v>
      </c>
      <c r="H9" s="524" t="s">
        <v>14</v>
      </c>
      <c r="I9" s="531" t="s">
        <v>15</v>
      </c>
      <c r="J9" s="524" t="s">
        <v>16</v>
      </c>
      <c r="K9" s="524" t="s">
        <v>17</v>
      </c>
      <c r="L9" s="41" t="s">
        <v>18</v>
      </c>
    </row>
    <row r="10" spans="1:21" ht="15" customHeight="1" x14ac:dyDescent="0.2">
      <c r="A10" s="523"/>
      <c r="B10" s="524"/>
      <c r="C10" s="524"/>
      <c r="D10" s="524"/>
      <c r="E10" s="524"/>
      <c r="F10" s="524"/>
      <c r="G10" s="524"/>
      <c r="H10" s="524"/>
      <c r="I10" s="532"/>
      <c r="J10" s="524"/>
      <c r="K10" s="524"/>
      <c r="L10" s="42" t="s">
        <v>19</v>
      </c>
    </row>
    <row r="11" spans="1:21" ht="15" customHeight="1" x14ac:dyDescent="0.2">
      <c r="A11" s="523"/>
      <c r="B11" s="524"/>
      <c r="C11" s="524"/>
      <c r="D11" s="524"/>
      <c r="E11" s="524"/>
      <c r="F11" s="524"/>
      <c r="G11" s="524"/>
      <c r="H11" s="524"/>
      <c r="I11" s="532"/>
      <c r="J11" s="524"/>
      <c r="K11" s="524"/>
      <c r="L11" s="42" t="s">
        <v>20</v>
      </c>
    </row>
    <row r="12" spans="1:21" ht="15" customHeight="1" x14ac:dyDescent="0.2">
      <c r="A12" s="523"/>
      <c r="B12" s="524"/>
      <c r="C12" s="524"/>
      <c r="D12" s="524"/>
      <c r="E12" s="524"/>
      <c r="F12" s="524"/>
      <c r="G12" s="524"/>
      <c r="H12" s="524"/>
      <c r="I12" s="532"/>
      <c r="J12" s="524"/>
      <c r="K12" s="524"/>
      <c r="L12" s="42" t="s">
        <v>53</v>
      </c>
    </row>
    <row r="13" spans="1:21" ht="15" customHeight="1" x14ac:dyDescent="0.2">
      <c r="A13" s="523"/>
      <c r="B13" s="524"/>
      <c r="C13" s="524"/>
      <c r="D13" s="524"/>
      <c r="E13" s="524"/>
      <c r="F13" s="524"/>
      <c r="G13" s="524"/>
      <c r="H13" s="524"/>
      <c r="I13" s="532"/>
      <c r="J13" s="524"/>
      <c r="K13" s="524"/>
      <c r="L13" s="42" t="s">
        <v>22</v>
      </c>
    </row>
    <row r="14" spans="1:21" ht="15" customHeight="1" x14ac:dyDescent="0.2">
      <c r="A14" s="523"/>
      <c r="B14" s="524"/>
      <c r="C14" s="524"/>
      <c r="D14" s="524"/>
      <c r="E14" s="524"/>
      <c r="F14" s="524"/>
      <c r="G14" s="524"/>
      <c r="H14" s="524"/>
      <c r="I14" s="533"/>
      <c r="J14" s="524"/>
      <c r="K14" s="524"/>
      <c r="L14" s="43" t="s">
        <v>54</v>
      </c>
    </row>
    <row r="15" spans="1:21" ht="77.25" customHeight="1" x14ac:dyDescent="0.2">
      <c r="B15" s="17">
        <v>20</v>
      </c>
      <c r="C15" s="52" t="s">
        <v>55</v>
      </c>
      <c r="D15" s="52" t="s">
        <v>56</v>
      </c>
      <c r="E15" s="18" t="s">
        <v>57</v>
      </c>
      <c r="F15" s="90">
        <v>30000000</v>
      </c>
      <c r="G15" s="92">
        <v>27420000</v>
      </c>
      <c r="H15" s="92">
        <v>27420000</v>
      </c>
      <c r="I15" s="92">
        <v>27078600</v>
      </c>
      <c r="J15" s="92">
        <v>27078600</v>
      </c>
      <c r="K15" s="90">
        <f>F15-G15</f>
        <v>2580000</v>
      </c>
      <c r="L15" s="53">
        <f>H15/F15</f>
        <v>0.91400000000000003</v>
      </c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53.25" customHeight="1" x14ac:dyDescent="0.2">
      <c r="B16" s="17">
        <v>20</v>
      </c>
      <c r="C16" s="52" t="s">
        <v>58</v>
      </c>
      <c r="D16" s="54" t="s">
        <v>59</v>
      </c>
      <c r="E16" s="18" t="s">
        <v>57</v>
      </c>
      <c r="F16" s="90">
        <v>40000000</v>
      </c>
      <c r="G16" s="92">
        <v>12000000</v>
      </c>
      <c r="H16" s="92">
        <v>12000000</v>
      </c>
      <c r="I16" s="92">
        <v>3324000</v>
      </c>
      <c r="J16" s="92">
        <v>3324000</v>
      </c>
      <c r="K16" s="90">
        <f>F16-G16</f>
        <v>28000000</v>
      </c>
      <c r="L16" s="53">
        <f t="shared" ref="L16:L31" si="0">H16/F16</f>
        <v>0.3</v>
      </c>
      <c r="M16" s="21"/>
      <c r="N16" s="21"/>
      <c r="O16" s="21"/>
      <c r="P16" s="21"/>
      <c r="Q16" s="21"/>
      <c r="R16" s="21"/>
      <c r="S16" s="21"/>
      <c r="T16" s="21"/>
      <c r="U16" s="21"/>
    </row>
    <row r="17" spans="2:21" ht="48.75" customHeight="1" x14ac:dyDescent="0.2">
      <c r="B17" s="17">
        <v>20</v>
      </c>
      <c r="C17" s="52" t="s">
        <v>60</v>
      </c>
      <c r="D17" s="52" t="s">
        <v>61</v>
      </c>
      <c r="E17" s="18" t="s">
        <v>57</v>
      </c>
      <c r="F17" s="90">
        <v>120000000</v>
      </c>
      <c r="G17" s="92">
        <v>105452716</v>
      </c>
      <c r="H17" s="92">
        <v>105452716</v>
      </c>
      <c r="I17" s="92">
        <v>105452716</v>
      </c>
      <c r="J17" s="92">
        <v>105452716</v>
      </c>
      <c r="K17" s="90">
        <f t="shared" ref="K17:K29" si="1">F17-G17</f>
        <v>14547284</v>
      </c>
      <c r="L17" s="53">
        <f t="shared" si="0"/>
        <v>0.87877263333333333</v>
      </c>
      <c r="M17" s="21"/>
      <c r="N17" s="21"/>
      <c r="O17" s="21"/>
      <c r="P17" s="21"/>
      <c r="Q17" s="21"/>
      <c r="R17" s="21"/>
      <c r="S17" s="21"/>
      <c r="T17" s="21"/>
      <c r="U17" s="21"/>
    </row>
    <row r="18" spans="2:21" ht="54" customHeight="1" x14ac:dyDescent="0.2">
      <c r="B18" s="17">
        <v>88</v>
      </c>
      <c r="C18" s="52" t="s">
        <v>62</v>
      </c>
      <c r="D18" s="52" t="s">
        <v>61</v>
      </c>
      <c r="E18" s="18" t="s">
        <v>63</v>
      </c>
      <c r="F18" s="90">
        <v>20000000</v>
      </c>
      <c r="G18" s="92">
        <v>7500000</v>
      </c>
      <c r="H18" s="92">
        <v>7500000</v>
      </c>
      <c r="I18" s="92">
        <v>7500000</v>
      </c>
      <c r="J18" s="92">
        <v>7500000</v>
      </c>
      <c r="K18" s="90">
        <f t="shared" si="1"/>
        <v>12500000</v>
      </c>
      <c r="L18" s="53">
        <f t="shared" si="0"/>
        <v>0.375</v>
      </c>
      <c r="M18" s="21"/>
      <c r="N18" s="21"/>
      <c r="O18" s="21"/>
      <c r="P18" s="21"/>
      <c r="Q18" s="21"/>
      <c r="R18" s="21"/>
      <c r="S18" s="21"/>
      <c r="T18" s="21"/>
      <c r="U18" s="21"/>
    </row>
    <row r="19" spans="2:21" ht="68.25" customHeight="1" x14ac:dyDescent="0.2">
      <c r="B19" s="17">
        <v>20</v>
      </c>
      <c r="C19" s="52" t="s">
        <v>64</v>
      </c>
      <c r="D19" s="52" t="s">
        <v>65</v>
      </c>
      <c r="E19" s="18" t="s">
        <v>57</v>
      </c>
      <c r="F19" s="90">
        <v>230700000</v>
      </c>
      <c r="G19" s="92">
        <v>223203810</v>
      </c>
      <c r="H19" s="92">
        <v>223203810</v>
      </c>
      <c r="I19" s="92">
        <v>223203810</v>
      </c>
      <c r="J19" s="92">
        <v>223203810</v>
      </c>
      <c r="K19" s="90">
        <f t="shared" si="1"/>
        <v>7496190</v>
      </c>
      <c r="L19" s="53">
        <f t="shared" si="0"/>
        <v>0.96750676202860864</v>
      </c>
      <c r="M19" s="21"/>
      <c r="N19" s="21"/>
      <c r="O19" s="21"/>
      <c r="P19" s="21"/>
      <c r="Q19" s="21"/>
      <c r="R19" s="21"/>
      <c r="S19" s="21"/>
      <c r="T19" s="21"/>
      <c r="U19" s="21"/>
    </row>
    <row r="20" spans="2:21" ht="78.75" customHeight="1" x14ac:dyDescent="0.2">
      <c r="B20" s="17">
        <v>88</v>
      </c>
      <c r="C20" s="52" t="s">
        <v>66</v>
      </c>
      <c r="D20" s="52" t="s">
        <v>65</v>
      </c>
      <c r="E20" s="18" t="s">
        <v>63</v>
      </c>
      <c r="F20" s="90">
        <v>30000000</v>
      </c>
      <c r="G20" s="92">
        <v>30000000</v>
      </c>
      <c r="H20" s="92">
        <v>30000000</v>
      </c>
      <c r="I20" s="92">
        <v>30000000</v>
      </c>
      <c r="J20" s="92">
        <v>30000000</v>
      </c>
      <c r="K20" s="90">
        <f t="shared" si="1"/>
        <v>0</v>
      </c>
      <c r="L20" s="53">
        <f t="shared" si="0"/>
        <v>1</v>
      </c>
      <c r="M20" s="21"/>
      <c r="N20" s="21"/>
      <c r="O20" s="21"/>
      <c r="P20" s="21"/>
      <c r="Q20" s="21"/>
      <c r="R20" s="21"/>
      <c r="S20" s="21"/>
      <c r="T20" s="21"/>
      <c r="U20" s="21"/>
    </row>
    <row r="21" spans="2:21" ht="55.5" customHeight="1" x14ac:dyDescent="0.2">
      <c r="B21" s="17">
        <v>20</v>
      </c>
      <c r="C21" s="52" t="s">
        <v>67</v>
      </c>
      <c r="D21" s="52" t="s">
        <v>68</v>
      </c>
      <c r="E21" s="18" t="s">
        <v>57</v>
      </c>
      <c r="F21" s="90">
        <v>25000000</v>
      </c>
      <c r="G21" s="92">
        <v>24710000</v>
      </c>
      <c r="H21" s="92">
        <v>24710000</v>
      </c>
      <c r="I21" s="92">
        <v>24710000</v>
      </c>
      <c r="J21" s="92">
        <v>24710000</v>
      </c>
      <c r="K21" s="90">
        <f t="shared" si="1"/>
        <v>290000</v>
      </c>
      <c r="L21" s="53">
        <f t="shared" si="0"/>
        <v>0.98839999999999995</v>
      </c>
      <c r="M21" s="21"/>
      <c r="N21" s="21"/>
      <c r="O21" s="21"/>
      <c r="P21" s="21"/>
      <c r="Q21" s="21"/>
      <c r="R21" s="21"/>
      <c r="S21" s="21"/>
      <c r="T21" s="21"/>
      <c r="U21" s="21"/>
    </row>
    <row r="22" spans="2:21" ht="66.75" customHeight="1" x14ac:dyDescent="0.2">
      <c r="B22" s="17">
        <v>20</v>
      </c>
      <c r="C22" s="52" t="s">
        <v>69</v>
      </c>
      <c r="D22" s="52" t="s">
        <v>70</v>
      </c>
      <c r="E22" s="18" t="s">
        <v>57</v>
      </c>
      <c r="F22" s="90">
        <v>175000000</v>
      </c>
      <c r="G22" s="92">
        <v>174444749.22999999</v>
      </c>
      <c r="H22" s="92">
        <v>174444749.22999999</v>
      </c>
      <c r="I22" s="92">
        <v>174444749.22999999</v>
      </c>
      <c r="J22" s="92">
        <v>174444749.22999999</v>
      </c>
      <c r="K22" s="90">
        <f t="shared" si="1"/>
        <v>555250.77000001073</v>
      </c>
      <c r="L22" s="53">
        <f t="shared" si="0"/>
        <v>0.99682713845714277</v>
      </c>
      <c r="M22" s="21"/>
      <c r="N22" s="21"/>
      <c r="O22" s="21"/>
      <c r="P22" s="21"/>
      <c r="Q22" s="21"/>
      <c r="R22" s="21"/>
      <c r="S22" s="21"/>
      <c r="T22" s="21"/>
      <c r="U22" s="21"/>
    </row>
    <row r="23" spans="2:21" ht="66" customHeight="1" x14ac:dyDescent="0.2">
      <c r="B23" s="17">
        <v>88</v>
      </c>
      <c r="C23" s="52" t="s">
        <v>71</v>
      </c>
      <c r="D23" s="52" t="s">
        <v>70</v>
      </c>
      <c r="E23" s="18" t="s">
        <v>63</v>
      </c>
      <c r="F23" s="90">
        <v>40000000</v>
      </c>
      <c r="G23" s="92">
        <v>40000000</v>
      </c>
      <c r="H23" s="92">
        <v>40000000</v>
      </c>
      <c r="I23" s="92">
        <v>40000000</v>
      </c>
      <c r="J23" s="92">
        <v>40000000</v>
      </c>
      <c r="K23" s="90">
        <f t="shared" si="1"/>
        <v>0</v>
      </c>
      <c r="L23" s="53">
        <f t="shared" si="0"/>
        <v>1</v>
      </c>
      <c r="M23" s="21"/>
      <c r="N23" s="21"/>
      <c r="O23" s="21"/>
      <c r="P23" s="21"/>
      <c r="Q23" s="21"/>
      <c r="R23" s="21"/>
      <c r="S23" s="21"/>
      <c r="T23" s="21"/>
      <c r="U23" s="21"/>
    </row>
    <row r="24" spans="2:21" ht="66" customHeight="1" x14ac:dyDescent="0.2">
      <c r="B24" s="17">
        <v>20</v>
      </c>
      <c r="C24" s="52" t="s">
        <v>72</v>
      </c>
      <c r="D24" s="52" t="s">
        <v>73</v>
      </c>
      <c r="E24" s="18" t="s">
        <v>57</v>
      </c>
      <c r="F24" s="90">
        <v>600000000</v>
      </c>
      <c r="G24" s="92">
        <v>505120319</v>
      </c>
      <c r="H24" s="92">
        <v>505120319</v>
      </c>
      <c r="I24" s="456">
        <v>305120319</v>
      </c>
      <c r="J24" s="92">
        <v>305120319</v>
      </c>
      <c r="K24" s="90">
        <f t="shared" si="1"/>
        <v>94879681</v>
      </c>
      <c r="L24" s="53">
        <f t="shared" si="0"/>
        <v>0.84186719833333334</v>
      </c>
      <c r="M24" s="21"/>
      <c r="N24" s="21"/>
      <c r="O24" s="21"/>
      <c r="P24" s="21"/>
      <c r="Q24" s="21"/>
      <c r="R24" s="21"/>
      <c r="S24" s="21"/>
      <c r="T24" s="21"/>
      <c r="U24" s="21"/>
    </row>
    <row r="25" spans="2:21" ht="68.25" customHeight="1" x14ac:dyDescent="0.2">
      <c r="B25" s="17">
        <v>88</v>
      </c>
      <c r="C25" s="52" t="s">
        <v>74</v>
      </c>
      <c r="D25" s="52" t="s">
        <v>73</v>
      </c>
      <c r="E25" s="18" t="s">
        <v>63</v>
      </c>
      <c r="F25" s="90">
        <v>45000000</v>
      </c>
      <c r="G25" s="92">
        <v>45000000</v>
      </c>
      <c r="H25" s="92">
        <v>45000000</v>
      </c>
      <c r="I25" s="92">
        <v>45000000</v>
      </c>
      <c r="J25" s="92">
        <v>45000000</v>
      </c>
      <c r="K25" s="90">
        <f t="shared" si="1"/>
        <v>0</v>
      </c>
      <c r="L25" s="53">
        <f t="shared" si="0"/>
        <v>1</v>
      </c>
      <c r="M25" s="21"/>
      <c r="N25" s="21"/>
      <c r="O25" s="21"/>
      <c r="P25" s="21"/>
      <c r="Q25" s="21"/>
      <c r="R25" s="21"/>
      <c r="S25" s="21"/>
      <c r="T25" s="21"/>
      <c r="U25" s="21"/>
    </row>
    <row r="26" spans="2:21" ht="61.5" customHeight="1" x14ac:dyDescent="0.2">
      <c r="B26" s="17">
        <v>20</v>
      </c>
      <c r="C26" s="52" t="s">
        <v>75</v>
      </c>
      <c r="D26" s="52" t="s">
        <v>76</v>
      </c>
      <c r="E26" s="18" t="s">
        <v>57</v>
      </c>
      <c r="F26" s="90">
        <v>16000000</v>
      </c>
      <c r="G26" s="92">
        <v>15840000</v>
      </c>
      <c r="H26" s="92">
        <v>15840000</v>
      </c>
      <c r="I26" s="92">
        <v>15840000</v>
      </c>
      <c r="J26" s="92">
        <v>15840000</v>
      </c>
      <c r="K26" s="90">
        <f t="shared" si="1"/>
        <v>160000</v>
      </c>
      <c r="L26" s="53">
        <f t="shared" si="0"/>
        <v>0.99</v>
      </c>
      <c r="M26" s="21"/>
      <c r="N26" s="21"/>
      <c r="O26" s="21"/>
      <c r="P26" s="21"/>
      <c r="Q26" s="21"/>
      <c r="R26" s="21"/>
      <c r="S26" s="21"/>
      <c r="T26" s="21"/>
      <c r="U26" s="21"/>
    </row>
    <row r="27" spans="2:21" ht="76.5" customHeight="1" x14ac:dyDescent="0.2">
      <c r="B27" s="17">
        <v>88</v>
      </c>
      <c r="C27" s="52" t="s">
        <v>77</v>
      </c>
      <c r="D27" s="52" t="s">
        <v>76</v>
      </c>
      <c r="E27" s="18" t="s">
        <v>63</v>
      </c>
      <c r="F27" s="457">
        <v>20000000</v>
      </c>
      <c r="G27" s="92">
        <v>16111333</v>
      </c>
      <c r="H27" s="92">
        <v>16111333</v>
      </c>
      <c r="I27" s="92">
        <v>16111333</v>
      </c>
      <c r="J27" s="92">
        <v>16111333</v>
      </c>
      <c r="K27" s="90">
        <f t="shared" si="1"/>
        <v>3888667</v>
      </c>
      <c r="L27" s="53">
        <f t="shared" si="0"/>
        <v>0.80556665000000005</v>
      </c>
      <c r="M27" s="21"/>
      <c r="N27" s="21"/>
      <c r="O27" s="21"/>
      <c r="P27" s="21"/>
      <c r="Q27" s="21"/>
      <c r="R27" s="21"/>
      <c r="S27" s="21"/>
      <c r="T27" s="21"/>
      <c r="U27" s="21"/>
    </row>
    <row r="28" spans="2:21" ht="64.5" customHeight="1" x14ac:dyDescent="0.2">
      <c r="B28" s="17">
        <v>20</v>
      </c>
      <c r="C28" s="52" t="s">
        <v>78</v>
      </c>
      <c r="D28" s="52" t="s">
        <v>79</v>
      </c>
      <c r="E28" s="18" t="s">
        <v>57</v>
      </c>
      <c r="F28" s="90">
        <v>129300000</v>
      </c>
      <c r="G28" s="92">
        <v>91829693</v>
      </c>
      <c r="H28" s="92">
        <v>91829693</v>
      </c>
      <c r="I28" s="92">
        <v>91829693</v>
      </c>
      <c r="J28" s="92">
        <v>91829693</v>
      </c>
      <c r="K28" s="90">
        <f t="shared" si="1"/>
        <v>37470307</v>
      </c>
      <c r="L28" s="56">
        <f t="shared" si="0"/>
        <v>0.71020644238205721</v>
      </c>
      <c r="M28" s="21"/>
      <c r="N28" s="21"/>
      <c r="O28" s="21"/>
      <c r="P28" s="21"/>
      <c r="Q28" s="21"/>
      <c r="R28" s="21"/>
      <c r="S28" s="21"/>
      <c r="T28" s="21"/>
      <c r="U28" s="21"/>
    </row>
    <row r="29" spans="2:21" ht="63.75" customHeight="1" x14ac:dyDescent="0.2">
      <c r="B29" s="17">
        <v>88</v>
      </c>
      <c r="C29" s="52" t="s">
        <v>80</v>
      </c>
      <c r="D29" s="52" t="s">
        <v>79</v>
      </c>
      <c r="E29" s="18" t="s">
        <v>63</v>
      </c>
      <c r="F29" s="90">
        <v>35000000</v>
      </c>
      <c r="G29" s="92">
        <v>34926666</v>
      </c>
      <c r="H29" s="92">
        <v>34926666</v>
      </c>
      <c r="I29" s="92">
        <v>34926666</v>
      </c>
      <c r="J29" s="92">
        <v>34926666</v>
      </c>
      <c r="K29" s="90">
        <f t="shared" si="1"/>
        <v>73334</v>
      </c>
      <c r="L29" s="53">
        <f t="shared" si="0"/>
        <v>0.99790474285714281</v>
      </c>
      <c r="M29" s="21"/>
      <c r="N29" s="21"/>
      <c r="O29" s="21"/>
      <c r="P29" s="21"/>
      <c r="Q29" s="21"/>
      <c r="R29" s="21"/>
      <c r="S29" s="21"/>
      <c r="T29" s="21"/>
      <c r="U29" s="21"/>
    </row>
    <row r="30" spans="2:21" ht="17.25" customHeight="1" x14ac:dyDescent="0.2">
      <c r="B30" s="17"/>
      <c r="C30" s="18"/>
      <c r="D30" s="18"/>
      <c r="E30" s="18"/>
      <c r="F30" s="90"/>
      <c r="G30" s="92"/>
      <c r="H30" s="92"/>
      <c r="I30" s="92"/>
      <c r="J30" s="92"/>
      <c r="K30" s="90"/>
      <c r="L30" s="57"/>
      <c r="M30" s="21"/>
      <c r="N30" s="21"/>
      <c r="O30" s="21"/>
      <c r="P30" s="21"/>
      <c r="Q30" s="21"/>
      <c r="R30" s="21"/>
      <c r="S30" s="21"/>
      <c r="T30" s="21"/>
      <c r="U30" s="21"/>
    </row>
    <row r="31" spans="2:21" ht="42" customHeight="1" x14ac:dyDescent="0.2">
      <c r="B31" s="27"/>
      <c r="C31" s="28"/>
      <c r="D31" s="29" t="s">
        <v>35</v>
      </c>
      <c r="E31" s="30"/>
      <c r="F31" s="220">
        <f>SUM(F15:F30)</f>
        <v>1556000000</v>
      </c>
      <c r="G31" s="220">
        <f t="shared" ref="G31:K31" si="2">SUM(G15:G30)</f>
        <v>1353559286.23</v>
      </c>
      <c r="H31" s="220">
        <f t="shared" si="2"/>
        <v>1353559286.23</v>
      </c>
      <c r="I31" s="220">
        <f t="shared" si="2"/>
        <v>1144541886.23</v>
      </c>
      <c r="J31" s="220">
        <f t="shared" si="2"/>
        <v>1144541886.23</v>
      </c>
      <c r="K31" s="220">
        <f t="shared" si="2"/>
        <v>202440713.77000001</v>
      </c>
      <c r="L31" s="121">
        <f t="shared" si="0"/>
        <v>0.86989671351542419</v>
      </c>
    </row>
    <row r="32" spans="2:21" ht="34.5" customHeight="1" x14ac:dyDescent="0.2">
      <c r="B32" s="17"/>
      <c r="C32" s="31"/>
      <c r="D32" s="4" t="s">
        <v>36</v>
      </c>
      <c r="E32" s="32"/>
      <c r="F32" s="97">
        <v>1</v>
      </c>
      <c r="G32" s="97">
        <f>G31/F31</f>
        <v>0.86989671351542419</v>
      </c>
      <c r="H32" s="97">
        <f>H31/F31</f>
        <v>0.86989671351542419</v>
      </c>
      <c r="I32" s="97">
        <f>I31/H31</f>
        <v>0.84557942742045267</v>
      </c>
      <c r="J32" s="97">
        <f>J31/H31</f>
        <v>0.84557942742045267</v>
      </c>
      <c r="K32" s="97">
        <f>K31/F31</f>
        <v>0.13010328648457584</v>
      </c>
      <c r="L32" s="34"/>
    </row>
    <row r="34" spans="2:15" x14ac:dyDescent="0.2">
      <c r="F34" s="450"/>
      <c r="G34" s="450"/>
      <c r="H34" s="134"/>
      <c r="I34" s="450"/>
      <c r="J34" s="134"/>
      <c r="K34" s="450"/>
      <c r="L34" s="450"/>
      <c r="M34" s="134"/>
      <c r="N34" s="134"/>
    </row>
    <row r="35" spans="2:15" x14ac:dyDescent="0.2">
      <c r="D35" s="60"/>
      <c r="E35" s="159" t="s">
        <v>37</v>
      </c>
      <c r="F35" s="449" t="s">
        <v>38</v>
      </c>
      <c r="G35" s="449" t="s">
        <v>39</v>
      </c>
      <c r="H35" s="449" t="s">
        <v>40</v>
      </c>
      <c r="I35" s="449" t="s">
        <v>41</v>
      </c>
      <c r="J35" s="160" t="s">
        <v>42</v>
      </c>
      <c r="K35" s="449" t="s">
        <v>43</v>
      </c>
      <c r="L35" s="449" t="s">
        <v>44</v>
      </c>
      <c r="M35" s="449" t="s">
        <v>81</v>
      </c>
      <c r="N35" s="160" t="s">
        <v>46</v>
      </c>
    </row>
    <row r="36" spans="2:15" ht="15" x14ac:dyDescent="0.25">
      <c r="D36" s="61"/>
      <c r="E36" s="159" t="s">
        <v>470</v>
      </c>
      <c r="F36" s="161">
        <f>1340000000/1000</f>
        <v>1340000</v>
      </c>
      <c r="G36" s="161">
        <f>375510000/1000</f>
        <v>375510</v>
      </c>
      <c r="H36" s="162">
        <f t="shared" ref="H36:H43" si="3">G36/F36</f>
        <v>0.28023134328358207</v>
      </c>
      <c r="I36" s="161">
        <f>312328360/1000</f>
        <v>312328.36</v>
      </c>
      <c r="J36" s="162">
        <f t="shared" ref="J36:J43" si="4">I36/F36</f>
        <v>0.23308086567164177</v>
      </c>
      <c r="K36" s="161">
        <v>0</v>
      </c>
      <c r="L36" s="161">
        <v>0</v>
      </c>
      <c r="M36" s="161">
        <f>(F36-G36)</f>
        <v>964490</v>
      </c>
      <c r="N36" s="162">
        <f t="shared" ref="N36:N43" si="5">M36/F36</f>
        <v>0.71976865671641788</v>
      </c>
    </row>
    <row r="37" spans="2:15" ht="15" x14ac:dyDescent="0.25">
      <c r="D37" s="61"/>
      <c r="E37" s="159" t="s">
        <v>471</v>
      </c>
      <c r="F37" s="161">
        <f t="shared" ref="F37:F42" si="6">1530000000/1000</f>
        <v>1530000</v>
      </c>
      <c r="G37" s="161">
        <f>517120000/1000</f>
        <v>517120</v>
      </c>
      <c r="H37" s="162">
        <f t="shared" si="3"/>
        <v>0.33798692810457515</v>
      </c>
      <c r="I37" s="161">
        <f>443503876/1000</f>
        <v>443503.87599999999</v>
      </c>
      <c r="J37" s="162">
        <f t="shared" si="4"/>
        <v>0.28987181437908494</v>
      </c>
      <c r="K37" s="161">
        <f>31260000/1000</f>
        <v>31260</v>
      </c>
      <c r="L37" s="161">
        <v>31260</v>
      </c>
      <c r="M37" s="161">
        <f>(F37-G37)</f>
        <v>1012880</v>
      </c>
      <c r="N37" s="162">
        <f t="shared" si="5"/>
        <v>0.6620130718954248</v>
      </c>
    </row>
    <row r="38" spans="2:15" ht="15" x14ac:dyDescent="0.25">
      <c r="D38" s="60"/>
      <c r="E38" s="159" t="s">
        <v>472</v>
      </c>
      <c r="F38" s="163">
        <f t="shared" si="6"/>
        <v>1530000</v>
      </c>
      <c r="G38" s="163">
        <f>602340000/1000</f>
        <v>602340</v>
      </c>
      <c r="H38" s="162">
        <f t="shared" si="3"/>
        <v>0.39368627450980392</v>
      </c>
      <c r="I38" s="163">
        <f>443499209/1000</f>
        <v>443499.20899999997</v>
      </c>
      <c r="J38" s="162">
        <f t="shared" si="4"/>
        <v>0.28986876405228756</v>
      </c>
      <c r="K38" s="163">
        <f>120950000/1000</f>
        <v>120950</v>
      </c>
      <c r="L38" s="163">
        <v>120950</v>
      </c>
      <c r="M38" s="161">
        <f>(F38-G38)</f>
        <v>927660</v>
      </c>
      <c r="N38" s="162">
        <f t="shared" si="5"/>
        <v>0.60631372549019613</v>
      </c>
    </row>
    <row r="39" spans="2:15" ht="15" x14ac:dyDescent="0.25">
      <c r="D39" s="60"/>
      <c r="E39" s="159" t="s">
        <v>473</v>
      </c>
      <c r="F39" s="163">
        <f t="shared" si="6"/>
        <v>1530000</v>
      </c>
      <c r="G39" s="163">
        <f>768309300/1000</f>
        <v>768309.3</v>
      </c>
      <c r="H39" s="162">
        <f t="shared" si="3"/>
        <v>0.50216294117647065</v>
      </c>
      <c r="I39" s="163">
        <f>448299209/1000</f>
        <v>448299.20899999997</v>
      </c>
      <c r="J39" s="162">
        <f t="shared" si="4"/>
        <v>0.29300601895424833</v>
      </c>
      <c r="K39" s="163">
        <f>193320000/1000</f>
        <v>193320</v>
      </c>
      <c r="L39" s="163">
        <v>193320</v>
      </c>
      <c r="M39" s="161">
        <f>(F39-G39)</f>
        <v>761690.7</v>
      </c>
      <c r="N39" s="162">
        <f t="shared" si="5"/>
        <v>0.49783705882352935</v>
      </c>
    </row>
    <row r="40" spans="2:15" ht="15" x14ac:dyDescent="0.25">
      <c r="D40" s="60"/>
      <c r="E40" s="159" t="s">
        <v>476</v>
      </c>
      <c r="F40" s="163">
        <f t="shared" si="6"/>
        <v>1530000</v>
      </c>
      <c r="G40" s="163">
        <f>777814993/1000</f>
        <v>777814.99300000002</v>
      </c>
      <c r="H40" s="162">
        <f t="shared" si="3"/>
        <v>0.50837581241830065</v>
      </c>
      <c r="I40" s="163">
        <f>597809209/1000</f>
        <v>597809.20900000003</v>
      </c>
      <c r="J40" s="162">
        <f t="shared" si="4"/>
        <v>0.3907249732026144</v>
      </c>
      <c r="K40" s="163">
        <f>269150000/1000</f>
        <v>269150</v>
      </c>
      <c r="L40" s="163">
        <v>269150</v>
      </c>
      <c r="M40" s="161">
        <f>(F40-G40)</f>
        <v>752185.00699999998</v>
      </c>
      <c r="N40" s="162">
        <f t="shared" si="5"/>
        <v>0.49162418758169935</v>
      </c>
    </row>
    <row r="41" spans="2:15" s="60" customFormat="1" ht="14.25" x14ac:dyDescent="0.2">
      <c r="B41" s="62"/>
      <c r="E41" s="159" t="s">
        <v>477</v>
      </c>
      <c r="F41" s="164">
        <f t="shared" si="6"/>
        <v>1530000</v>
      </c>
      <c r="G41" s="164">
        <f>775778509/1000</f>
        <v>775778.50899999996</v>
      </c>
      <c r="H41" s="162">
        <f t="shared" si="3"/>
        <v>0.50704477712418294</v>
      </c>
      <c r="I41" s="164">
        <f>597809209/1000</f>
        <v>597809.20900000003</v>
      </c>
      <c r="J41" s="162">
        <f t="shared" si="4"/>
        <v>0.3907249732026144</v>
      </c>
      <c r="K41" s="164">
        <f>336198293/1000</f>
        <v>336198.29300000001</v>
      </c>
      <c r="L41" s="164">
        <f>336198293/1000</f>
        <v>336198.29300000001</v>
      </c>
      <c r="M41" s="164">
        <f>754221491/1000</f>
        <v>754221.49100000004</v>
      </c>
      <c r="N41" s="162">
        <f t="shared" si="5"/>
        <v>0.492955222875817</v>
      </c>
      <c r="O41" s="63"/>
    </row>
    <row r="42" spans="2:15" s="60" customFormat="1" ht="14.25" x14ac:dyDescent="0.2">
      <c r="B42" s="62"/>
      <c r="E42" s="159" t="s">
        <v>474</v>
      </c>
      <c r="F42" s="164">
        <f t="shared" si="6"/>
        <v>1530000</v>
      </c>
      <c r="G42" s="164">
        <f>893179075/1000</f>
        <v>893179.07499999995</v>
      </c>
      <c r="H42" s="162">
        <f t="shared" si="3"/>
        <v>0.58377717320261435</v>
      </c>
      <c r="I42" s="164">
        <f>653434975/1000</f>
        <v>653434.97499999998</v>
      </c>
      <c r="J42" s="162">
        <f t="shared" si="4"/>
        <v>0.42708168300653593</v>
      </c>
      <c r="K42" s="164">
        <f>414059809/1000</f>
        <v>414059.80900000001</v>
      </c>
      <c r="L42" s="164">
        <f>403559809/1000</f>
        <v>403559.80900000001</v>
      </c>
      <c r="M42" s="164">
        <f>636820925/1000</f>
        <v>636820.92500000005</v>
      </c>
      <c r="N42" s="162">
        <f t="shared" si="5"/>
        <v>0.41622282679738565</v>
      </c>
      <c r="O42" s="63"/>
    </row>
    <row r="43" spans="2:15" s="60" customFormat="1" ht="14.25" x14ac:dyDescent="0.2">
      <c r="B43" s="62"/>
      <c r="E43" s="159" t="s">
        <v>475</v>
      </c>
      <c r="F43" s="164">
        <f>1530000000/1000</f>
        <v>1530000</v>
      </c>
      <c r="G43" s="164">
        <f>1051236875/1000</f>
        <v>1051236.875</v>
      </c>
      <c r="H43" s="162">
        <f t="shared" si="3"/>
        <v>0.68708292483660127</v>
      </c>
      <c r="I43" s="164">
        <f>998642758/1000</f>
        <v>998642.75800000003</v>
      </c>
      <c r="J43" s="162">
        <f t="shared" si="4"/>
        <v>0.65270768496732023</v>
      </c>
      <c r="K43" s="164">
        <f>459285809/1000</f>
        <v>459285.80900000001</v>
      </c>
      <c r="L43" s="164">
        <f>459285809/1000</f>
        <v>459285.80900000001</v>
      </c>
      <c r="M43" s="164">
        <f>478763125/1000</f>
        <v>478763.125</v>
      </c>
      <c r="N43" s="162">
        <f t="shared" si="5"/>
        <v>0.31291707516339867</v>
      </c>
      <c r="O43" s="63"/>
    </row>
    <row r="44" spans="2:15" s="60" customFormat="1" ht="14.25" x14ac:dyDescent="0.2">
      <c r="B44" s="62"/>
      <c r="E44" s="159" t="s">
        <v>478</v>
      </c>
      <c r="F44" s="164">
        <f>1530000000/1000</f>
        <v>1530000</v>
      </c>
      <c r="G44" s="164">
        <f>1319782758/1000</f>
        <v>1319782.7579999999</v>
      </c>
      <c r="H44" s="162">
        <f t="shared" ref="H44:H47" si="7">G44/F44</f>
        <v>0.86260310980392152</v>
      </c>
      <c r="I44" s="164">
        <f>1064282758/1000</f>
        <v>1064282.7579999999</v>
      </c>
      <c r="J44" s="162">
        <f t="shared" ref="J44:J47" si="8">I44/F44</f>
        <v>0.69560964575163398</v>
      </c>
      <c r="K44" s="164">
        <f>550357171/1000</f>
        <v>550357.17099999997</v>
      </c>
      <c r="L44" s="164">
        <f>550357171/1000</f>
        <v>550357.17099999997</v>
      </c>
      <c r="M44" s="164">
        <f>210217242/1000</f>
        <v>210217.242</v>
      </c>
      <c r="N44" s="162">
        <f t="shared" ref="N44:N47" si="9">M44/F44</f>
        <v>0.13739689019607843</v>
      </c>
      <c r="O44" s="63"/>
    </row>
    <row r="45" spans="2:15" s="60" customFormat="1" ht="14.25" x14ac:dyDescent="0.2">
      <c r="B45" s="62"/>
      <c r="E45" s="159" t="s">
        <v>488</v>
      </c>
      <c r="F45" s="164">
        <f>1530000000/1000</f>
        <v>1530000</v>
      </c>
      <c r="G45" s="164">
        <f>1324416091/1000</f>
        <v>1324416.091</v>
      </c>
      <c r="H45" s="162">
        <f t="shared" si="7"/>
        <v>0.86563143202614379</v>
      </c>
      <c r="I45" s="164">
        <f>1124352091/1000</f>
        <v>1124352.091</v>
      </c>
      <c r="J45" s="162">
        <f t="shared" si="8"/>
        <v>0.73487064771241828</v>
      </c>
      <c r="K45" s="164">
        <f>675218184.23/1000</f>
        <v>675218.18423000001</v>
      </c>
      <c r="L45" s="164">
        <f>669309634.23/1000</f>
        <v>669309.63422999997</v>
      </c>
      <c r="M45" s="164">
        <f>205583909/1000</f>
        <v>205583.90900000001</v>
      </c>
      <c r="N45" s="162">
        <f t="shared" si="9"/>
        <v>0.13436856797385621</v>
      </c>
      <c r="O45" s="63"/>
    </row>
    <row r="46" spans="2:15" s="60" customFormat="1" ht="14.25" x14ac:dyDescent="0.2">
      <c r="B46" s="62"/>
      <c r="E46" s="159" t="s">
        <v>487</v>
      </c>
      <c r="F46" s="164">
        <f>1556000000/1000</f>
        <v>1556000</v>
      </c>
      <c r="G46" s="164">
        <f>1382856618/1000</f>
        <v>1382856.618</v>
      </c>
      <c r="H46" s="162">
        <f t="shared" si="7"/>
        <v>0.88872533290488431</v>
      </c>
      <c r="I46" s="164">
        <f>1328092191/1000</f>
        <v>1328092.1910000001</v>
      </c>
      <c r="J46" s="162">
        <f t="shared" si="8"/>
        <v>0.85352968573264787</v>
      </c>
      <c r="K46" s="164">
        <f>869884996.23/1000</f>
        <v>869884.99623000005</v>
      </c>
      <c r="L46" s="164">
        <f>869884996.23/1000</f>
        <v>869884.99623000005</v>
      </c>
      <c r="M46" s="164">
        <f>173143382/1000</f>
        <v>173143.38200000001</v>
      </c>
      <c r="N46" s="162">
        <f t="shared" si="9"/>
        <v>0.11127466709511569</v>
      </c>
      <c r="O46" s="63"/>
    </row>
    <row r="47" spans="2:15" s="60" customFormat="1" ht="14.25" x14ac:dyDescent="0.2">
      <c r="B47" s="62"/>
      <c r="E47" s="159" t="s">
        <v>494</v>
      </c>
      <c r="F47" s="164">
        <f>F31/1000</f>
        <v>1556000</v>
      </c>
      <c r="G47" s="164">
        <f>G31/1000</f>
        <v>1353559.28623</v>
      </c>
      <c r="H47" s="162">
        <f t="shared" si="7"/>
        <v>0.86989671351542419</v>
      </c>
      <c r="I47" s="164">
        <f>H31/1000</f>
        <v>1353559.28623</v>
      </c>
      <c r="J47" s="162">
        <f t="shared" si="8"/>
        <v>0.86989671351542419</v>
      </c>
      <c r="K47" s="164">
        <f>I31</f>
        <v>1144541886.23</v>
      </c>
      <c r="L47" s="164">
        <f>J31/1000</f>
        <v>1144541.8862300001</v>
      </c>
      <c r="M47" s="164">
        <f>K31/1000</f>
        <v>202440.71377</v>
      </c>
      <c r="N47" s="162">
        <f t="shared" si="9"/>
        <v>0.13010328648457584</v>
      </c>
      <c r="O47" s="63"/>
    </row>
    <row r="48" spans="2:15" x14ac:dyDescent="0.2">
      <c r="F48" s="64"/>
      <c r="G48" s="64"/>
      <c r="H48" s="64"/>
      <c r="I48" s="64"/>
      <c r="J48" s="64"/>
      <c r="K48" s="64"/>
    </row>
    <row r="49" spans="4:11" ht="25.5" x14ac:dyDescent="0.2">
      <c r="D49" s="40" t="s">
        <v>47</v>
      </c>
      <c r="E49" s="40" t="s">
        <v>48</v>
      </c>
      <c r="F49" s="40" t="s">
        <v>12</v>
      </c>
      <c r="G49" s="40" t="s">
        <v>13</v>
      </c>
      <c r="H49" s="40" t="s">
        <v>14</v>
      </c>
      <c r="I49" s="41" t="s">
        <v>15</v>
      </c>
      <c r="J49" s="40" t="s">
        <v>16</v>
      </c>
      <c r="K49" s="40" t="s">
        <v>17</v>
      </c>
    </row>
    <row r="50" spans="4:11" x14ac:dyDescent="0.2">
      <c r="D50" s="36" t="s">
        <v>49</v>
      </c>
      <c r="E50" s="34" t="s">
        <v>82</v>
      </c>
      <c r="F50" s="65">
        <f>F31</f>
        <v>1556000000</v>
      </c>
      <c r="G50" s="65">
        <f t="shared" ref="G50:K51" si="10">G31</f>
        <v>1353559286.23</v>
      </c>
      <c r="H50" s="65">
        <f t="shared" si="10"/>
        <v>1353559286.23</v>
      </c>
      <c r="I50" s="65">
        <f t="shared" si="10"/>
        <v>1144541886.23</v>
      </c>
      <c r="J50" s="65">
        <f t="shared" si="10"/>
        <v>1144541886.23</v>
      </c>
      <c r="K50" s="65">
        <f t="shared" si="10"/>
        <v>202440713.77000001</v>
      </c>
    </row>
    <row r="51" spans="4:11" x14ac:dyDescent="0.2">
      <c r="D51" s="34"/>
      <c r="E51" s="34" t="s">
        <v>50</v>
      </c>
      <c r="F51" s="39">
        <v>1</v>
      </c>
      <c r="G51" s="66">
        <f>G32</f>
        <v>0.86989671351542419</v>
      </c>
      <c r="H51" s="66">
        <f t="shared" si="10"/>
        <v>0.86989671351542419</v>
      </c>
      <c r="I51" s="66">
        <f t="shared" si="10"/>
        <v>0.84557942742045267</v>
      </c>
      <c r="J51" s="66">
        <f t="shared" si="10"/>
        <v>0.84557942742045267</v>
      </c>
      <c r="K51" s="66">
        <f t="shared" si="10"/>
        <v>0.13010328648457584</v>
      </c>
    </row>
    <row r="53" spans="4:11" x14ac:dyDescent="0.2">
      <c r="I53" s="64"/>
    </row>
    <row r="67" spans="4:13" ht="18" x14ac:dyDescent="0.25">
      <c r="D67" s="67"/>
    </row>
    <row r="79" spans="4:13" x14ac:dyDescent="0.2">
      <c r="D79" s="221" t="s">
        <v>332</v>
      </c>
      <c r="E79" s="222" t="s">
        <v>329</v>
      </c>
      <c r="F79" s="222" t="s">
        <v>39</v>
      </c>
      <c r="G79" s="100" t="s">
        <v>40</v>
      </c>
      <c r="H79" s="227" t="s">
        <v>41</v>
      </c>
      <c r="I79" s="227" t="s">
        <v>42</v>
      </c>
      <c r="J79" s="228" t="s">
        <v>330</v>
      </c>
      <c r="K79" s="228" t="s">
        <v>331</v>
      </c>
      <c r="L79" s="229" t="s">
        <v>45</v>
      </c>
      <c r="M79" s="229" t="s">
        <v>301</v>
      </c>
    </row>
    <row r="80" spans="4:13" x14ac:dyDescent="0.2">
      <c r="D80" s="86" t="s">
        <v>333</v>
      </c>
      <c r="E80" s="38">
        <f>F15+F16+F17+F19+F21+F22+F24+F26+F28</f>
        <v>1366000000</v>
      </c>
      <c r="F80" s="38">
        <f>G15+G16+G17+G19+G21+G22+G24+G26+G28</f>
        <v>1180021287.23</v>
      </c>
      <c r="G80" s="82">
        <f>F80/E80</f>
        <v>0.86385160119326498</v>
      </c>
      <c r="H80" s="38">
        <f>H15+H16+H17+H19+H21+H22+H24+H26+H28</f>
        <v>1180021287.23</v>
      </c>
      <c r="I80" s="230">
        <f>H80/F80</f>
        <v>1</v>
      </c>
      <c r="J80" s="23">
        <f>F80-H80</f>
        <v>0</v>
      </c>
      <c r="K80" s="142">
        <f>J80/F80</f>
        <v>0</v>
      </c>
      <c r="L80" s="57">
        <f>E80-F80</f>
        <v>185978712.76999998</v>
      </c>
      <c r="M80" s="82">
        <f>L80/E80</f>
        <v>0.13614839880673499</v>
      </c>
    </row>
    <row r="81" spans="3:13" x14ac:dyDescent="0.2">
      <c r="D81" s="86" t="s">
        <v>328</v>
      </c>
      <c r="E81" s="38">
        <f>F18+F20+F23+F25+F27+F29</f>
        <v>190000000</v>
      </c>
      <c r="F81" s="38">
        <f>G18+G20+G23+G25+G27+G29</f>
        <v>173537999</v>
      </c>
      <c r="G81" s="82">
        <f>F81/E81</f>
        <v>0.91335788947368424</v>
      </c>
      <c r="H81" s="226">
        <f>H18+H20+H23+H25+H27+H29</f>
        <v>173537999</v>
      </c>
      <c r="I81" s="230">
        <f>H81/F81</f>
        <v>1</v>
      </c>
      <c r="J81" s="23">
        <f>F81-H81</f>
        <v>0</v>
      </c>
      <c r="K81" s="142">
        <f>J81/F81</f>
        <v>0</v>
      </c>
      <c r="L81" s="57">
        <f>E81-F81</f>
        <v>16462001</v>
      </c>
      <c r="M81" s="82">
        <f>L81/E81</f>
        <v>8.6642110526315791E-2</v>
      </c>
    </row>
    <row r="82" spans="3:13" x14ac:dyDescent="0.2">
      <c r="D82" s="231" t="s">
        <v>134</v>
      </c>
      <c r="E82" s="118">
        <f>SUBTOTAL(9,E80:E81)</f>
        <v>1556000000</v>
      </c>
      <c r="F82" s="118">
        <f>SUBTOTAL(9,F80:F81)</f>
        <v>1353559286.23</v>
      </c>
      <c r="G82" s="232">
        <f>F82/E82</f>
        <v>0.86989671351542419</v>
      </c>
      <c r="H82" s="118">
        <f>SUBTOTAL(9,H80:H81)</f>
        <v>1353559286.23</v>
      </c>
      <c r="I82" s="233">
        <f>H82/F82</f>
        <v>1</v>
      </c>
      <c r="J82" s="118">
        <f>SUBTOTAL(9,J80:J81)</f>
        <v>0</v>
      </c>
      <c r="K82" s="234">
        <f>J82/F82</f>
        <v>0</v>
      </c>
      <c r="L82" s="118">
        <f>SUBTOTAL(9,L80:L81)</f>
        <v>202440713.76999998</v>
      </c>
      <c r="M82" s="232">
        <f>L82/E82</f>
        <v>0.13010328648457584</v>
      </c>
    </row>
    <row r="83" spans="3:13" x14ac:dyDescent="0.2">
      <c r="E83" s="110">
        <f>F50-E82</f>
        <v>0</v>
      </c>
      <c r="F83" s="110">
        <f>G50-F82</f>
        <v>0</v>
      </c>
      <c r="G83" s="21"/>
      <c r="H83" s="21">
        <f>H82-H50</f>
        <v>0</v>
      </c>
      <c r="I83" s="21"/>
    </row>
    <row r="84" spans="3:13" x14ac:dyDescent="0.2">
      <c r="F84" s="68"/>
      <c r="G84" s="68"/>
    </row>
    <row r="87" spans="3:13" ht="12.75" customHeight="1" x14ac:dyDescent="0.2">
      <c r="C87" s="528" t="s">
        <v>497</v>
      </c>
      <c r="D87" s="402"/>
      <c r="E87" s="402"/>
      <c r="F87" s="129"/>
    </row>
    <row r="88" spans="3:13" x14ac:dyDescent="0.2">
      <c r="C88" s="529"/>
      <c r="D88" s="402"/>
      <c r="E88" s="402"/>
      <c r="F88" s="129"/>
    </row>
    <row r="89" spans="3:13" x14ac:dyDescent="0.2">
      <c r="C89" s="529"/>
      <c r="D89" s="402"/>
      <c r="E89" s="402"/>
      <c r="F89" s="129"/>
    </row>
    <row r="90" spans="3:13" x14ac:dyDescent="0.2">
      <c r="C90" s="529"/>
      <c r="D90" s="402"/>
      <c r="E90" s="402"/>
      <c r="F90" s="129"/>
    </row>
    <row r="91" spans="3:13" x14ac:dyDescent="0.2">
      <c r="C91" s="529"/>
      <c r="D91" s="402"/>
      <c r="E91" s="402"/>
      <c r="F91" s="129"/>
    </row>
    <row r="92" spans="3:13" x14ac:dyDescent="0.2">
      <c r="C92" s="529"/>
      <c r="D92" s="402"/>
      <c r="E92" s="402"/>
      <c r="F92" s="129"/>
    </row>
    <row r="93" spans="3:13" x14ac:dyDescent="0.2">
      <c r="C93" s="529"/>
      <c r="D93" s="402"/>
      <c r="E93" s="402"/>
      <c r="F93" s="129"/>
    </row>
    <row r="94" spans="3:13" x14ac:dyDescent="0.2">
      <c r="C94" s="529"/>
      <c r="D94" s="402"/>
      <c r="E94" s="402"/>
      <c r="F94" s="129"/>
    </row>
    <row r="95" spans="3:13" x14ac:dyDescent="0.2">
      <c r="C95" s="530"/>
      <c r="D95" s="129"/>
      <c r="E95" s="129"/>
      <c r="F95" s="129"/>
    </row>
  </sheetData>
  <autoFilter ref="A14:U29"/>
  <mergeCells count="17">
    <mergeCell ref="C87:C95"/>
    <mergeCell ref="K9:K14"/>
    <mergeCell ref="D1:K2"/>
    <mergeCell ref="D3:K4"/>
    <mergeCell ref="B5:L5"/>
    <mergeCell ref="B6:L6"/>
    <mergeCell ref="B7:L7"/>
    <mergeCell ref="F9:F14"/>
    <mergeCell ref="G9:G14"/>
    <mergeCell ref="H9:H14"/>
    <mergeCell ref="I9:I14"/>
    <mergeCell ref="J9:J14"/>
    <mergeCell ref="A9:A14"/>
    <mergeCell ref="B9:B14"/>
    <mergeCell ref="C9:C14"/>
    <mergeCell ref="D9:D14"/>
    <mergeCell ref="E9:E14"/>
  </mergeCells>
  <conditionalFormatting sqref="L15:L29">
    <cfRule type="cellIs" dxfId="53" priority="7" operator="between">
      <formula>0.4</formula>
      <formula>0.5999</formula>
    </cfRule>
    <cfRule type="cellIs" dxfId="52" priority="8" operator="between">
      <formula>0</formula>
      <formula>0.39</formula>
    </cfRule>
    <cfRule type="cellIs" dxfId="51" priority="9" operator="between">
      <formula>0.4</formula>
      <formula>0.59</formula>
    </cfRule>
    <cfRule type="cellIs" dxfId="50" priority="10" operator="between">
      <formula>0.6</formula>
      <formula>0.69</formula>
    </cfRule>
    <cfRule type="cellIs" dxfId="49" priority="11" operator="between">
      <formula>0.7</formula>
      <formula>0.79</formula>
    </cfRule>
    <cfRule type="cellIs" dxfId="48" priority="12" operator="between">
      <formula>0.8</formula>
      <formula>1</formula>
    </cfRule>
  </conditionalFormatting>
  <conditionalFormatting sqref="L31">
    <cfRule type="cellIs" dxfId="47" priority="1" operator="between">
      <formula>0.4</formula>
      <formula>0.5999</formula>
    </cfRule>
    <cfRule type="cellIs" dxfId="46" priority="2" operator="between">
      <formula>0</formula>
      <formula>0.39</formula>
    </cfRule>
    <cfRule type="cellIs" dxfId="45" priority="3" operator="between">
      <formula>0.4</formula>
      <formula>0.59</formula>
    </cfRule>
    <cfRule type="cellIs" dxfId="44" priority="4" operator="between">
      <formula>0.6</formula>
      <formula>0.69</formula>
    </cfRule>
    <cfRule type="cellIs" dxfId="43" priority="5" operator="between">
      <formula>0.7</formula>
      <formula>0.79</formula>
    </cfRule>
    <cfRule type="cellIs" dxfId="42" priority="6" operator="between">
      <formula>0.8</formula>
      <formula>1</formula>
    </cfRule>
  </conditionalFormatting>
  <pageMargins left="0.7" right="0.7" top="0.75" bottom="0.75" header="0.3" footer="0.3"/>
  <pageSetup scale="3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8"/>
  <sheetViews>
    <sheetView showGridLines="0" topLeftCell="F18" zoomScale="80" zoomScaleNormal="80" workbookViewId="0">
      <selection activeCell="J24" sqref="J24"/>
    </sheetView>
  </sheetViews>
  <sheetFormatPr baseColWidth="10" defaultColWidth="11.42578125" defaultRowHeight="12.75" x14ac:dyDescent="0.2"/>
  <cols>
    <col min="1" max="1" width="8.140625" style="7" customWidth="1"/>
    <col min="2" max="2" width="20.7109375" style="35" customWidth="1"/>
    <col min="3" max="3" width="31.7109375" style="7" customWidth="1"/>
    <col min="4" max="4" width="42.42578125" style="7" customWidth="1"/>
    <col min="5" max="5" width="27.42578125" style="7" customWidth="1"/>
    <col min="6" max="6" width="24.85546875" style="7" customWidth="1"/>
    <col min="7" max="8" width="23.140625" style="7" customWidth="1"/>
    <col min="9" max="9" width="23.85546875" style="7" customWidth="1"/>
    <col min="10" max="10" width="22.140625" style="7" customWidth="1"/>
    <col min="11" max="11" width="23.42578125" style="7" customWidth="1"/>
    <col min="12" max="12" width="32.7109375" style="7" customWidth="1"/>
    <col min="13" max="13" width="15.5703125" style="7" customWidth="1"/>
    <col min="14" max="14" width="15.140625" style="7" customWidth="1"/>
    <col min="15" max="15" width="14.42578125" style="7" customWidth="1"/>
    <col min="16" max="16384" width="11.42578125" style="7"/>
  </cols>
  <sheetData>
    <row r="1" spans="1:20" ht="31.5" customHeight="1" x14ac:dyDescent="0.2">
      <c r="A1" s="1"/>
      <c r="B1" s="2"/>
      <c r="C1" s="3"/>
      <c r="D1" s="505" t="s">
        <v>0</v>
      </c>
      <c r="E1" s="506"/>
      <c r="F1" s="506"/>
      <c r="G1" s="506"/>
      <c r="H1" s="506"/>
      <c r="I1" s="506"/>
      <c r="J1" s="506"/>
      <c r="K1" s="506"/>
      <c r="L1" s="4" t="s">
        <v>1</v>
      </c>
      <c r="M1" s="6"/>
    </row>
    <row r="2" spans="1:20" ht="21.75" customHeight="1" x14ac:dyDescent="0.2">
      <c r="A2" s="1"/>
      <c r="B2" s="8"/>
      <c r="C2" s="1"/>
      <c r="D2" s="507"/>
      <c r="E2" s="508"/>
      <c r="F2" s="508"/>
      <c r="G2" s="508"/>
      <c r="H2" s="508"/>
      <c r="I2" s="508"/>
      <c r="J2" s="508"/>
      <c r="K2" s="508"/>
      <c r="L2" s="9" t="s">
        <v>2</v>
      </c>
      <c r="M2" s="6"/>
    </row>
    <row r="3" spans="1:20" ht="21.75" customHeight="1" x14ac:dyDescent="0.2">
      <c r="A3" s="1"/>
      <c r="B3" s="8"/>
      <c r="C3" s="1"/>
      <c r="D3" s="509" t="s">
        <v>3</v>
      </c>
      <c r="E3" s="510"/>
      <c r="F3" s="510"/>
      <c r="G3" s="510"/>
      <c r="H3" s="510"/>
      <c r="I3" s="510"/>
      <c r="J3" s="510"/>
      <c r="K3" s="510"/>
      <c r="L3" s="10" t="s">
        <v>4</v>
      </c>
      <c r="M3" s="6"/>
    </row>
    <row r="4" spans="1:20" ht="31.5" customHeight="1" x14ac:dyDescent="0.2">
      <c r="A4" s="1"/>
      <c r="B4" s="11"/>
      <c r="C4" s="12"/>
      <c r="D4" s="511"/>
      <c r="E4" s="512"/>
      <c r="F4" s="512"/>
      <c r="G4" s="512"/>
      <c r="H4" s="512"/>
      <c r="I4" s="512"/>
      <c r="J4" s="512"/>
      <c r="K4" s="512"/>
      <c r="L4" s="4" t="s">
        <v>5</v>
      </c>
      <c r="M4" s="6"/>
    </row>
    <row r="5" spans="1:20" ht="24.75" customHeight="1" x14ac:dyDescent="0.2">
      <c r="A5" s="13"/>
      <c r="B5" s="513" t="s">
        <v>51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"/>
      <c r="N5" s="6"/>
      <c r="O5" s="6"/>
    </row>
    <row r="6" spans="1:20" ht="24.75" customHeight="1" x14ac:dyDescent="0.2">
      <c r="A6" s="13"/>
      <c r="B6" s="513" t="s">
        <v>148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"/>
      <c r="N6" s="6"/>
      <c r="O6" s="6"/>
    </row>
    <row r="7" spans="1:20" ht="24.75" customHeight="1" x14ac:dyDescent="0.2">
      <c r="A7" s="13"/>
      <c r="B7" s="513" t="s">
        <v>486</v>
      </c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"/>
      <c r="N7" s="6"/>
      <c r="O7" s="6"/>
    </row>
    <row r="8" spans="1:20" x14ac:dyDescent="0.2">
      <c r="A8" s="14"/>
      <c r="B8" s="47"/>
      <c r="C8" s="47"/>
      <c r="D8" s="47"/>
      <c r="E8" s="47"/>
      <c r="F8" s="47"/>
      <c r="G8" s="47"/>
      <c r="H8" s="47"/>
      <c r="I8" s="47"/>
      <c r="J8" s="47"/>
      <c r="K8" s="47"/>
      <c r="L8" s="51"/>
      <c r="M8" s="16"/>
      <c r="N8" s="6"/>
      <c r="O8" s="6"/>
    </row>
    <row r="9" spans="1:20" ht="15" customHeight="1" x14ac:dyDescent="0.2">
      <c r="A9" s="523"/>
      <c r="B9" s="524" t="s">
        <v>8</v>
      </c>
      <c r="C9" s="524" t="s">
        <v>9</v>
      </c>
      <c r="D9" s="524" t="s">
        <v>10</v>
      </c>
      <c r="E9" s="524" t="s">
        <v>11</v>
      </c>
      <c r="F9" s="524" t="s">
        <v>12</v>
      </c>
      <c r="G9" s="524" t="s">
        <v>13</v>
      </c>
      <c r="H9" s="524" t="s">
        <v>14</v>
      </c>
      <c r="I9" s="531" t="s">
        <v>15</v>
      </c>
      <c r="J9" s="524" t="s">
        <v>16</v>
      </c>
      <c r="K9" s="524" t="s">
        <v>17</v>
      </c>
      <c r="L9" s="48" t="s">
        <v>18</v>
      </c>
    </row>
    <row r="10" spans="1:20" ht="15" customHeight="1" x14ac:dyDescent="0.2">
      <c r="A10" s="523"/>
      <c r="B10" s="524"/>
      <c r="C10" s="524"/>
      <c r="D10" s="524"/>
      <c r="E10" s="524"/>
      <c r="F10" s="524"/>
      <c r="G10" s="524"/>
      <c r="H10" s="524"/>
      <c r="I10" s="532"/>
      <c r="J10" s="524"/>
      <c r="K10" s="524"/>
      <c r="L10" s="49" t="s">
        <v>19</v>
      </c>
    </row>
    <row r="11" spans="1:20" ht="15" customHeight="1" x14ac:dyDescent="0.2">
      <c r="A11" s="523"/>
      <c r="B11" s="524"/>
      <c r="C11" s="524"/>
      <c r="D11" s="524"/>
      <c r="E11" s="524"/>
      <c r="F11" s="524"/>
      <c r="G11" s="524"/>
      <c r="H11" s="524"/>
      <c r="I11" s="532"/>
      <c r="J11" s="524"/>
      <c r="K11" s="524"/>
      <c r="L11" s="49" t="s">
        <v>20</v>
      </c>
    </row>
    <row r="12" spans="1:20" ht="15" customHeight="1" x14ac:dyDescent="0.2">
      <c r="A12" s="523"/>
      <c r="B12" s="524"/>
      <c r="C12" s="524"/>
      <c r="D12" s="524"/>
      <c r="E12" s="524"/>
      <c r="F12" s="524"/>
      <c r="G12" s="524"/>
      <c r="H12" s="524"/>
      <c r="I12" s="532"/>
      <c r="J12" s="524"/>
      <c r="K12" s="524"/>
      <c r="L12" s="49" t="s">
        <v>53</v>
      </c>
    </row>
    <row r="13" spans="1:20" ht="15" customHeight="1" x14ac:dyDescent="0.2">
      <c r="A13" s="523"/>
      <c r="B13" s="524"/>
      <c r="C13" s="524"/>
      <c r="D13" s="524"/>
      <c r="E13" s="524"/>
      <c r="F13" s="524"/>
      <c r="G13" s="524"/>
      <c r="H13" s="524"/>
      <c r="I13" s="532"/>
      <c r="J13" s="524"/>
      <c r="K13" s="524"/>
      <c r="L13" s="49" t="s">
        <v>22</v>
      </c>
    </row>
    <row r="14" spans="1:20" ht="15" customHeight="1" x14ac:dyDescent="0.2">
      <c r="A14" s="523"/>
      <c r="B14" s="524"/>
      <c r="C14" s="524"/>
      <c r="D14" s="524"/>
      <c r="E14" s="524"/>
      <c r="F14" s="524"/>
      <c r="G14" s="524"/>
      <c r="H14" s="524"/>
      <c r="I14" s="533"/>
      <c r="J14" s="524"/>
      <c r="K14" s="524"/>
      <c r="L14" s="50" t="s">
        <v>54</v>
      </c>
    </row>
    <row r="15" spans="1:20" ht="59.25" customHeight="1" x14ac:dyDescent="0.2">
      <c r="B15" s="17">
        <v>132</v>
      </c>
      <c r="C15" s="18" t="s">
        <v>149</v>
      </c>
      <c r="D15" s="19" t="s">
        <v>150</v>
      </c>
      <c r="E15" s="18" t="s">
        <v>151</v>
      </c>
      <c r="F15" s="106">
        <v>5733586</v>
      </c>
      <c r="G15" s="480">
        <v>5733586</v>
      </c>
      <c r="H15" s="481">
        <v>5733586</v>
      </c>
      <c r="I15" s="481">
        <v>5733586</v>
      </c>
      <c r="J15" s="481">
        <v>5733586</v>
      </c>
      <c r="K15" s="106">
        <f t="shared" ref="K15:K22" si="0">F15-G15</f>
        <v>0</v>
      </c>
      <c r="L15" s="20">
        <f t="shared" ref="L15:L22" si="1">H15/F15</f>
        <v>1</v>
      </c>
      <c r="M15" s="21"/>
      <c r="N15" s="21"/>
      <c r="O15" s="21"/>
      <c r="P15" s="21"/>
      <c r="Q15" s="21"/>
      <c r="R15" s="21"/>
      <c r="S15" s="21"/>
      <c r="T15" s="21"/>
    </row>
    <row r="16" spans="1:20" ht="58.5" customHeight="1" x14ac:dyDescent="0.2">
      <c r="B16" s="17">
        <v>15</v>
      </c>
      <c r="C16" s="18" t="s">
        <v>152</v>
      </c>
      <c r="D16" s="22" t="s">
        <v>150</v>
      </c>
      <c r="E16" s="18" t="s">
        <v>153</v>
      </c>
      <c r="F16" s="107">
        <v>44964149</v>
      </c>
      <c r="G16" s="480">
        <v>34332144</v>
      </c>
      <c r="H16" s="480">
        <v>34332144</v>
      </c>
      <c r="I16" s="480">
        <v>34332144</v>
      </c>
      <c r="J16" s="480">
        <v>34332144</v>
      </c>
      <c r="K16" s="106">
        <f t="shared" si="0"/>
        <v>10632005</v>
      </c>
      <c r="L16" s="20">
        <f t="shared" si="1"/>
        <v>0.76354484102434583</v>
      </c>
      <c r="M16" s="21"/>
      <c r="N16" s="21"/>
      <c r="O16" s="21"/>
      <c r="P16" s="21"/>
      <c r="Q16" s="21"/>
      <c r="R16" s="21"/>
      <c r="S16" s="21"/>
      <c r="T16" s="21"/>
    </row>
    <row r="17" spans="2:20" ht="60" customHeight="1" x14ac:dyDescent="0.2">
      <c r="B17" s="17">
        <v>20</v>
      </c>
      <c r="C17" s="18" t="s">
        <v>154</v>
      </c>
      <c r="D17" s="18" t="s">
        <v>150</v>
      </c>
      <c r="E17" s="18" t="s">
        <v>57</v>
      </c>
      <c r="F17" s="107">
        <v>1371200000</v>
      </c>
      <c r="G17" s="480">
        <v>1300207862</v>
      </c>
      <c r="H17" s="480">
        <v>1300207862</v>
      </c>
      <c r="I17" s="480">
        <v>1205583732</v>
      </c>
      <c r="J17" s="480">
        <v>1205583732</v>
      </c>
      <c r="K17" s="106">
        <f t="shared" si="0"/>
        <v>70992138</v>
      </c>
      <c r="L17" s="20">
        <f t="shared" si="1"/>
        <v>0.94822627042007002</v>
      </c>
      <c r="M17" s="21"/>
      <c r="N17" s="21"/>
      <c r="O17" s="21"/>
      <c r="P17" s="21"/>
      <c r="Q17" s="21"/>
      <c r="R17" s="21"/>
      <c r="S17" s="21"/>
      <c r="T17" s="21"/>
    </row>
    <row r="18" spans="2:20" ht="75.75" customHeight="1" x14ac:dyDescent="0.2">
      <c r="B18" s="17">
        <v>56</v>
      </c>
      <c r="C18" s="18" t="s">
        <v>155</v>
      </c>
      <c r="D18" s="18" t="s">
        <v>150</v>
      </c>
      <c r="E18" s="18" t="s">
        <v>156</v>
      </c>
      <c r="F18" s="107">
        <v>284641017</v>
      </c>
      <c r="G18" s="480">
        <v>241082281</v>
      </c>
      <c r="H18" s="480">
        <v>241082281</v>
      </c>
      <c r="I18" s="480">
        <v>218243781</v>
      </c>
      <c r="J18" s="480">
        <v>218243781</v>
      </c>
      <c r="K18" s="106">
        <f t="shared" si="0"/>
        <v>43558736</v>
      </c>
      <c r="L18" s="20">
        <f t="shared" si="1"/>
        <v>0.84696957431121034</v>
      </c>
      <c r="M18" s="21"/>
      <c r="N18" s="21"/>
      <c r="O18" s="21"/>
      <c r="P18" s="21"/>
      <c r="Q18" s="21"/>
      <c r="R18" s="21"/>
      <c r="S18" s="21"/>
      <c r="T18" s="21"/>
    </row>
    <row r="19" spans="2:20" ht="68.25" customHeight="1" x14ac:dyDescent="0.2">
      <c r="B19" s="17">
        <v>87</v>
      </c>
      <c r="C19" s="18" t="s">
        <v>157</v>
      </c>
      <c r="D19" s="18" t="s">
        <v>150</v>
      </c>
      <c r="E19" s="18" t="s">
        <v>158</v>
      </c>
      <c r="F19" s="107">
        <v>35332521</v>
      </c>
      <c r="G19" s="480">
        <v>35332521</v>
      </c>
      <c r="H19" s="480">
        <v>35332521</v>
      </c>
      <c r="I19" s="480">
        <v>35332521</v>
      </c>
      <c r="J19" s="480">
        <v>35332521</v>
      </c>
      <c r="K19" s="106">
        <f t="shared" si="0"/>
        <v>0</v>
      </c>
      <c r="L19" s="20">
        <f t="shared" si="1"/>
        <v>1</v>
      </c>
      <c r="M19" s="21"/>
      <c r="N19" s="21"/>
      <c r="O19" s="21"/>
      <c r="P19" s="21"/>
      <c r="Q19" s="21"/>
      <c r="R19" s="21"/>
      <c r="S19" s="21"/>
      <c r="T19" s="21"/>
    </row>
    <row r="20" spans="2:20" ht="78.75" customHeight="1" x14ac:dyDescent="0.2">
      <c r="B20" s="17">
        <v>88</v>
      </c>
      <c r="C20" s="18" t="s">
        <v>159</v>
      </c>
      <c r="D20" s="18" t="s">
        <v>150</v>
      </c>
      <c r="E20" s="18" t="s">
        <v>63</v>
      </c>
      <c r="F20" s="107">
        <v>114674563</v>
      </c>
      <c r="G20" s="480">
        <v>58210667</v>
      </c>
      <c r="H20" s="480">
        <v>58210667</v>
      </c>
      <c r="I20" s="480">
        <v>58210667</v>
      </c>
      <c r="J20" s="480">
        <v>58210667</v>
      </c>
      <c r="K20" s="106">
        <f t="shared" si="0"/>
        <v>56463896</v>
      </c>
      <c r="L20" s="20">
        <f t="shared" si="1"/>
        <v>0.50761620953375686</v>
      </c>
      <c r="M20" s="21"/>
      <c r="N20" s="21"/>
      <c r="O20" s="21"/>
      <c r="P20" s="21"/>
      <c r="Q20" s="21"/>
      <c r="R20" s="21"/>
      <c r="S20" s="21"/>
      <c r="T20" s="21"/>
    </row>
    <row r="21" spans="2:20" ht="78.75" customHeight="1" x14ac:dyDescent="0.2">
      <c r="B21" s="17">
        <v>20</v>
      </c>
      <c r="C21" s="18" t="s">
        <v>160</v>
      </c>
      <c r="D21" s="18" t="s">
        <v>161</v>
      </c>
      <c r="E21" s="18" t="s">
        <v>57</v>
      </c>
      <c r="F21" s="107">
        <v>308800000</v>
      </c>
      <c r="G21" s="480">
        <v>291028325</v>
      </c>
      <c r="H21" s="480">
        <v>291028325</v>
      </c>
      <c r="I21" s="480">
        <v>261028325</v>
      </c>
      <c r="J21" s="480">
        <v>261028325</v>
      </c>
      <c r="K21" s="106">
        <f t="shared" si="0"/>
        <v>17771675</v>
      </c>
      <c r="L21" s="56">
        <f t="shared" si="1"/>
        <v>0.94244923898963728</v>
      </c>
      <c r="M21" s="21"/>
      <c r="N21" s="21"/>
      <c r="O21" s="21"/>
      <c r="P21" s="21"/>
      <c r="Q21" s="21"/>
      <c r="R21" s="21"/>
      <c r="S21" s="21"/>
      <c r="T21" s="21"/>
    </row>
    <row r="22" spans="2:20" ht="78.75" customHeight="1" x14ac:dyDescent="0.2">
      <c r="B22" s="17">
        <v>88</v>
      </c>
      <c r="C22" s="18" t="s">
        <v>162</v>
      </c>
      <c r="D22" s="18" t="s">
        <v>161</v>
      </c>
      <c r="E22" s="18" t="s">
        <v>63</v>
      </c>
      <c r="F22" s="107">
        <v>65388531</v>
      </c>
      <c r="G22" s="480">
        <v>59102660</v>
      </c>
      <c r="H22" s="480">
        <v>59102660</v>
      </c>
      <c r="I22" s="480">
        <v>59102660</v>
      </c>
      <c r="J22" s="480">
        <v>59102660</v>
      </c>
      <c r="K22" s="106">
        <f t="shared" si="0"/>
        <v>6285871</v>
      </c>
      <c r="L22" s="20">
        <f t="shared" si="1"/>
        <v>0.90386890630713201</v>
      </c>
      <c r="M22" s="21"/>
      <c r="N22" s="21"/>
      <c r="O22" s="21"/>
      <c r="P22" s="21"/>
      <c r="Q22" s="21"/>
      <c r="R22" s="21"/>
      <c r="S22" s="21"/>
      <c r="T22" s="21"/>
    </row>
    <row r="23" spans="2:20" ht="18.75" customHeight="1" x14ac:dyDescent="0.2">
      <c r="B23" s="17"/>
      <c r="C23" s="18"/>
      <c r="D23" s="18"/>
      <c r="E23" s="18"/>
      <c r="F23" s="107"/>
      <c r="G23" s="108"/>
      <c r="H23" s="108"/>
      <c r="I23" s="108"/>
      <c r="J23" s="108"/>
      <c r="K23" s="107"/>
      <c r="L23" s="26"/>
      <c r="M23" s="21"/>
      <c r="N23" s="21"/>
      <c r="O23" s="21"/>
      <c r="P23" s="21"/>
      <c r="Q23" s="21"/>
      <c r="R23" s="21"/>
      <c r="S23" s="21"/>
      <c r="T23" s="21"/>
    </row>
    <row r="24" spans="2:20" ht="42" customHeight="1" x14ac:dyDescent="0.2">
      <c r="B24" s="27"/>
      <c r="C24" s="28"/>
      <c r="D24" s="29" t="s">
        <v>35</v>
      </c>
      <c r="E24" s="30"/>
      <c r="F24" s="482">
        <f t="shared" ref="F24:K24" si="2">SUM(F15:F23)</f>
        <v>2230734367</v>
      </c>
      <c r="G24" s="482">
        <f>SUM(G15:G23)</f>
        <v>2025030046</v>
      </c>
      <c r="H24" s="482">
        <f t="shared" si="2"/>
        <v>2025030046</v>
      </c>
      <c r="I24" s="482">
        <f t="shared" si="2"/>
        <v>1877567416</v>
      </c>
      <c r="J24" s="482">
        <f t="shared" si="2"/>
        <v>1877567416</v>
      </c>
      <c r="K24" s="482">
        <f t="shared" si="2"/>
        <v>205704321</v>
      </c>
      <c r="L24" s="20">
        <f>H24/F24</f>
        <v>0.90778627700229442</v>
      </c>
    </row>
    <row r="25" spans="2:20" ht="34.5" customHeight="1" x14ac:dyDescent="0.2">
      <c r="B25" s="17"/>
      <c r="C25" s="31"/>
      <c r="D25" s="4" t="s">
        <v>36</v>
      </c>
      <c r="E25" s="32"/>
      <c r="F25" s="109">
        <v>1</v>
      </c>
      <c r="G25" s="33">
        <f>G24/F24</f>
        <v>0.90778627700229442</v>
      </c>
      <c r="H25" s="33">
        <f>H24/F24</f>
        <v>0.90778627700229442</v>
      </c>
      <c r="I25" s="33">
        <f>I24/H24</f>
        <v>0.92718002861672111</v>
      </c>
      <c r="J25" s="33">
        <f>J24/H24</f>
        <v>0.92718002861672111</v>
      </c>
      <c r="K25" s="33">
        <f>K24/F24</f>
        <v>9.2213722997705541E-2</v>
      </c>
      <c r="L25" s="34"/>
    </row>
    <row r="27" spans="2:20" x14ac:dyDescent="0.2">
      <c r="E27" s="150" t="s">
        <v>37</v>
      </c>
      <c r="F27" s="150" t="s">
        <v>38</v>
      </c>
      <c r="G27" s="150" t="s">
        <v>39</v>
      </c>
      <c r="H27" s="152" t="s">
        <v>40</v>
      </c>
      <c r="I27" s="150" t="s">
        <v>41</v>
      </c>
      <c r="J27" s="152" t="s">
        <v>42</v>
      </c>
      <c r="K27" s="150" t="s">
        <v>43</v>
      </c>
      <c r="L27" s="150" t="s">
        <v>44</v>
      </c>
      <c r="M27" s="150" t="s">
        <v>45</v>
      </c>
      <c r="N27" s="152" t="s">
        <v>46</v>
      </c>
    </row>
    <row r="28" spans="2:20" x14ac:dyDescent="0.2">
      <c r="E28" s="159" t="s">
        <v>470</v>
      </c>
      <c r="F28" s="165">
        <f>1921200000/1000</f>
        <v>1921200</v>
      </c>
      <c r="G28" s="165">
        <f>441235692/1000</f>
        <v>441235.69199999998</v>
      </c>
      <c r="H28" s="152">
        <f t="shared" ref="H28:H33" si="3">G28/F28</f>
        <v>0.22966671455340412</v>
      </c>
      <c r="I28" s="165">
        <f>176766000/1000</f>
        <v>176766</v>
      </c>
      <c r="J28" s="152">
        <f t="shared" ref="J28:J33" si="4">I28/F28</f>
        <v>9.2008119925046844E-2</v>
      </c>
      <c r="K28" s="165">
        <v>0</v>
      </c>
      <c r="L28" s="165">
        <v>0</v>
      </c>
      <c r="M28" s="165">
        <f t="shared" ref="M28:M33" si="5">F28-G28</f>
        <v>1479964.308</v>
      </c>
      <c r="N28" s="152">
        <f t="shared" ref="N28:N33" si="6">M28/F28</f>
        <v>0.77033328544659585</v>
      </c>
    </row>
    <row r="29" spans="2:20" x14ac:dyDescent="0.2">
      <c r="E29" s="159" t="s">
        <v>471</v>
      </c>
      <c r="F29" s="165">
        <f>2137654638/1000</f>
        <v>2137654.6379999998</v>
      </c>
      <c r="G29" s="165">
        <f>1263475692/1000</f>
        <v>1263475.692</v>
      </c>
      <c r="H29" s="152">
        <f t="shared" si="3"/>
        <v>0.59105697877469776</v>
      </c>
      <c r="I29" s="165">
        <f>650095692/1000</f>
        <v>650095.69200000004</v>
      </c>
      <c r="J29" s="152">
        <f t="shared" si="4"/>
        <v>0.3041163340623782</v>
      </c>
      <c r="K29" s="165">
        <f>25131000/1000</f>
        <v>25131</v>
      </c>
      <c r="L29" s="165">
        <f>25131000/1000</f>
        <v>25131</v>
      </c>
      <c r="M29" s="165">
        <f t="shared" si="5"/>
        <v>874178.94599999976</v>
      </c>
      <c r="N29" s="152">
        <f t="shared" si="6"/>
        <v>0.40894302122530229</v>
      </c>
    </row>
    <row r="30" spans="2:20" x14ac:dyDescent="0.2">
      <c r="E30" s="159" t="s">
        <v>472</v>
      </c>
      <c r="F30" s="166">
        <f>2137654638/1000</f>
        <v>2137654.6379999998</v>
      </c>
      <c r="G30" s="165">
        <f>1419224025/1000</f>
        <v>1419224.0249999999</v>
      </c>
      <c r="H30" s="152">
        <f t="shared" si="3"/>
        <v>0.6639164249318743</v>
      </c>
      <c r="I30" s="165">
        <f>1398944025/1000</f>
        <v>1398944.0249999999</v>
      </c>
      <c r="J30" s="152">
        <f t="shared" si="4"/>
        <v>0.65442939197552452</v>
      </c>
      <c r="K30" s="165">
        <f>93260333/1000</f>
        <v>93260.332999999999</v>
      </c>
      <c r="L30" s="165">
        <f>93260333/1000</f>
        <v>93260.332999999999</v>
      </c>
      <c r="M30" s="165">
        <f t="shared" si="5"/>
        <v>718430.6129999999</v>
      </c>
      <c r="N30" s="152">
        <f t="shared" si="6"/>
        <v>0.33608357506812564</v>
      </c>
    </row>
    <row r="31" spans="2:20" x14ac:dyDescent="0.2">
      <c r="E31" s="159" t="s">
        <v>473</v>
      </c>
      <c r="F31" s="166">
        <f>2137654638/1000</f>
        <v>2137654.6379999998</v>
      </c>
      <c r="G31" s="165">
        <f>1459064025/1000</f>
        <v>1459064.0249999999</v>
      </c>
      <c r="H31" s="152">
        <f t="shared" si="3"/>
        <v>0.68255367310647874</v>
      </c>
      <c r="I31" s="165">
        <f>1360884025/1000</f>
        <v>1360884.0249999999</v>
      </c>
      <c r="J31" s="152">
        <f t="shared" si="4"/>
        <v>0.6366248320978779</v>
      </c>
      <c r="K31" s="165">
        <f>156601333/1000</f>
        <v>156601.33300000001</v>
      </c>
      <c r="L31" s="165">
        <f>156601333/1000</f>
        <v>156601.33300000001</v>
      </c>
      <c r="M31" s="165">
        <f t="shared" si="5"/>
        <v>678590.6129999999</v>
      </c>
      <c r="N31" s="152">
        <f t="shared" si="6"/>
        <v>0.31744632689352131</v>
      </c>
    </row>
    <row r="32" spans="2:20" x14ac:dyDescent="0.2">
      <c r="E32" s="159" t="s">
        <v>476</v>
      </c>
      <c r="F32" s="166">
        <f>2137654638/1000</f>
        <v>2137654.6379999998</v>
      </c>
      <c r="G32" s="165">
        <f>1521404025/1000</f>
        <v>1521404.0249999999</v>
      </c>
      <c r="H32" s="152">
        <f t="shared" si="3"/>
        <v>0.71171647559655993</v>
      </c>
      <c r="I32" s="165">
        <f>1433204025/1000</f>
        <v>1433204.0249999999</v>
      </c>
      <c r="J32" s="152">
        <f t="shared" si="4"/>
        <v>0.67045630267989065</v>
      </c>
      <c r="K32" s="165">
        <f>268432333/1000</f>
        <v>268432.33299999998</v>
      </c>
      <c r="L32" s="165">
        <f>268432333/1000</f>
        <v>268432.33299999998</v>
      </c>
      <c r="M32" s="165">
        <f t="shared" si="5"/>
        <v>616250.6129999999</v>
      </c>
      <c r="N32" s="152">
        <f t="shared" si="6"/>
        <v>0.28828352440344013</v>
      </c>
    </row>
    <row r="33" spans="2:14" x14ac:dyDescent="0.2">
      <c r="E33" s="159" t="s">
        <v>477</v>
      </c>
      <c r="F33" s="166">
        <f>2137654638/1000</f>
        <v>2137654.6379999998</v>
      </c>
      <c r="G33" s="165">
        <f>1544980685/1000</f>
        <v>1544980.6850000001</v>
      </c>
      <c r="H33" s="152">
        <f t="shared" si="3"/>
        <v>0.72274569405911682</v>
      </c>
      <c r="I33" s="165">
        <f>1473204025/1000</f>
        <v>1473204.0249999999</v>
      </c>
      <c r="J33" s="152">
        <f t="shared" si="4"/>
        <v>0.68916839924073836</v>
      </c>
      <c r="K33" s="165">
        <f>492281312/1000</f>
        <v>492281.31199999998</v>
      </c>
      <c r="L33" s="165">
        <f>492281312/1000</f>
        <v>492281.31199999998</v>
      </c>
      <c r="M33" s="165">
        <f t="shared" si="5"/>
        <v>592673.95299999975</v>
      </c>
      <c r="N33" s="152">
        <f t="shared" si="6"/>
        <v>0.27725430594088313</v>
      </c>
    </row>
    <row r="34" spans="2:14" x14ac:dyDescent="0.2">
      <c r="E34" s="159" t="s">
        <v>474</v>
      </c>
      <c r="F34" s="166">
        <f>2230734367/1000</f>
        <v>2230734.3670000001</v>
      </c>
      <c r="G34" s="165">
        <f>1713382952/1000</f>
        <v>1713382.952</v>
      </c>
      <c r="H34" s="152">
        <f t="shared" ref="H34:H35" si="7">G34/F34</f>
        <v>0.76808022387006147</v>
      </c>
      <c r="I34" s="165">
        <f>1573244685/1000</f>
        <v>1573244.6850000001</v>
      </c>
      <c r="J34" s="152">
        <f t="shared" ref="J34:J35" si="8">I34/F34</f>
        <v>0.7052586396092404</v>
      </c>
      <c r="K34" s="165">
        <f>634551272/1000</f>
        <v>634551.272</v>
      </c>
      <c r="L34" s="165">
        <f>634551272/1000</f>
        <v>634551.272</v>
      </c>
      <c r="M34" s="165">
        <f>517351415/1000</f>
        <v>517351.41499999998</v>
      </c>
      <c r="N34" s="152">
        <f t="shared" ref="N34:N35" si="9">M34/F34</f>
        <v>0.23191977612993844</v>
      </c>
    </row>
    <row r="35" spans="2:14" s="130" customFormat="1" x14ac:dyDescent="0.2">
      <c r="B35" s="134"/>
      <c r="E35" s="159" t="s">
        <v>475</v>
      </c>
      <c r="F35" s="166">
        <f>2230734367/1000</f>
        <v>2230734.3670000001</v>
      </c>
      <c r="G35" s="165">
        <f>1901508771/1000</f>
        <v>1901508.7709999999</v>
      </c>
      <c r="H35" s="152">
        <f t="shared" si="7"/>
        <v>0.85241380557436841</v>
      </c>
      <c r="I35" s="165">
        <f>1818436605/1000</f>
        <v>1818436.605</v>
      </c>
      <c r="J35" s="152">
        <f t="shared" si="8"/>
        <v>0.81517397674090697</v>
      </c>
      <c r="K35" s="165">
        <f>802967759/1000</f>
        <v>802967.75899999996</v>
      </c>
      <c r="L35" s="165">
        <f>802967759/1000</f>
        <v>802967.75899999996</v>
      </c>
      <c r="M35" s="165">
        <f>329225596/1000</f>
        <v>329225.59600000002</v>
      </c>
      <c r="N35" s="152">
        <f t="shared" si="9"/>
        <v>0.14758619442563151</v>
      </c>
    </row>
    <row r="36" spans="2:14" s="130" customFormat="1" x14ac:dyDescent="0.2">
      <c r="B36" s="134"/>
      <c r="E36" s="159" t="s">
        <v>478</v>
      </c>
      <c r="F36" s="166">
        <f>2230734367/1000</f>
        <v>2230734.3670000001</v>
      </c>
      <c r="G36" s="165">
        <f>1907575437/1000</f>
        <v>1907575.4369999999</v>
      </c>
      <c r="H36" s="152">
        <f t="shared" ref="H36:H39" si="10">G36/F36</f>
        <v>0.85513338800863148</v>
      </c>
      <c r="I36" s="165">
        <f>1843769937/1000</f>
        <v>1843769.9369999999</v>
      </c>
      <c r="J36" s="152">
        <f t="shared" ref="J36:J39" si="11">I36/F36</f>
        <v>0.8265304754683056</v>
      </c>
      <c r="K36" s="165">
        <f>973382946/1000</f>
        <v>973382.946</v>
      </c>
      <c r="L36" s="165">
        <f>973382946/1000</f>
        <v>973382.946</v>
      </c>
      <c r="M36" s="165">
        <f>323158930/1000</f>
        <v>323158.93</v>
      </c>
      <c r="N36" s="152">
        <f t="shared" ref="N36:N39" si="12">M36/F36</f>
        <v>0.14486661199136849</v>
      </c>
    </row>
    <row r="37" spans="2:14" s="130" customFormat="1" x14ac:dyDescent="0.2">
      <c r="B37" s="134"/>
      <c r="E37" s="159" t="s">
        <v>488</v>
      </c>
      <c r="F37" s="166">
        <f>2230734367/1000</f>
        <v>2230734.3670000001</v>
      </c>
      <c r="G37" s="165">
        <f>2051270223/1000</f>
        <v>2051270.223</v>
      </c>
      <c r="H37" s="152">
        <f t="shared" si="10"/>
        <v>0.91954929880721203</v>
      </c>
      <c r="I37" s="165">
        <f>1918043000/1000</f>
        <v>1918043</v>
      </c>
      <c r="J37" s="152">
        <f t="shared" si="11"/>
        <v>0.85982581717225137</v>
      </c>
      <c r="K37" s="165">
        <f>1243838647/1000</f>
        <v>1243838.6470000001</v>
      </c>
      <c r="L37" s="165">
        <f>1243838647/1000</f>
        <v>1243838.6470000001</v>
      </c>
      <c r="M37" s="165">
        <f>179464144/1000</f>
        <v>179464.144</v>
      </c>
      <c r="N37" s="152">
        <f t="shared" si="12"/>
        <v>8.0450701192787966E-2</v>
      </c>
    </row>
    <row r="38" spans="2:14" s="130" customFormat="1" x14ac:dyDescent="0.2">
      <c r="B38" s="134"/>
      <c r="E38" s="159" t="s">
        <v>487</v>
      </c>
      <c r="F38" s="166">
        <f>2230734367/1000</f>
        <v>2230734.3670000001</v>
      </c>
      <c r="G38" s="165">
        <f>2055022223/1000</f>
        <v>2055022.223</v>
      </c>
      <c r="H38" s="152">
        <f t="shared" si="10"/>
        <v>0.92123125612830969</v>
      </c>
      <c r="I38" s="165">
        <f>1920189000/1000</f>
        <v>1920189</v>
      </c>
      <c r="J38" s="152">
        <f t="shared" si="11"/>
        <v>0.86078783220718624</v>
      </c>
      <c r="K38" s="165">
        <f>1357014169/1000</f>
        <v>1357014.169</v>
      </c>
      <c r="L38" s="165">
        <f>1357014169/1000</f>
        <v>1357014.169</v>
      </c>
      <c r="M38" s="165">
        <f>175712144/1000</f>
        <v>175712.144</v>
      </c>
      <c r="N38" s="152">
        <f t="shared" si="12"/>
        <v>7.8768743871690208E-2</v>
      </c>
    </row>
    <row r="39" spans="2:14" s="130" customFormat="1" x14ac:dyDescent="0.2">
      <c r="B39" s="134"/>
      <c r="E39" s="159" t="s">
        <v>494</v>
      </c>
      <c r="F39" s="166">
        <f>F24/1000</f>
        <v>2230734.3670000001</v>
      </c>
      <c r="G39" s="165">
        <f>G24/1000</f>
        <v>2025030.0460000001</v>
      </c>
      <c r="H39" s="152">
        <f t="shared" si="10"/>
        <v>0.90778627700229442</v>
      </c>
      <c r="I39" s="165">
        <f>H24/1000</f>
        <v>2025030.0460000001</v>
      </c>
      <c r="J39" s="152">
        <f t="shared" si="11"/>
        <v>0.90778627700229442</v>
      </c>
      <c r="K39" s="165">
        <f>1357014169/1000</f>
        <v>1357014.169</v>
      </c>
      <c r="L39" s="165">
        <f>J24/1000</f>
        <v>1877567.416</v>
      </c>
      <c r="M39" s="165">
        <f>K24/1000</f>
        <v>205704.321</v>
      </c>
      <c r="N39" s="152">
        <f t="shared" si="12"/>
        <v>9.2213722997705527E-2</v>
      </c>
    </row>
    <row r="40" spans="2:14" x14ac:dyDescent="0.2">
      <c r="F40" s="110"/>
      <c r="G40" s="110"/>
      <c r="H40" s="110"/>
      <c r="I40" s="110"/>
      <c r="J40" s="110"/>
      <c r="K40" s="110"/>
      <c r="L40" s="110"/>
      <c r="M40" s="110"/>
      <c r="N40" s="110"/>
    </row>
    <row r="42" spans="2:14" ht="43.5" customHeight="1" x14ac:dyDescent="0.2">
      <c r="D42" s="46" t="s">
        <v>47</v>
      </c>
      <c r="E42" s="46" t="s">
        <v>48</v>
      </c>
      <c r="F42" s="46" t="s">
        <v>12</v>
      </c>
      <c r="G42" s="46" t="s">
        <v>13</v>
      </c>
      <c r="H42" s="46" t="s">
        <v>14</v>
      </c>
      <c r="I42" s="48" t="s">
        <v>15</v>
      </c>
      <c r="J42" s="46" t="s">
        <v>16</v>
      </c>
      <c r="K42" s="46" t="s">
        <v>17</v>
      </c>
    </row>
    <row r="43" spans="2:14" ht="23.25" customHeight="1" x14ac:dyDescent="0.2">
      <c r="D43" s="111" t="s">
        <v>49</v>
      </c>
      <c r="E43" s="34" t="s">
        <v>163</v>
      </c>
      <c r="F43" s="38">
        <f>F17+F20+F21+F22</f>
        <v>1860063094</v>
      </c>
      <c r="G43" s="38">
        <f t="shared" ref="G43:K43" si="13">G17+G20+G21+G22</f>
        <v>1708549514</v>
      </c>
      <c r="H43" s="38">
        <f t="shared" si="13"/>
        <v>1708549514</v>
      </c>
      <c r="I43" s="38">
        <f t="shared" si="13"/>
        <v>1583925384</v>
      </c>
      <c r="J43" s="38">
        <f t="shared" si="13"/>
        <v>1583925384</v>
      </c>
      <c r="K43" s="38">
        <f t="shared" si="13"/>
        <v>151513580</v>
      </c>
    </row>
    <row r="44" spans="2:14" ht="23.25" customHeight="1" x14ac:dyDescent="0.2">
      <c r="D44" s="111"/>
      <c r="E44" s="34" t="s">
        <v>50</v>
      </c>
      <c r="F44" s="39">
        <v>1</v>
      </c>
      <c r="G44" s="66">
        <f>G25</f>
        <v>0.90778627700229442</v>
      </c>
      <c r="H44" s="66">
        <f>H25</f>
        <v>0.90778627700229442</v>
      </c>
      <c r="I44" s="66">
        <f>I25</f>
        <v>0.92718002861672111</v>
      </c>
      <c r="J44" s="66">
        <f>J25</f>
        <v>0.92718002861672111</v>
      </c>
      <c r="K44" s="66">
        <f>K25</f>
        <v>9.2213722997705541E-2</v>
      </c>
    </row>
    <row r="45" spans="2:14" x14ac:dyDescent="0.2">
      <c r="D45" s="111" t="s">
        <v>164</v>
      </c>
      <c r="E45" s="34" t="s">
        <v>165</v>
      </c>
      <c r="F45" s="38">
        <f>F16+F19</f>
        <v>80296670</v>
      </c>
      <c r="G45" s="38">
        <f t="shared" ref="G45:K45" si="14">G16+G19</f>
        <v>69664665</v>
      </c>
      <c r="H45" s="38">
        <f t="shared" si="14"/>
        <v>69664665</v>
      </c>
      <c r="I45" s="38">
        <f t="shared" si="14"/>
        <v>69664665</v>
      </c>
      <c r="J45" s="38">
        <f t="shared" si="14"/>
        <v>69664665</v>
      </c>
      <c r="K45" s="38">
        <f t="shared" si="14"/>
        <v>10632005</v>
      </c>
    </row>
    <row r="46" spans="2:14" x14ac:dyDescent="0.2">
      <c r="D46" s="111"/>
      <c r="E46" s="34" t="s">
        <v>50</v>
      </c>
      <c r="F46" s="39">
        <v>1</v>
      </c>
      <c r="G46" s="66">
        <f>G45/F45</f>
        <v>0.86759095987417656</v>
      </c>
      <c r="H46" s="66">
        <f>H45/F45</f>
        <v>0.86759095987417656</v>
      </c>
      <c r="I46" s="66">
        <f>I45/H45</f>
        <v>1</v>
      </c>
      <c r="J46" s="66">
        <f>J45/H45</f>
        <v>1</v>
      </c>
      <c r="K46" s="66">
        <f>K45/F45</f>
        <v>0.13240904012582341</v>
      </c>
    </row>
    <row r="47" spans="2:14" x14ac:dyDescent="0.2">
      <c r="D47" s="111" t="s">
        <v>166</v>
      </c>
      <c r="E47" s="34" t="s">
        <v>167</v>
      </c>
      <c r="F47" s="38">
        <f>F15+F18</f>
        <v>290374603</v>
      </c>
      <c r="G47" s="38">
        <f t="shared" ref="G47:K47" si="15">G15+G18</f>
        <v>246815867</v>
      </c>
      <c r="H47" s="38">
        <f t="shared" si="15"/>
        <v>246815867</v>
      </c>
      <c r="I47" s="38">
        <f t="shared" si="15"/>
        <v>223977367</v>
      </c>
      <c r="J47" s="38">
        <f t="shared" si="15"/>
        <v>223977367</v>
      </c>
      <c r="K47" s="38">
        <f t="shared" si="15"/>
        <v>43558736</v>
      </c>
    </row>
    <row r="48" spans="2:14" x14ac:dyDescent="0.2">
      <c r="D48" s="111"/>
      <c r="E48" s="34" t="s">
        <v>50</v>
      </c>
      <c r="F48" s="39">
        <v>1</v>
      </c>
      <c r="G48" s="66">
        <f>G33</f>
        <v>1544980.6850000001</v>
      </c>
      <c r="H48" s="66">
        <f>H33</f>
        <v>0.72274569405911682</v>
      </c>
      <c r="I48" s="66">
        <f>I33</f>
        <v>1473204.0249999999</v>
      </c>
      <c r="J48" s="66">
        <f>J33</f>
        <v>0.68916839924073836</v>
      </c>
      <c r="K48" s="66">
        <f>K33</f>
        <v>492281.31199999998</v>
      </c>
    </row>
    <row r="49" spans="4:11" x14ac:dyDescent="0.2">
      <c r="D49" s="111"/>
      <c r="E49" s="104" t="s">
        <v>134</v>
      </c>
      <c r="F49" s="105">
        <f t="shared" ref="F49:K49" si="16">F43+F45+F47</f>
        <v>2230734367</v>
      </c>
      <c r="G49" s="105">
        <f t="shared" si="16"/>
        <v>2025030046</v>
      </c>
      <c r="H49" s="105">
        <f t="shared" si="16"/>
        <v>2025030046</v>
      </c>
      <c r="I49" s="105">
        <f t="shared" si="16"/>
        <v>1877567416</v>
      </c>
      <c r="J49" s="105">
        <f t="shared" si="16"/>
        <v>1877567416</v>
      </c>
      <c r="K49" s="105">
        <f t="shared" si="16"/>
        <v>205704321</v>
      </c>
    </row>
    <row r="50" spans="4:11" x14ac:dyDescent="0.2">
      <c r="D50" s="111"/>
      <c r="E50" s="34" t="s">
        <v>50</v>
      </c>
      <c r="F50" s="39">
        <v>1</v>
      </c>
      <c r="G50" s="66">
        <f>G49/F49</f>
        <v>0.90778627700229442</v>
      </c>
      <c r="H50" s="66">
        <f>H49/F49</f>
        <v>0.90778627700229442</v>
      </c>
      <c r="I50" s="66">
        <f>I49/H49</f>
        <v>0.92718002861672111</v>
      </c>
      <c r="J50" s="66">
        <f>J49/H49</f>
        <v>0.92718002861672111</v>
      </c>
      <c r="K50" s="66">
        <f>K49/F49</f>
        <v>9.2213722997705541E-2</v>
      </c>
    </row>
    <row r="83" spans="4:13" x14ac:dyDescent="0.2">
      <c r="D83" s="221" t="s">
        <v>332</v>
      </c>
      <c r="E83" s="222" t="s">
        <v>329</v>
      </c>
      <c r="F83" s="222" t="s">
        <v>39</v>
      </c>
      <c r="G83" s="100" t="s">
        <v>40</v>
      </c>
      <c r="H83" s="227" t="s">
        <v>41</v>
      </c>
      <c r="I83" s="227" t="s">
        <v>42</v>
      </c>
      <c r="J83" s="228" t="s">
        <v>330</v>
      </c>
      <c r="K83" s="228" t="s">
        <v>331</v>
      </c>
      <c r="L83" s="229" t="s">
        <v>45</v>
      </c>
      <c r="M83" s="229" t="s">
        <v>301</v>
      </c>
    </row>
    <row r="84" spans="4:13" x14ac:dyDescent="0.2">
      <c r="D84" s="86" t="s">
        <v>333</v>
      </c>
      <c r="E84" s="38">
        <f>F16+F17+F18+F21</f>
        <v>2009605166</v>
      </c>
      <c r="F84" s="38">
        <f>G16+G17+G18+G21</f>
        <v>1866650612</v>
      </c>
      <c r="G84" s="82">
        <f>F84/E84</f>
        <v>0.9288643578257999</v>
      </c>
      <c r="H84" s="38">
        <f>H16+H17+H18+H21</f>
        <v>1866650612</v>
      </c>
      <c r="I84" s="230">
        <f>H84/F84</f>
        <v>1</v>
      </c>
      <c r="J84" s="23">
        <f>F84-H84</f>
        <v>0</v>
      </c>
      <c r="K84" s="142">
        <f>J84/F84</f>
        <v>0</v>
      </c>
      <c r="L84" s="57">
        <f>E84-F84</f>
        <v>142954554</v>
      </c>
      <c r="M84" s="82">
        <f>L84/E84</f>
        <v>7.1135642174200098E-2</v>
      </c>
    </row>
    <row r="85" spans="4:13" x14ac:dyDescent="0.2">
      <c r="D85" s="86" t="s">
        <v>328</v>
      </c>
      <c r="E85" s="38">
        <f>F15+F19+F20+F22</f>
        <v>221129201</v>
      </c>
      <c r="F85" s="38">
        <f>G15+G19+G20+G22</f>
        <v>158379434</v>
      </c>
      <c r="G85" s="82">
        <f>F85/E85</f>
        <v>0.71623030013118893</v>
      </c>
      <c r="H85" s="226">
        <f>H15+H20+H22</f>
        <v>123046913</v>
      </c>
      <c r="I85" s="230">
        <f>H85/F85</f>
        <v>0.77691219050574456</v>
      </c>
      <c r="J85" s="23">
        <f>F85-H85</f>
        <v>35332521</v>
      </c>
      <c r="K85" s="142">
        <f>J85/F85</f>
        <v>0.22308780949425541</v>
      </c>
      <c r="L85" s="57">
        <f>E85-F85</f>
        <v>62749767</v>
      </c>
      <c r="M85" s="82">
        <f>L85/E85</f>
        <v>0.28376969986881107</v>
      </c>
    </row>
    <row r="86" spans="4:13" x14ac:dyDescent="0.2">
      <c r="D86" s="231" t="s">
        <v>134</v>
      </c>
      <c r="E86" s="118">
        <f>SUBTOTAL(9,E84:E85)</f>
        <v>2230734367</v>
      </c>
      <c r="F86" s="118">
        <f>SUBTOTAL(9,F84:F85)</f>
        <v>2025030046</v>
      </c>
      <c r="G86" s="232">
        <f>F86/E86</f>
        <v>0.90778627700229442</v>
      </c>
      <c r="H86" s="118">
        <f>SUBTOTAL(9,H84:H85)</f>
        <v>1989697525</v>
      </c>
      <c r="I86" s="233">
        <f>H86/F86</f>
        <v>0.98255210036523077</v>
      </c>
      <c r="J86" s="118">
        <f>SUBTOTAL(9,J84:J85)</f>
        <v>35332521</v>
      </c>
      <c r="K86" s="234">
        <f>J86/F86</f>
        <v>1.7447899634769171E-2</v>
      </c>
      <c r="L86" s="118">
        <f>SUBTOTAL(9,L84:L85)</f>
        <v>205704321</v>
      </c>
      <c r="M86" s="232">
        <f>L86/E86</f>
        <v>9.2213722997705541E-2</v>
      </c>
    </row>
    <row r="88" spans="4:13" x14ac:dyDescent="0.2">
      <c r="E88" s="110">
        <f>E86-F49</f>
        <v>0</v>
      </c>
      <c r="F88" s="110">
        <f>F86-G49</f>
        <v>0</v>
      </c>
      <c r="H88" s="110">
        <f>H86-H49</f>
        <v>-35332521</v>
      </c>
    </row>
    <row r="91" spans="4:13" x14ac:dyDescent="0.2">
      <c r="D91" s="517" t="s">
        <v>498</v>
      </c>
      <c r="E91" s="518"/>
    </row>
    <row r="92" spans="4:13" x14ac:dyDescent="0.2">
      <c r="D92" s="519"/>
      <c r="E92" s="520"/>
    </row>
    <row r="93" spans="4:13" x14ac:dyDescent="0.2">
      <c r="D93" s="519"/>
      <c r="E93" s="520"/>
    </row>
    <row r="94" spans="4:13" x14ac:dyDescent="0.2">
      <c r="D94" s="519"/>
      <c r="E94" s="520"/>
    </row>
    <row r="95" spans="4:13" x14ac:dyDescent="0.2">
      <c r="D95" s="519"/>
      <c r="E95" s="520"/>
    </row>
    <row r="96" spans="4:13" x14ac:dyDescent="0.2">
      <c r="D96" s="519"/>
      <c r="E96" s="520"/>
    </row>
    <row r="97" spans="4:5" x14ac:dyDescent="0.2">
      <c r="D97" s="519"/>
      <c r="E97" s="520"/>
    </row>
    <row r="98" spans="4:5" x14ac:dyDescent="0.2">
      <c r="D98" s="521"/>
      <c r="E98" s="522"/>
    </row>
  </sheetData>
  <autoFilter ref="A14:T22"/>
  <mergeCells count="17">
    <mergeCell ref="D91:E98"/>
    <mergeCell ref="A9:A14"/>
    <mergeCell ref="B9:B14"/>
    <mergeCell ref="C9:C14"/>
    <mergeCell ref="D9:D14"/>
    <mergeCell ref="E9:E14"/>
    <mergeCell ref="K9:K14"/>
    <mergeCell ref="D1:K2"/>
    <mergeCell ref="D3:K4"/>
    <mergeCell ref="B5:L5"/>
    <mergeCell ref="B6:L6"/>
    <mergeCell ref="B7:L7"/>
    <mergeCell ref="F9:F14"/>
    <mergeCell ref="G9:G14"/>
    <mergeCell ref="H9:H14"/>
    <mergeCell ref="I9:I14"/>
    <mergeCell ref="J9:J14"/>
  </mergeCells>
  <conditionalFormatting sqref="L15:L22">
    <cfRule type="cellIs" dxfId="41" priority="7" operator="between">
      <formula>0.4</formula>
      <formula>0.5999</formula>
    </cfRule>
    <cfRule type="cellIs" dxfId="40" priority="8" operator="between">
      <formula>0</formula>
      <formula>0.39</formula>
    </cfRule>
    <cfRule type="cellIs" dxfId="39" priority="9" operator="between">
      <formula>0.4</formula>
      <formula>0.59</formula>
    </cfRule>
    <cfRule type="cellIs" dxfId="38" priority="10" operator="between">
      <formula>0.6</formula>
      <formula>0.69</formula>
    </cfRule>
    <cfRule type="cellIs" dxfId="37" priority="11" operator="between">
      <formula>0.7</formula>
      <formula>0.79</formula>
    </cfRule>
    <cfRule type="cellIs" dxfId="36" priority="12" operator="between">
      <formula>0.8</formula>
      <formula>1</formula>
    </cfRule>
  </conditionalFormatting>
  <conditionalFormatting sqref="L24">
    <cfRule type="cellIs" dxfId="35" priority="1" operator="between">
      <formula>0.4</formula>
      <formula>0.5999</formula>
    </cfRule>
    <cfRule type="cellIs" dxfId="34" priority="2" operator="between">
      <formula>0</formula>
      <formula>0.39</formula>
    </cfRule>
    <cfRule type="cellIs" dxfId="33" priority="3" operator="between">
      <formula>0.4</formula>
      <formula>0.59</formula>
    </cfRule>
    <cfRule type="cellIs" dxfId="32" priority="4" operator="between">
      <formula>0.6</formula>
      <formula>0.69</formula>
    </cfRule>
    <cfRule type="cellIs" dxfId="31" priority="5" operator="between">
      <formula>0.7</formula>
      <formula>0.79</formula>
    </cfRule>
    <cfRule type="cellIs" dxfId="30" priority="6" operator="between">
      <formula>0.8</formula>
      <formula>1</formula>
    </cfRule>
  </conditionalFormatting>
  <pageMargins left="0.7" right="0.7" top="0.75" bottom="0.75" header="0.3" footer="0.3"/>
  <pageSetup scale="3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1"/>
  <sheetViews>
    <sheetView showGridLines="0" topLeftCell="C31" zoomScale="70" zoomScaleNormal="70" workbookViewId="0">
      <selection activeCell="F36" sqref="F36"/>
    </sheetView>
  </sheetViews>
  <sheetFormatPr baseColWidth="10" defaultColWidth="11.42578125" defaultRowHeight="12.75" x14ac:dyDescent="0.2"/>
  <cols>
    <col min="1" max="1" width="8.140625" style="7" customWidth="1"/>
    <col min="2" max="2" width="20.7109375" style="35" customWidth="1"/>
    <col min="3" max="3" width="31.7109375" style="7" customWidth="1"/>
    <col min="4" max="4" width="42.42578125" style="7" customWidth="1"/>
    <col min="5" max="5" width="27.42578125" style="7" customWidth="1"/>
    <col min="6" max="6" width="22.28515625" style="7" customWidth="1"/>
    <col min="7" max="7" width="23.140625" style="7" customWidth="1"/>
    <col min="8" max="8" width="21.42578125" style="7" customWidth="1"/>
    <col min="9" max="9" width="20.5703125" style="7" customWidth="1"/>
    <col min="10" max="10" width="22.140625" style="7" customWidth="1"/>
    <col min="11" max="11" width="23.42578125" style="7" customWidth="1"/>
    <col min="12" max="12" width="33.140625" style="7" customWidth="1"/>
    <col min="13" max="13" width="13.28515625" style="7" customWidth="1"/>
    <col min="14" max="14" width="11.42578125" style="7"/>
    <col min="15" max="15" width="5.140625" style="7" customWidth="1"/>
    <col min="16" max="16" width="31" style="129" customWidth="1"/>
    <col min="17" max="17" width="25.85546875" style="129" customWidth="1"/>
    <col min="18" max="25" width="11.42578125" style="129"/>
    <col min="26" max="16384" width="11.42578125" style="7"/>
  </cols>
  <sheetData>
    <row r="1" spans="1:25" ht="21" customHeight="1" x14ac:dyDescent="0.2">
      <c r="A1" s="1"/>
      <c r="B1" s="2"/>
      <c r="C1" s="3"/>
      <c r="D1" s="505" t="s">
        <v>0</v>
      </c>
      <c r="E1" s="506"/>
      <c r="F1" s="506"/>
      <c r="G1" s="506"/>
      <c r="H1" s="506"/>
      <c r="I1" s="506"/>
      <c r="J1" s="506"/>
      <c r="K1" s="506"/>
      <c r="L1" s="4" t="s">
        <v>1</v>
      </c>
      <c r="M1" s="5"/>
      <c r="N1" s="6"/>
    </row>
    <row r="2" spans="1:25" ht="21" customHeight="1" x14ac:dyDescent="0.2">
      <c r="A2" s="1"/>
      <c r="B2" s="8"/>
      <c r="C2" s="1"/>
      <c r="D2" s="507"/>
      <c r="E2" s="508"/>
      <c r="F2" s="508"/>
      <c r="G2" s="508"/>
      <c r="H2" s="508"/>
      <c r="I2" s="508"/>
      <c r="J2" s="508"/>
      <c r="K2" s="508"/>
      <c r="L2" s="128" t="s">
        <v>2</v>
      </c>
      <c r="M2" s="5"/>
      <c r="N2" s="6"/>
    </row>
    <row r="3" spans="1:25" ht="21" customHeight="1" x14ac:dyDescent="0.2">
      <c r="A3" s="1"/>
      <c r="B3" s="8"/>
      <c r="C3" s="1"/>
      <c r="D3" s="509" t="s">
        <v>3</v>
      </c>
      <c r="E3" s="510"/>
      <c r="F3" s="510"/>
      <c r="G3" s="510"/>
      <c r="H3" s="510"/>
      <c r="I3" s="510"/>
      <c r="J3" s="510"/>
      <c r="K3" s="510"/>
      <c r="L3" s="10" t="s">
        <v>4</v>
      </c>
      <c r="M3" s="5"/>
      <c r="N3" s="6"/>
    </row>
    <row r="4" spans="1:25" ht="21" customHeight="1" x14ac:dyDescent="0.2">
      <c r="A4" s="1"/>
      <c r="B4" s="11"/>
      <c r="C4" s="12"/>
      <c r="D4" s="511"/>
      <c r="E4" s="512"/>
      <c r="F4" s="512"/>
      <c r="G4" s="512"/>
      <c r="H4" s="512"/>
      <c r="I4" s="512"/>
      <c r="J4" s="512"/>
      <c r="K4" s="512"/>
      <c r="L4" s="4" t="s">
        <v>5</v>
      </c>
      <c r="M4" s="5"/>
      <c r="N4" s="6"/>
    </row>
    <row r="5" spans="1:25" ht="21" customHeight="1" x14ac:dyDescent="0.2">
      <c r="A5" s="13"/>
      <c r="B5" s="513" t="s">
        <v>51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"/>
      <c r="N5" s="5"/>
      <c r="O5" s="6"/>
    </row>
    <row r="6" spans="1:25" ht="21" customHeight="1" x14ac:dyDescent="0.2">
      <c r="A6" s="13"/>
      <c r="B6" s="513" t="s">
        <v>168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"/>
      <c r="N6" s="5"/>
      <c r="O6" s="6"/>
    </row>
    <row r="7" spans="1:25" ht="21" customHeight="1" x14ac:dyDescent="0.2">
      <c r="A7" s="13"/>
      <c r="B7" s="513" t="s">
        <v>496</v>
      </c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"/>
      <c r="N7" s="5"/>
      <c r="O7" s="6"/>
    </row>
    <row r="8" spans="1:25" x14ac:dyDescent="0.2">
      <c r="A8" s="14"/>
      <c r="B8" s="47"/>
      <c r="C8" s="47"/>
      <c r="D8" s="47"/>
      <c r="E8" s="47"/>
      <c r="F8" s="47"/>
      <c r="G8" s="47"/>
      <c r="H8" s="47"/>
      <c r="I8" s="47"/>
      <c r="J8" s="47"/>
      <c r="K8" s="47"/>
      <c r="L8" s="51"/>
      <c r="M8" s="15"/>
      <c r="N8" s="16"/>
      <c r="O8" s="6"/>
    </row>
    <row r="9" spans="1:25" ht="14.25" customHeight="1" x14ac:dyDescent="0.2">
      <c r="A9" s="523"/>
      <c r="B9" s="524" t="s">
        <v>8</v>
      </c>
      <c r="C9" s="524" t="s">
        <v>9</v>
      </c>
      <c r="D9" s="524" t="s">
        <v>10</v>
      </c>
      <c r="E9" s="524" t="s">
        <v>11</v>
      </c>
      <c r="F9" s="524" t="s">
        <v>12</v>
      </c>
      <c r="G9" s="524" t="s">
        <v>13</v>
      </c>
      <c r="H9" s="524" t="s">
        <v>14</v>
      </c>
      <c r="I9" s="531" t="s">
        <v>15</v>
      </c>
      <c r="J9" s="524" t="s">
        <v>16</v>
      </c>
      <c r="K9" s="524" t="s">
        <v>17</v>
      </c>
      <c r="L9" s="48" t="s">
        <v>18</v>
      </c>
    </row>
    <row r="10" spans="1:25" ht="14.25" customHeight="1" x14ac:dyDescent="0.2">
      <c r="A10" s="523"/>
      <c r="B10" s="524"/>
      <c r="C10" s="524"/>
      <c r="D10" s="524"/>
      <c r="E10" s="524"/>
      <c r="F10" s="524"/>
      <c r="G10" s="524"/>
      <c r="H10" s="524"/>
      <c r="I10" s="532"/>
      <c r="J10" s="524"/>
      <c r="K10" s="524"/>
      <c r="L10" s="49" t="s">
        <v>100</v>
      </c>
    </row>
    <row r="11" spans="1:25" ht="14.25" customHeight="1" x14ac:dyDescent="0.2">
      <c r="A11" s="523"/>
      <c r="B11" s="524"/>
      <c r="C11" s="524"/>
      <c r="D11" s="524"/>
      <c r="E11" s="524"/>
      <c r="F11" s="524"/>
      <c r="G11" s="524"/>
      <c r="H11" s="524"/>
      <c r="I11" s="532"/>
      <c r="J11" s="524"/>
      <c r="K11" s="524"/>
      <c r="L11" s="49" t="s">
        <v>20</v>
      </c>
    </row>
    <row r="12" spans="1:25" ht="14.25" customHeight="1" x14ac:dyDescent="0.2">
      <c r="A12" s="523"/>
      <c r="B12" s="524"/>
      <c r="C12" s="524"/>
      <c r="D12" s="524"/>
      <c r="E12" s="524"/>
      <c r="F12" s="524"/>
      <c r="G12" s="524"/>
      <c r="H12" s="524"/>
      <c r="I12" s="532"/>
      <c r="J12" s="524"/>
      <c r="K12" s="524"/>
      <c r="L12" s="49" t="s">
        <v>21</v>
      </c>
    </row>
    <row r="13" spans="1:25" ht="14.25" customHeight="1" x14ac:dyDescent="0.2">
      <c r="A13" s="523"/>
      <c r="B13" s="524"/>
      <c r="C13" s="524"/>
      <c r="D13" s="524"/>
      <c r="E13" s="524"/>
      <c r="F13" s="524"/>
      <c r="G13" s="524"/>
      <c r="H13" s="524"/>
      <c r="I13" s="532"/>
      <c r="J13" s="524"/>
      <c r="K13" s="524"/>
      <c r="L13" s="49" t="s">
        <v>22</v>
      </c>
    </row>
    <row r="14" spans="1:25" ht="14.25" customHeight="1" x14ac:dyDescent="0.2">
      <c r="A14" s="523"/>
      <c r="B14" s="524"/>
      <c r="C14" s="524"/>
      <c r="D14" s="524"/>
      <c r="E14" s="524"/>
      <c r="F14" s="524"/>
      <c r="G14" s="524"/>
      <c r="H14" s="524"/>
      <c r="I14" s="533"/>
      <c r="J14" s="524"/>
      <c r="K14" s="524"/>
      <c r="L14" s="50" t="s">
        <v>54</v>
      </c>
    </row>
    <row r="15" spans="1:25" ht="44.25" customHeight="1" x14ac:dyDescent="0.2">
      <c r="B15" s="17">
        <v>4</v>
      </c>
      <c r="C15" s="18" t="s">
        <v>169</v>
      </c>
      <c r="D15" s="19" t="s">
        <v>170</v>
      </c>
      <c r="E15" s="18" t="s">
        <v>171</v>
      </c>
      <c r="F15" s="112">
        <v>106758463</v>
      </c>
      <c r="G15" s="223">
        <v>0</v>
      </c>
      <c r="H15" s="223">
        <v>0</v>
      </c>
      <c r="I15" s="223">
        <v>0</v>
      </c>
      <c r="J15" s="223">
        <v>0</v>
      </c>
      <c r="K15" s="223">
        <f>F15-G15</f>
        <v>106758463</v>
      </c>
      <c r="L15" s="20">
        <f>H15/F15</f>
        <v>0</v>
      </c>
      <c r="M15" s="21"/>
      <c r="N15" s="21"/>
      <c r="O15" s="21"/>
      <c r="P15" s="21"/>
      <c r="Q15" s="21"/>
      <c r="R15" s="21"/>
      <c r="S15" s="21"/>
      <c r="T15" s="21"/>
      <c r="U15" s="21"/>
      <c r="V15" s="7"/>
      <c r="W15" s="7"/>
      <c r="X15" s="7"/>
      <c r="Y15" s="7"/>
    </row>
    <row r="16" spans="1:25" s="130" customFormat="1" ht="44.25" customHeight="1" x14ac:dyDescent="0.2">
      <c r="B16" s="131">
        <v>27</v>
      </c>
      <c r="C16" s="144" t="s">
        <v>278</v>
      </c>
      <c r="D16" s="19" t="s">
        <v>170</v>
      </c>
      <c r="E16" s="144" t="s">
        <v>179</v>
      </c>
      <c r="F16" s="112">
        <v>3283223</v>
      </c>
      <c r="G16" s="223">
        <v>0</v>
      </c>
      <c r="H16" s="223">
        <v>0</v>
      </c>
      <c r="I16" s="223">
        <v>0</v>
      </c>
      <c r="J16" s="223">
        <v>0</v>
      </c>
      <c r="K16" s="223">
        <f>F16-G16</f>
        <v>3283223</v>
      </c>
      <c r="L16" s="20">
        <f>H16/F16</f>
        <v>0</v>
      </c>
      <c r="M16" s="132"/>
      <c r="N16" s="132"/>
      <c r="O16" s="132"/>
      <c r="P16" s="132"/>
      <c r="Q16" s="132"/>
      <c r="R16" s="132"/>
      <c r="S16" s="132"/>
      <c r="T16" s="132"/>
      <c r="U16" s="132"/>
    </row>
    <row r="17" spans="2:25" ht="46.5" customHeight="1" x14ac:dyDescent="0.2">
      <c r="B17" s="17">
        <v>82</v>
      </c>
      <c r="C17" s="18" t="s">
        <v>172</v>
      </c>
      <c r="D17" s="22" t="s">
        <v>170</v>
      </c>
      <c r="E17" s="18" t="s">
        <v>173</v>
      </c>
      <c r="F17" s="112">
        <v>610000000</v>
      </c>
      <c r="G17" s="223">
        <v>543127167.10000002</v>
      </c>
      <c r="H17" s="223">
        <v>543127167.10000002</v>
      </c>
      <c r="I17" s="223">
        <v>264415374.09999999</v>
      </c>
      <c r="J17" s="223">
        <v>264415374.09999999</v>
      </c>
      <c r="K17" s="223">
        <f t="shared" ref="K17:K36" si="0">F17-G17</f>
        <v>66872832.899999976</v>
      </c>
      <c r="L17" s="20">
        <f t="shared" ref="L17:L34" si="1">H17/F17</f>
        <v>0.89037240508196724</v>
      </c>
      <c r="M17" s="21"/>
      <c r="N17" s="21"/>
      <c r="O17" s="21"/>
      <c r="P17" s="458"/>
      <c r="Q17" s="459"/>
      <c r="R17" s="172"/>
      <c r="S17" s="172"/>
      <c r="T17" s="172"/>
      <c r="U17" s="172"/>
      <c r="V17" s="172"/>
      <c r="W17" s="172"/>
    </row>
    <row r="18" spans="2:25" ht="60" customHeight="1" x14ac:dyDescent="0.2">
      <c r="B18" s="17">
        <v>90</v>
      </c>
      <c r="C18" s="18" t="s">
        <v>174</v>
      </c>
      <c r="D18" s="18" t="s">
        <v>170</v>
      </c>
      <c r="E18" s="18" t="s">
        <v>175</v>
      </c>
      <c r="F18" s="112">
        <v>110991608</v>
      </c>
      <c r="G18" s="223">
        <v>108539016</v>
      </c>
      <c r="H18" s="223">
        <v>108539016</v>
      </c>
      <c r="I18" s="223">
        <v>108539016</v>
      </c>
      <c r="J18" s="223">
        <v>32861624</v>
      </c>
      <c r="K18" s="223">
        <f t="shared" si="0"/>
        <v>2452592</v>
      </c>
      <c r="L18" s="20">
        <f t="shared" si="1"/>
        <v>0.97790290595663776</v>
      </c>
      <c r="M18" s="21"/>
      <c r="N18" s="21"/>
      <c r="O18" s="21"/>
      <c r="P18" s="459"/>
      <c r="Q18" s="459"/>
      <c r="R18" s="21"/>
      <c r="S18" s="21"/>
      <c r="T18" s="21"/>
      <c r="U18" s="21"/>
      <c r="V18" s="7"/>
      <c r="W18" s="7"/>
      <c r="X18" s="7"/>
      <c r="Y18" s="7"/>
    </row>
    <row r="19" spans="2:25" ht="75.75" customHeight="1" x14ac:dyDescent="0.2">
      <c r="B19" s="17">
        <v>4</v>
      </c>
      <c r="C19" s="18" t="s">
        <v>176</v>
      </c>
      <c r="D19" s="18" t="s">
        <v>177</v>
      </c>
      <c r="E19" s="18" t="s">
        <v>171</v>
      </c>
      <c r="F19" s="112">
        <v>93241537</v>
      </c>
      <c r="G19" s="223">
        <v>30540329.079999998</v>
      </c>
      <c r="H19" s="223">
        <v>30540329.079999998</v>
      </c>
      <c r="I19" s="223">
        <v>30540329.079999998</v>
      </c>
      <c r="J19" s="223">
        <v>30540329.079999998</v>
      </c>
      <c r="K19" s="223">
        <f t="shared" si="0"/>
        <v>62701207.920000002</v>
      </c>
      <c r="L19" s="20">
        <f t="shared" si="1"/>
        <v>0.32753995764784527</v>
      </c>
      <c r="M19" s="21"/>
      <c r="N19" s="21"/>
      <c r="O19" s="21"/>
      <c r="P19" s="459"/>
      <c r="Q19" s="459"/>
      <c r="R19" s="172"/>
      <c r="S19" s="21"/>
      <c r="T19" s="21"/>
      <c r="U19" s="21"/>
      <c r="V19" s="7"/>
      <c r="W19" s="7"/>
      <c r="X19" s="7"/>
      <c r="Y19" s="7"/>
    </row>
    <row r="20" spans="2:25" ht="68.25" customHeight="1" x14ac:dyDescent="0.2">
      <c r="B20" s="17">
        <v>27</v>
      </c>
      <c r="C20" s="18" t="s">
        <v>178</v>
      </c>
      <c r="D20" s="18" t="s">
        <v>177</v>
      </c>
      <c r="E20" s="18" t="s">
        <v>179</v>
      </c>
      <c r="F20" s="112">
        <v>646707933</v>
      </c>
      <c r="G20" s="223">
        <v>646707933</v>
      </c>
      <c r="H20" s="223">
        <v>646707933</v>
      </c>
      <c r="I20" s="223">
        <v>646707933</v>
      </c>
      <c r="J20" s="223">
        <v>646707933</v>
      </c>
      <c r="K20" s="223">
        <f t="shared" si="0"/>
        <v>0</v>
      </c>
      <c r="L20" s="20">
        <f t="shared" si="1"/>
        <v>1</v>
      </c>
      <c r="M20" s="21"/>
      <c r="N20" s="21"/>
      <c r="O20" s="21"/>
      <c r="P20" s="458"/>
      <c r="Q20" s="460"/>
      <c r="R20" s="21"/>
      <c r="S20" s="21"/>
      <c r="T20" s="21"/>
      <c r="U20" s="21"/>
      <c r="V20" s="7"/>
      <c r="W20" s="7"/>
      <c r="X20" s="7"/>
      <c r="Y20" s="7"/>
    </row>
    <row r="21" spans="2:25" ht="78.75" customHeight="1" x14ac:dyDescent="0.2">
      <c r="B21" s="17">
        <v>27</v>
      </c>
      <c r="C21" s="18" t="s">
        <v>180</v>
      </c>
      <c r="D21" s="18" t="s">
        <v>181</v>
      </c>
      <c r="E21" s="18" t="s">
        <v>179</v>
      </c>
      <c r="F21" s="112">
        <v>49717418</v>
      </c>
      <c r="G21" s="223">
        <v>49717418</v>
      </c>
      <c r="H21" s="223">
        <v>49717418</v>
      </c>
      <c r="I21" s="223">
        <v>49717418</v>
      </c>
      <c r="J21" s="223">
        <v>49717418</v>
      </c>
      <c r="K21" s="223">
        <f t="shared" si="0"/>
        <v>0</v>
      </c>
      <c r="L21" s="20">
        <f t="shared" si="1"/>
        <v>1</v>
      </c>
      <c r="M21" s="21"/>
      <c r="N21" s="21"/>
      <c r="O21" s="21"/>
      <c r="P21" s="172"/>
      <c r="Q21" s="172"/>
      <c r="R21" s="21"/>
      <c r="S21" s="21"/>
      <c r="T21" s="21"/>
      <c r="U21" s="21"/>
      <c r="V21" s="7"/>
      <c r="W21" s="7"/>
      <c r="X21" s="7"/>
      <c r="Y21" s="7"/>
    </row>
    <row r="22" spans="2:25" ht="78.75" customHeight="1" x14ac:dyDescent="0.2">
      <c r="B22" s="17">
        <v>27</v>
      </c>
      <c r="C22" s="18" t="s">
        <v>182</v>
      </c>
      <c r="D22" s="18" t="s">
        <v>183</v>
      </c>
      <c r="E22" s="18" t="s">
        <v>179</v>
      </c>
      <c r="F22" s="112">
        <v>324800000</v>
      </c>
      <c r="G22" s="223">
        <v>324800000</v>
      </c>
      <c r="H22" s="223">
        <v>324800000</v>
      </c>
      <c r="I22" s="223">
        <v>324800000</v>
      </c>
      <c r="J22" s="223">
        <v>324800000</v>
      </c>
      <c r="K22" s="223">
        <f t="shared" si="0"/>
        <v>0</v>
      </c>
      <c r="L22" s="20">
        <f t="shared" si="1"/>
        <v>1</v>
      </c>
      <c r="M22" s="21"/>
      <c r="N22" s="21"/>
      <c r="O22" s="21"/>
      <c r="P22" s="172"/>
      <c r="Q22" s="172"/>
      <c r="R22" s="21"/>
      <c r="S22" s="21"/>
      <c r="T22" s="21"/>
      <c r="U22" s="21"/>
      <c r="V22" s="7"/>
      <c r="W22" s="7"/>
      <c r="X22" s="7"/>
      <c r="Y22" s="7"/>
    </row>
    <row r="23" spans="2:25" ht="78.75" customHeight="1" x14ac:dyDescent="0.2">
      <c r="B23" s="17">
        <v>27</v>
      </c>
      <c r="C23" s="18" t="s">
        <v>184</v>
      </c>
      <c r="D23" s="18" t="s">
        <v>185</v>
      </c>
      <c r="E23" s="18" t="s">
        <v>179</v>
      </c>
      <c r="F23" s="112">
        <v>1032300000</v>
      </c>
      <c r="G23" s="223">
        <v>1032300000</v>
      </c>
      <c r="H23" s="223">
        <v>1032300000</v>
      </c>
      <c r="I23" s="223">
        <v>1032300000</v>
      </c>
      <c r="J23" s="223">
        <v>1032300000</v>
      </c>
      <c r="K23" s="223">
        <f t="shared" si="0"/>
        <v>0</v>
      </c>
      <c r="L23" s="20">
        <f t="shared" si="1"/>
        <v>1</v>
      </c>
      <c r="M23" s="21"/>
      <c r="N23" s="21"/>
      <c r="O23" s="21"/>
      <c r="P23" s="172"/>
      <c r="Q23" s="172"/>
      <c r="R23" s="21"/>
      <c r="S23" s="21"/>
      <c r="T23" s="21"/>
      <c r="U23" s="21"/>
      <c r="V23" s="7"/>
      <c r="W23" s="7"/>
      <c r="X23" s="7"/>
      <c r="Y23" s="7"/>
    </row>
    <row r="24" spans="2:25" ht="69" customHeight="1" x14ac:dyDescent="0.2">
      <c r="B24" s="17">
        <v>27</v>
      </c>
      <c r="C24" s="18" t="s">
        <v>186</v>
      </c>
      <c r="D24" s="18" t="s">
        <v>187</v>
      </c>
      <c r="E24" s="18" t="s">
        <v>179</v>
      </c>
      <c r="F24" s="112">
        <v>265000000</v>
      </c>
      <c r="G24" s="223">
        <v>265000000</v>
      </c>
      <c r="H24" s="223">
        <v>265000000</v>
      </c>
      <c r="I24" s="223">
        <v>265000000</v>
      </c>
      <c r="J24" s="223">
        <v>265000000</v>
      </c>
      <c r="K24" s="223">
        <f t="shared" si="0"/>
        <v>0</v>
      </c>
      <c r="L24" s="20">
        <f t="shared" si="1"/>
        <v>1</v>
      </c>
      <c r="M24" s="21"/>
      <c r="N24" s="21"/>
      <c r="O24" s="21"/>
      <c r="P24" s="172"/>
      <c r="Q24" s="172"/>
      <c r="R24" s="21"/>
      <c r="S24" s="21"/>
      <c r="T24" s="21"/>
      <c r="U24" s="21"/>
      <c r="V24" s="7"/>
      <c r="W24" s="7"/>
      <c r="X24" s="7"/>
      <c r="Y24" s="7"/>
    </row>
    <row r="25" spans="2:25" ht="61.5" customHeight="1" x14ac:dyDescent="0.2">
      <c r="B25" s="17">
        <v>20</v>
      </c>
      <c r="C25" s="18" t="s">
        <v>279</v>
      </c>
      <c r="D25" s="18" t="s">
        <v>189</v>
      </c>
      <c r="E25" s="18" t="s">
        <v>57</v>
      </c>
      <c r="F25" s="112">
        <v>110401078</v>
      </c>
      <c r="G25" s="223">
        <v>40026827</v>
      </c>
      <c r="H25" s="224">
        <v>40026827</v>
      </c>
      <c r="I25" s="224">
        <v>40026827</v>
      </c>
      <c r="J25" s="223">
        <v>40026827</v>
      </c>
      <c r="K25" s="223">
        <f t="shared" si="0"/>
        <v>70374251</v>
      </c>
      <c r="L25" s="24">
        <f t="shared" si="1"/>
        <v>0.3625582985702368</v>
      </c>
      <c r="M25" s="21"/>
      <c r="N25" s="21"/>
      <c r="O25" s="21"/>
      <c r="P25" s="21"/>
      <c r="Q25" s="21"/>
      <c r="R25" s="21"/>
      <c r="S25" s="21"/>
      <c r="T25" s="21"/>
      <c r="U25" s="21"/>
      <c r="V25" s="7"/>
      <c r="W25" s="7"/>
      <c r="X25" s="7"/>
      <c r="Y25" s="7"/>
    </row>
    <row r="26" spans="2:25" s="130" customFormat="1" ht="61.5" customHeight="1" x14ac:dyDescent="0.2">
      <c r="B26" s="131">
        <v>23</v>
      </c>
      <c r="C26" s="144" t="s">
        <v>188</v>
      </c>
      <c r="D26" s="144" t="s">
        <v>189</v>
      </c>
      <c r="E26" s="144" t="s">
        <v>190</v>
      </c>
      <c r="F26" s="112">
        <v>552221438.07000005</v>
      </c>
      <c r="G26" s="223">
        <v>480221438.06999999</v>
      </c>
      <c r="H26" s="224">
        <v>480221438.06999999</v>
      </c>
      <c r="I26" s="224">
        <v>322761438.06999999</v>
      </c>
      <c r="J26" s="223">
        <v>322761438.06999999</v>
      </c>
      <c r="K26" s="223">
        <f t="shared" si="0"/>
        <v>72000000.00000006</v>
      </c>
      <c r="L26" s="24">
        <f t="shared" si="1"/>
        <v>0.86961752109509138</v>
      </c>
      <c r="M26" s="132"/>
      <c r="N26" s="132"/>
      <c r="O26" s="132"/>
      <c r="P26" s="132"/>
      <c r="Q26" s="132"/>
      <c r="R26" s="132"/>
      <c r="S26" s="132"/>
      <c r="T26" s="132"/>
      <c r="U26" s="132"/>
    </row>
    <row r="27" spans="2:25" ht="69" customHeight="1" x14ac:dyDescent="0.2">
      <c r="B27" s="17">
        <v>88</v>
      </c>
      <c r="C27" s="18" t="s">
        <v>191</v>
      </c>
      <c r="D27" s="18" t="s">
        <v>189</v>
      </c>
      <c r="E27" s="18" t="s">
        <v>63</v>
      </c>
      <c r="F27" s="112">
        <v>450000000</v>
      </c>
      <c r="G27" s="223">
        <v>390843397.64999998</v>
      </c>
      <c r="H27" s="224">
        <v>390843397.64999998</v>
      </c>
      <c r="I27" s="224">
        <v>388043397.64999998</v>
      </c>
      <c r="J27" s="223">
        <v>388043397.64999998</v>
      </c>
      <c r="K27" s="223">
        <f t="shared" si="0"/>
        <v>59156602.350000024</v>
      </c>
      <c r="L27" s="20">
        <f t="shared" si="1"/>
        <v>0.8685408836666666</v>
      </c>
      <c r="M27" s="21"/>
      <c r="N27" s="21"/>
      <c r="O27" s="21"/>
      <c r="P27" s="172"/>
      <c r="Q27" s="172"/>
      <c r="R27" s="21"/>
      <c r="S27" s="21"/>
      <c r="T27" s="21"/>
      <c r="U27" s="21"/>
      <c r="V27" s="7"/>
      <c r="W27" s="7"/>
      <c r="X27" s="7"/>
      <c r="Y27" s="7"/>
    </row>
    <row r="28" spans="2:25" ht="63" customHeight="1" x14ac:dyDescent="0.2">
      <c r="B28" s="17">
        <v>89</v>
      </c>
      <c r="C28" s="18" t="s">
        <v>192</v>
      </c>
      <c r="D28" s="18" t="s">
        <v>189</v>
      </c>
      <c r="E28" s="18" t="s">
        <v>193</v>
      </c>
      <c r="F28" s="112">
        <v>84415766</v>
      </c>
      <c r="G28" s="223">
        <v>53900213</v>
      </c>
      <c r="H28" s="224">
        <v>53900213</v>
      </c>
      <c r="I28" s="224">
        <v>53900213</v>
      </c>
      <c r="J28" s="224">
        <v>53900213</v>
      </c>
      <c r="K28" s="223">
        <f t="shared" si="0"/>
        <v>30515553</v>
      </c>
      <c r="L28" s="20">
        <f t="shared" si="1"/>
        <v>0.63850884205682623</v>
      </c>
      <c r="M28" s="21"/>
      <c r="N28" s="21"/>
      <c r="O28" s="21"/>
      <c r="P28" s="21"/>
      <c r="Q28" s="21"/>
      <c r="R28" s="21"/>
      <c r="S28" s="21"/>
      <c r="T28" s="21"/>
      <c r="U28" s="21"/>
      <c r="V28" s="7"/>
      <c r="W28" s="7"/>
      <c r="X28" s="7"/>
      <c r="Y28" s="7"/>
    </row>
    <row r="29" spans="2:25" ht="54.75" customHeight="1" x14ac:dyDescent="0.2">
      <c r="B29" s="17">
        <v>4</v>
      </c>
      <c r="C29" s="18" t="s">
        <v>194</v>
      </c>
      <c r="D29" s="18" t="s">
        <v>195</v>
      </c>
      <c r="E29" s="18" t="s">
        <v>171</v>
      </c>
      <c r="F29" s="112">
        <v>6469193362.21</v>
      </c>
      <c r="G29" s="223">
        <v>4276727261.1100001</v>
      </c>
      <c r="H29" s="224">
        <v>4276727261.1100001</v>
      </c>
      <c r="I29" s="224">
        <v>4215347261.1100001</v>
      </c>
      <c r="J29" s="223">
        <v>4215347261.1100001</v>
      </c>
      <c r="K29" s="223">
        <f t="shared" si="0"/>
        <v>2192466101.0999999</v>
      </c>
      <c r="L29" s="20">
        <f t="shared" si="1"/>
        <v>0.66109127083642905</v>
      </c>
      <c r="M29" s="21"/>
      <c r="N29" s="21"/>
      <c r="O29" s="21"/>
      <c r="P29" s="172"/>
      <c r="Q29" s="172"/>
      <c r="R29" s="172"/>
      <c r="S29" s="172"/>
      <c r="T29" s="172"/>
      <c r="U29" s="172"/>
    </row>
    <row r="30" spans="2:25" ht="57" customHeight="1" x14ac:dyDescent="0.2">
      <c r="B30" s="17">
        <v>128</v>
      </c>
      <c r="C30" s="18" t="s">
        <v>196</v>
      </c>
      <c r="D30" s="18" t="s">
        <v>195</v>
      </c>
      <c r="E30" s="18" t="s">
        <v>197</v>
      </c>
      <c r="F30" s="112">
        <v>128000000</v>
      </c>
      <c r="G30" s="223">
        <v>127997027</v>
      </c>
      <c r="H30" s="224">
        <v>127997027</v>
      </c>
      <c r="I30" s="224">
        <v>127997027</v>
      </c>
      <c r="J30" s="224">
        <v>127997027</v>
      </c>
      <c r="K30" s="223">
        <f t="shared" si="0"/>
        <v>2973</v>
      </c>
      <c r="L30" s="20">
        <f t="shared" si="1"/>
        <v>0.99997677343750002</v>
      </c>
      <c r="M30" s="21"/>
      <c r="N30" s="21"/>
      <c r="O30" s="21"/>
      <c r="P30" s="172"/>
      <c r="Q30" s="172"/>
      <c r="R30" s="21"/>
      <c r="S30" s="21"/>
      <c r="T30" s="21"/>
      <c r="U30" s="21"/>
      <c r="V30" s="7"/>
      <c r="W30" s="7"/>
      <c r="X30" s="7"/>
      <c r="Y30" s="7"/>
    </row>
    <row r="31" spans="2:25" ht="51.75" customHeight="1" x14ac:dyDescent="0.2">
      <c r="B31" s="17">
        <v>20</v>
      </c>
      <c r="C31" s="18" t="s">
        <v>198</v>
      </c>
      <c r="D31" s="18" t="s">
        <v>195</v>
      </c>
      <c r="E31" s="18" t="s">
        <v>57</v>
      </c>
      <c r="F31" s="112">
        <v>670000000</v>
      </c>
      <c r="G31" s="223">
        <v>469328558.80000001</v>
      </c>
      <c r="H31" s="223">
        <v>469328558.80000001</v>
      </c>
      <c r="I31" s="223">
        <v>469328558.80000001</v>
      </c>
      <c r="J31" s="223">
        <v>469328558.80000001</v>
      </c>
      <c r="K31" s="223">
        <f t="shared" si="0"/>
        <v>200671441.19999999</v>
      </c>
      <c r="L31" s="20">
        <f t="shared" si="1"/>
        <v>0.70049038626865678</v>
      </c>
      <c r="M31" s="21"/>
      <c r="N31" s="21"/>
      <c r="O31" s="21"/>
      <c r="P31" s="21"/>
      <c r="Q31" s="21"/>
      <c r="R31" s="21"/>
      <c r="S31" s="21"/>
      <c r="T31" s="21"/>
      <c r="U31" s="21"/>
      <c r="V31" s="7"/>
      <c r="W31" s="7"/>
      <c r="X31" s="7"/>
      <c r="Y31" s="7"/>
    </row>
    <row r="32" spans="2:25" s="130" customFormat="1" ht="51.75" customHeight="1" x14ac:dyDescent="0.2">
      <c r="B32" s="131">
        <v>56</v>
      </c>
      <c r="C32" s="144" t="s">
        <v>490</v>
      </c>
      <c r="D32" s="144" t="s">
        <v>195</v>
      </c>
      <c r="E32" s="144" t="s">
        <v>489</v>
      </c>
      <c r="F32" s="112">
        <v>56061566</v>
      </c>
      <c r="G32" s="223">
        <v>56061566</v>
      </c>
      <c r="H32" s="223">
        <v>56061566</v>
      </c>
      <c r="I32" s="223">
        <v>56061566</v>
      </c>
      <c r="J32" s="223">
        <v>56061566</v>
      </c>
      <c r="K32" s="223"/>
      <c r="L32" s="20"/>
      <c r="M32" s="132"/>
      <c r="N32" s="132"/>
      <c r="O32" s="132"/>
      <c r="P32" s="132"/>
      <c r="Q32" s="132"/>
      <c r="R32" s="132"/>
      <c r="S32" s="132"/>
      <c r="T32" s="132"/>
      <c r="U32" s="132"/>
    </row>
    <row r="33" spans="2:25" ht="57" customHeight="1" x14ac:dyDescent="0.2">
      <c r="B33" s="17">
        <v>82</v>
      </c>
      <c r="C33" s="18" t="s">
        <v>199</v>
      </c>
      <c r="D33" s="18" t="s">
        <v>195</v>
      </c>
      <c r="E33" s="18" t="s">
        <v>173</v>
      </c>
      <c r="F33" s="112">
        <v>2604927185</v>
      </c>
      <c r="G33" s="223">
        <v>1298530864.5</v>
      </c>
      <c r="H33" s="223">
        <v>1298530864.5</v>
      </c>
      <c r="I33" s="223">
        <v>648228891.70000005</v>
      </c>
      <c r="J33" s="223">
        <v>648228891.70000005</v>
      </c>
      <c r="K33" s="223">
        <f t="shared" si="0"/>
        <v>1306396320.5</v>
      </c>
      <c r="L33" s="20">
        <f t="shared" si="1"/>
        <v>0.49849027334712237</v>
      </c>
      <c r="M33" s="21"/>
      <c r="N33" s="21"/>
      <c r="O33" s="21"/>
      <c r="P33" s="21"/>
      <c r="Q33" s="21"/>
      <c r="R33" s="21"/>
      <c r="S33" s="21"/>
      <c r="T33" s="21"/>
      <c r="U33" s="21"/>
      <c r="V33" s="7"/>
      <c r="W33" s="7"/>
      <c r="X33" s="7"/>
      <c r="Y33" s="7"/>
    </row>
    <row r="34" spans="2:25" ht="58.5" customHeight="1" x14ac:dyDescent="0.2">
      <c r="B34" s="17">
        <v>88</v>
      </c>
      <c r="C34" s="18" t="s">
        <v>200</v>
      </c>
      <c r="D34" s="18" t="s">
        <v>195</v>
      </c>
      <c r="E34" s="18" t="s">
        <v>63</v>
      </c>
      <c r="F34" s="112">
        <v>308300000</v>
      </c>
      <c r="G34" s="223">
        <v>303557377</v>
      </c>
      <c r="H34" s="223">
        <v>303557377</v>
      </c>
      <c r="I34" s="223">
        <v>287064888</v>
      </c>
      <c r="J34" s="223">
        <v>287064888</v>
      </c>
      <c r="K34" s="223">
        <f t="shared" si="0"/>
        <v>4742623</v>
      </c>
      <c r="L34" s="20">
        <f t="shared" si="1"/>
        <v>0.98461685695750889</v>
      </c>
      <c r="M34" s="21"/>
      <c r="N34" s="21"/>
      <c r="O34" s="21"/>
      <c r="P34" s="172"/>
      <c r="Q34" s="172"/>
      <c r="R34" s="21"/>
      <c r="S34" s="21"/>
      <c r="T34" s="21"/>
      <c r="U34" s="21"/>
      <c r="V34" s="7"/>
      <c r="W34" s="7"/>
      <c r="X34" s="7"/>
      <c r="Y34" s="7"/>
    </row>
    <row r="35" spans="2:25" s="130" customFormat="1" ht="58.5" customHeight="1" x14ac:dyDescent="0.2">
      <c r="B35" s="131">
        <v>56</v>
      </c>
      <c r="C35" s="141" t="s">
        <v>505</v>
      </c>
      <c r="D35" s="489" t="s">
        <v>506</v>
      </c>
      <c r="E35" s="144" t="s">
        <v>507</v>
      </c>
      <c r="F35" s="488">
        <v>611890318</v>
      </c>
      <c r="G35" s="223"/>
      <c r="H35" s="223"/>
      <c r="I35" s="223"/>
      <c r="J35" s="223"/>
      <c r="K35" s="223">
        <f t="shared" si="0"/>
        <v>611890318</v>
      </c>
      <c r="L35" s="20"/>
      <c r="M35" s="132"/>
      <c r="N35" s="132"/>
      <c r="O35" s="132"/>
      <c r="P35" s="172"/>
      <c r="Q35" s="172"/>
      <c r="R35" s="132"/>
      <c r="S35" s="132"/>
      <c r="T35" s="132"/>
      <c r="U35" s="132"/>
    </row>
    <row r="36" spans="2:25" s="130" customFormat="1" ht="58.5" customHeight="1" x14ac:dyDescent="0.2">
      <c r="B36" s="131">
        <v>56</v>
      </c>
      <c r="C36" s="490" t="s">
        <v>508</v>
      </c>
      <c r="D36" s="489" t="s">
        <v>509</v>
      </c>
      <c r="E36" s="144" t="s">
        <v>507</v>
      </c>
      <c r="F36" s="488">
        <v>500000000</v>
      </c>
      <c r="G36" s="223"/>
      <c r="H36" s="223"/>
      <c r="I36" s="223"/>
      <c r="J36" s="223"/>
      <c r="K36" s="223">
        <f t="shared" si="0"/>
        <v>500000000</v>
      </c>
      <c r="L36" s="20"/>
      <c r="M36" s="132"/>
      <c r="N36" s="132"/>
      <c r="O36" s="132"/>
      <c r="P36" s="172"/>
      <c r="Q36" s="172"/>
      <c r="R36" s="132"/>
      <c r="S36" s="132"/>
      <c r="T36" s="132"/>
      <c r="U36" s="132"/>
    </row>
    <row r="37" spans="2:25" ht="42" customHeight="1" x14ac:dyDescent="0.2">
      <c r="B37" s="27"/>
      <c r="C37" s="28"/>
      <c r="D37" s="29" t="s">
        <v>35</v>
      </c>
      <c r="E37" s="30"/>
      <c r="F37" s="225">
        <f>SUM(F15:F36)</f>
        <v>15788210895.279999</v>
      </c>
      <c r="G37" s="225">
        <f t="shared" ref="G37:K37" si="2">SUM(G15:G36)</f>
        <v>10497926393.309999</v>
      </c>
      <c r="H37" s="225">
        <f t="shared" si="2"/>
        <v>10497926393.309999</v>
      </c>
      <c r="I37" s="225">
        <f t="shared" si="2"/>
        <v>9330780138.5100002</v>
      </c>
      <c r="J37" s="225">
        <f t="shared" si="2"/>
        <v>9255102746.5100002</v>
      </c>
      <c r="K37" s="225">
        <f t="shared" si="2"/>
        <v>5290284501.9699993</v>
      </c>
      <c r="L37" s="461">
        <f>H37/F37</f>
        <v>0.66492184978656643</v>
      </c>
    </row>
    <row r="38" spans="2:25" ht="23.25" customHeight="1" x14ac:dyDescent="0.2">
      <c r="B38" s="17"/>
      <c r="C38" s="31"/>
      <c r="D38" s="4" t="s">
        <v>36</v>
      </c>
      <c r="E38" s="32"/>
      <c r="F38" s="58">
        <v>1</v>
      </c>
      <c r="G38" s="33">
        <f>G37/F37</f>
        <v>0.66492184978656643</v>
      </c>
      <c r="H38" s="33">
        <f>H37/F37</f>
        <v>0.66492184978656643</v>
      </c>
      <c r="I38" s="33">
        <f>I37/H37</f>
        <v>0.88882125754436747</v>
      </c>
      <c r="J38" s="33">
        <f>J37/H37</f>
        <v>0.88161246323921527</v>
      </c>
      <c r="K38" s="33">
        <f>K37/F37</f>
        <v>0.33507815021343351</v>
      </c>
      <c r="L38" s="34"/>
    </row>
    <row r="39" spans="2:25" x14ac:dyDescent="0.2">
      <c r="F39" s="132"/>
      <c r="G39" s="132"/>
      <c r="H39" s="132"/>
      <c r="I39" s="132"/>
      <c r="J39" s="132"/>
      <c r="K39" s="132"/>
    </row>
    <row r="40" spans="2:25" x14ac:dyDescent="0.2">
      <c r="E40" s="159" t="s">
        <v>37</v>
      </c>
      <c r="F40" s="150" t="s">
        <v>38</v>
      </c>
      <c r="G40" s="159" t="s">
        <v>39</v>
      </c>
      <c r="H40" s="150" t="s">
        <v>40</v>
      </c>
      <c r="I40" s="150" t="s">
        <v>41</v>
      </c>
      <c r="J40" s="150" t="s">
        <v>42</v>
      </c>
      <c r="K40" s="159" t="s">
        <v>43</v>
      </c>
      <c r="L40" s="159" t="s">
        <v>44</v>
      </c>
      <c r="M40" s="150" t="s">
        <v>45</v>
      </c>
      <c r="N40" s="152" t="s">
        <v>46</v>
      </c>
    </row>
    <row r="41" spans="2:25" x14ac:dyDescent="0.2">
      <c r="E41" s="159" t="s">
        <v>470</v>
      </c>
      <c r="F41" s="165">
        <f>10267506145/1000</f>
        <v>10267506.145</v>
      </c>
      <c r="G41" s="165">
        <f>540037495/1000</f>
        <v>540037.495</v>
      </c>
      <c r="H41" s="152">
        <f t="shared" ref="H41:H46" si="3">G41/F41</f>
        <v>5.2596754009539483E-2</v>
      </c>
      <c r="I41" s="165">
        <f>67220000/1000</f>
        <v>67220</v>
      </c>
      <c r="J41" s="152">
        <f t="shared" ref="J41:J46" si="4">I41/F41</f>
        <v>6.546867277282745E-3</v>
      </c>
      <c r="K41" s="165">
        <v>0</v>
      </c>
      <c r="L41" s="165">
        <v>0</v>
      </c>
      <c r="M41" s="165">
        <f t="shared" ref="M41:M46" si="5">F41-G41</f>
        <v>9727468.6500000004</v>
      </c>
      <c r="N41" s="152">
        <f t="shared" ref="N41:N46" si="6">M41/F41</f>
        <v>0.94740324599046055</v>
      </c>
    </row>
    <row r="42" spans="2:25" x14ac:dyDescent="0.2">
      <c r="E42" s="159" t="s">
        <v>471</v>
      </c>
      <c r="F42" s="165">
        <f>14469840704/1000</f>
        <v>14469840.704</v>
      </c>
      <c r="G42" s="165">
        <f>1759825348/1000</f>
        <v>1759825.348</v>
      </c>
      <c r="H42" s="152">
        <f t="shared" si="3"/>
        <v>0.12162022955190648</v>
      </c>
      <c r="I42" s="165">
        <f>785418247.98/1000</f>
        <v>785418.24797999999</v>
      </c>
      <c r="J42" s="152">
        <f t="shared" si="4"/>
        <v>5.4279674810993689E-2</v>
      </c>
      <c r="K42" s="165">
        <f>19800000/1000</f>
        <v>19800</v>
      </c>
      <c r="L42" s="165">
        <f>19800000/1000</f>
        <v>19800</v>
      </c>
      <c r="M42" s="165">
        <f t="shared" si="5"/>
        <v>12710015.356000001</v>
      </c>
      <c r="N42" s="152">
        <f t="shared" si="6"/>
        <v>0.87837977044809357</v>
      </c>
    </row>
    <row r="43" spans="2:25" x14ac:dyDescent="0.2">
      <c r="E43" s="159" t="s">
        <v>472</v>
      </c>
      <c r="F43" s="165">
        <f>14469840704/1000</f>
        <v>14469840.704</v>
      </c>
      <c r="G43" s="165">
        <f>2163447077/1000</f>
        <v>2163447.077</v>
      </c>
      <c r="H43" s="152">
        <f t="shared" si="3"/>
        <v>0.14951422902685743</v>
      </c>
      <c r="I43" s="165">
        <f>1089237626.94/1000</f>
        <v>1089237.6269400001</v>
      </c>
      <c r="J43" s="152">
        <f t="shared" si="4"/>
        <v>7.5276407613726837E-2</v>
      </c>
      <c r="K43" s="165">
        <f>241489633/1000</f>
        <v>241489.633</v>
      </c>
      <c r="L43" s="165">
        <f>241489633/1000</f>
        <v>241489.633</v>
      </c>
      <c r="M43" s="165">
        <f t="shared" si="5"/>
        <v>12306393.627</v>
      </c>
      <c r="N43" s="152">
        <f t="shared" si="6"/>
        <v>0.8504857709731426</v>
      </c>
    </row>
    <row r="44" spans="2:25" x14ac:dyDescent="0.2">
      <c r="E44" s="159" t="s">
        <v>473</v>
      </c>
      <c r="F44" s="165">
        <f>14469840704/1000</f>
        <v>14469840.704</v>
      </c>
      <c r="G44" s="165">
        <f>4287143243/1000</f>
        <v>4287143.2429999998</v>
      </c>
      <c r="H44" s="152">
        <f t="shared" si="3"/>
        <v>0.29628130196449742</v>
      </c>
      <c r="I44" s="165">
        <f>3570141848.53/1000</f>
        <v>3570141.8485300001</v>
      </c>
      <c r="J44" s="152">
        <f t="shared" si="4"/>
        <v>0.2467298653497326</v>
      </c>
      <c r="K44" s="165">
        <f>342197545.69/1000</f>
        <v>342197.54569</v>
      </c>
      <c r="L44" s="165">
        <f>342197545.69/1000</f>
        <v>342197.54569</v>
      </c>
      <c r="M44" s="165">
        <f t="shared" si="5"/>
        <v>10182697.460999999</v>
      </c>
      <c r="N44" s="152">
        <f t="shared" si="6"/>
        <v>0.70371869803550258</v>
      </c>
    </row>
    <row r="45" spans="2:25" x14ac:dyDescent="0.2">
      <c r="E45" s="159" t="s">
        <v>476</v>
      </c>
      <c r="F45" s="165">
        <f>14469840704/1000</f>
        <v>14469840.704</v>
      </c>
      <c r="G45" s="165">
        <f>4862593595.84/1000</f>
        <v>4862593.5958400005</v>
      </c>
      <c r="H45" s="152">
        <f t="shared" si="3"/>
        <v>0.33605025067731392</v>
      </c>
      <c r="I45" s="165">
        <f>3807558204.03/1000</f>
        <v>3807558.2040300001</v>
      </c>
      <c r="J45" s="152">
        <f t="shared" si="4"/>
        <v>0.26313753426307246</v>
      </c>
      <c r="K45" s="165">
        <f>448261972.69/1000</f>
        <v>448261.97269000002</v>
      </c>
      <c r="L45" s="165">
        <f>448261972.69/1000</f>
        <v>448261.97269000002</v>
      </c>
      <c r="M45" s="165">
        <f t="shared" si="5"/>
        <v>9607247.1081600003</v>
      </c>
      <c r="N45" s="152">
        <f t="shared" si="6"/>
        <v>0.66394974932268613</v>
      </c>
    </row>
    <row r="46" spans="2:25" x14ac:dyDescent="0.2">
      <c r="E46" s="159" t="s">
        <v>477</v>
      </c>
      <c r="F46" s="165">
        <f>14469840704/1000</f>
        <v>14469840.704</v>
      </c>
      <c r="G46" s="165">
        <f>6100403405.4/1000</f>
        <v>6100403.4053999996</v>
      </c>
      <c r="H46" s="152">
        <f t="shared" si="3"/>
        <v>0.42159437205923228</v>
      </c>
      <c r="I46" s="165">
        <f>4098761205.43/1000</f>
        <v>4098761.2054299996</v>
      </c>
      <c r="J46" s="152">
        <f t="shared" si="4"/>
        <v>0.28326235853425463</v>
      </c>
      <c r="K46" s="165">
        <f>715672391.93/1000</f>
        <v>715672.39192999993</v>
      </c>
      <c r="L46" s="165">
        <f>715672391.93/1000</f>
        <v>715672.39192999993</v>
      </c>
      <c r="M46" s="165">
        <f t="shared" si="5"/>
        <v>8369437.2986000003</v>
      </c>
      <c r="N46" s="152">
        <f t="shared" si="6"/>
        <v>0.57840562794076766</v>
      </c>
    </row>
    <row r="47" spans="2:25" s="130" customFormat="1" x14ac:dyDescent="0.2">
      <c r="B47" s="134"/>
      <c r="E47" s="159" t="s">
        <v>474</v>
      </c>
      <c r="F47" s="165">
        <f>14787527534/1000</f>
        <v>14787527.534</v>
      </c>
      <c r="G47" s="165">
        <f>9841313140.48/1000</f>
        <v>9841313.1404799987</v>
      </c>
      <c r="H47" s="152">
        <f t="shared" ref="H47:H48" si="7">G47/F47</f>
        <v>0.6655144423469378</v>
      </c>
      <c r="I47" s="165">
        <f>4526210155.25/1000</f>
        <v>4526210.1552499998</v>
      </c>
      <c r="J47" s="152">
        <f t="shared" ref="J47:J48" si="8">I47/F47</f>
        <v>0.30608295706250954</v>
      </c>
      <c r="K47" s="165">
        <f>831510079.93/1000</f>
        <v>831510.07992999989</v>
      </c>
      <c r="L47" s="165">
        <f>824937710.93/1000</f>
        <v>824937.71092999994</v>
      </c>
      <c r="M47" s="165">
        <f t="shared" ref="M47" si="9">F47-G47</f>
        <v>4946214.3935200013</v>
      </c>
      <c r="N47" s="152">
        <f t="shared" ref="N47:N48" si="10">M47/F47</f>
        <v>0.33448555765306215</v>
      </c>
      <c r="P47" s="129"/>
      <c r="Q47" s="129"/>
      <c r="R47" s="129"/>
      <c r="S47" s="129"/>
      <c r="T47" s="129"/>
      <c r="U47" s="129"/>
      <c r="V47" s="129"/>
      <c r="W47" s="129"/>
      <c r="X47" s="129"/>
      <c r="Y47" s="129"/>
    </row>
    <row r="48" spans="2:25" s="130" customFormat="1" x14ac:dyDescent="0.2">
      <c r="B48" s="134"/>
      <c r="E48" s="159" t="s">
        <v>475</v>
      </c>
      <c r="F48" s="165">
        <f>14787527534/1000</f>
        <v>14787527.534</v>
      </c>
      <c r="G48" s="165">
        <f>10065135952.48/1000</f>
        <v>10065135.95248</v>
      </c>
      <c r="H48" s="152">
        <f t="shared" si="7"/>
        <v>0.68065036087594</v>
      </c>
      <c r="I48" s="165">
        <f>4935998722.25/1000</f>
        <v>4935998.7222499996</v>
      </c>
      <c r="J48" s="152">
        <f t="shared" si="8"/>
        <v>0.33379472740801186</v>
      </c>
      <c r="K48" s="165">
        <f>2443402367.29/1000</f>
        <v>2443402.36729</v>
      </c>
      <c r="L48" s="165">
        <f>2443402367.29/1000</f>
        <v>2443402.36729</v>
      </c>
      <c r="M48" s="165">
        <f>4722391581.52/1000</f>
        <v>4722391.5815200005</v>
      </c>
      <c r="N48" s="152">
        <f t="shared" si="10"/>
        <v>0.31934963912405995</v>
      </c>
      <c r="P48" s="129"/>
      <c r="Q48" s="129"/>
      <c r="R48" s="129"/>
      <c r="S48" s="129"/>
      <c r="T48" s="129"/>
      <c r="U48" s="129"/>
      <c r="V48" s="129"/>
      <c r="W48" s="129"/>
      <c r="X48" s="129"/>
      <c r="Y48" s="129"/>
    </row>
    <row r="49" spans="2:25" s="60" customFormat="1" x14ac:dyDescent="0.2">
      <c r="B49" s="62"/>
      <c r="E49" s="159" t="s">
        <v>478</v>
      </c>
      <c r="F49" s="165">
        <f>14787527534/1000</f>
        <v>14787527.534</v>
      </c>
      <c r="G49" s="165">
        <f>10134478217.48/1000</f>
        <v>10134478.21748</v>
      </c>
      <c r="H49" s="152">
        <f t="shared" ref="H49:H51" si="11">G49/F49</f>
        <v>0.68533960083445011</v>
      </c>
      <c r="I49" s="165">
        <f>8805555326.25/1000</f>
        <v>8805555.3262499999</v>
      </c>
      <c r="J49" s="152">
        <f t="shared" ref="J49:J51" si="12">I49/F49</f>
        <v>0.5954717789031303</v>
      </c>
      <c r="K49" s="165">
        <f>5700576612.29/1000</f>
        <v>5700576.6122899996</v>
      </c>
      <c r="L49" s="165">
        <f>5700576612.29/1000</f>
        <v>5700576.6122899996</v>
      </c>
      <c r="M49" s="165">
        <f>4653049316.52/1000</f>
        <v>4653049.3165200008</v>
      </c>
      <c r="N49" s="152">
        <f t="shared" ref="N49:N51" si="13">M49/F49</f>
        <v>0.31466039916555</v>
      </c>
      <c r="P49" s="102"/>
      <c r="Q49" s="102"/>
      <c r="R49" s="102"/>
      <c r="S49" s="102"/>
      <c r="T49" s="102"/>
      <c r="U49" s="102"/>
      <c r="V49" s="102"/>
      <c r="W49" s="102"/>
      <c r="X49" s="102"/>
      <c r="Y49" s="102"/>
    </row>
    <row r="50" spans="2:25" s="60" customFormat="1" x14ac:dyDescent="0.2">
      <c r="B50" s="62"/>
      <c r="E50" s="159" t="s">
        <v>488</v>
      </c>
      <c r="F50" s="165">
        <f>14787527534/1000</f>
        <v>14787527.534</v>
      </c>
      <c r="G50" s="165">
        <f>11045635325.48/1000</f>
        <v>11045635.325479999</v>
      </c>
      <c r="H50" s="152">
        <f t="shared" si="11"/>
        <v>0.74695619670587177</v>
      </c>
      <c r="I50" s="165">
        <f>9552504549.25/1000</f>
        <v>9552504.5492499992</v>
      </c>
      <c r="J50" s="152">
        <f t="shared" si="12"/>
        <v>0.64598388928010764</v>
      </c>
      <c r="K50" s="165">
        <f>6021786436.22/1000</f>
        <v>6021786.4362200005</v>
      </c>
      <c r="L50" s="165">
        <f>6007856436.22/1000</f>
        <v>6007856.4362200005</v>
      </c>
      <c r="M50" s="165">
        <f>3741892208.52/1000</f>
        <v>3741892.2085199999</v>
      </c>
      <c r="N50" s="152">
        <f t="shared" si="13"/>
        <v>0.25304380329412812</v>
      </c>
      <c r="P50" s="102"/>
      <c r="Q50" s="102"/>
      <c r="R50" s="102"/>
      <c r="S50" s="102"/>
      <c r="T50" s="102"/>
      <c r="U50" s="102"/>
      <c r="V50" s="102"/>
      <c r="W50" s="102"/>
      <c r="X50" s="102"/>
      <c r="Y50" s="102"/>
    </row>
    <row r="51" spans="2:25" s="60" customFormat="1" x14ac:dyDescent="0.2">
      <c r="B51" s="62"/>
      <c r="E51" s="159" t="s">
        <v>487</v>
      </c>
      <c r="F51" s="165">
        <f>14863589100/1000</f>
        <v>14863589.1</v>
      </c>
      <c r="G51" s="165">
        <f>14357791288.48/1000</f>
        <v>14357791.288479999</v>
      </c>
      <c r="H51" s="152">
        <f t="shared" si="11"/>
        <v>0.96597068123203156</v>
      </c>
      <c r="I51" s="165">
        <f>9793113334.41/1000</f>
        <v>9793113.3344100006</v>
      </c>
      <c r="J51" s="152">
        <f t="shared" si="12"/>
        <v>0.65886598913111782</v>
      </c>
      <c r="K51" s="165">
        <f>6657721229.41/1000</f>
        <v>6657721.2294100001</v>
      </c>
      <c r="L51" s="165">
        <f>6657721229.41/1000</f>
        <v>6657721.2294100001</v>
      </c>
      <c r="M51" s="165">
        <f>505797811.52/1000</f>
        <v>505797.81151999999</v>
      </c>
      <c r="N51" s="152">
        <f t="shared" si="13"/>
        <v>3.4029318767968365E-2</v>
      </c>
      <c r="P51" s="102"/>
      <c r="Q51" s="102"/>
      <c r="R51" s="102"/>
      <c r="S51" s="102"/>
      <c r="T51" s="102"/>
      <c r="U51" s="102"/>
      <c r="V51" s="102"/>
      <c r="W51" s="102"/>
      <c r="X51" s="102"/>
      <c r="Y51" s="102"/>
    </row>
    <row r="52" spans="2:25" s="60" customFormat="1" x14ac:dyDescent="0.2">
      <c r="B52" s="62"/>
      <c r="E52" s="159" t="s">
        <v>494</v>
      </c>
      <c r="F52" s="165">
        <f>F37/1000</f>
        <v>15788210.895279998</v>
      </c>
      <c r="G52" s="165">
        <f>G37/1000</f>
        <v>10497926.393309999</v>
      </c>
      <c r="H52" s="152">
        <f t="shared" ref="H52" si="14">G52/F52</f>
        <v>0.66492184978656654</v>
      </c>
      <c r="I52" s="165">
        <f>H37/1000</f>
        <v>10497926.393309999</v>
      </c>
      <c r="J52" s="152">
        <f t="shared" ref="J52" si="15">I52/F52</f>
        <v>0.66492184978656654</v>
      </c>
      <c r="K52" s="165">
        <f>I37/1000</f>
        <v>9330780.13851</v>
      </c>
      <c r="L52" s="165">
        <f>J37/1000</f>
        <v>9255102.7465100009</v>
      </c>
      <c r="M52" s="165">
        <f>K37/1000</f>
        <v>5290284.5019699996</v>
      </c>
      <c r="N52" s="152">
        <f t="shared" ref="N52" si="16">M52/F52</f>
        <v>0.33507815021343357</v>
      </c>
      <c r="P52" s="102"/>
      <c r="Q52" s="102"/>
      <c r="R52" s="102"/>
      <c r="S52" s="102"/>
      <c r="T52" s="102"/>
      <c r="U52" s="102"/>
      <c r="V52" s="102"/>
      <c r="W52" s="102"/>
      <c r="X52" s="102"/>
      <c r="Y52" s="102"/>
    </row>
    <row r="54" spans="2:25" ht="43.5" customHeight="1" x14ac:dyDescent="0.2">
      <c r="D54" s="46" t="s">
        <v>47</v>
      </c>
      <c r="E54" s="46" t="s">
        <v>48</v>
      </c>
      <c r="F54" s="46" t="s">
        <v>12</v>
      </c>
      <c r="G54" s="46" t="s">
        <v>13</v>
      </c>
      <c r="H54" s="46" t="s">
        <v>14</v>
      </c>
      <c r="I54" s="48" t="s">
        <v>15</v>
      </c>
      <c r="J54" s="46" t="s">
        <v>16</v>
      </c>
      <c r="K54" s="46" t="s">
        <v>17</v>
      </c>
    </row>
    <row r="55" spans="2:25" ht="23.25" customHeight="1" x14ac:dyDescent="0.2">
      <c r="D55" s="103" t="s">
        <v>201</v>
      </c>
      <c r="E55" s="34" t="s">
        <v>202</v>
      </c>
      <c r="F55" s="113">
        <f t="shared" ref="F55:K55" si="17">F15+F17+F19+F29+F33</f>
        <v>9884120547.2099991</v>
      </c>
      <c r="G55" s="113">
        <f t="shared" si="17"/>
        <v>6148925621.79</v>
      </c>
      <c r="H55" s="113">
        <f t="shared" si="17"/>
        <v>6148925621.79</v>
      </c>
      <c r="I55" s="113">
        <f t="shared" si="17"/>
        <v>5158531855.9899998</v>
      </c>
      <c r="J55" s="113">
        <f t="shared" si="17"/>
        <v>5158531855.9899998</v>
      </c>
      <c r="K55" s="113">
        <f t="shared" si="17"/>
        <v>3735194925.4200001</v>
      </c>
    </row>
    <row r="56" spans="2:25" ht="23.25" customHeight="1" x14ac:dyDescent="0.2">
      <c r="D56" s="34"/>
      <c r="E56" s="34" t="s">
        <v>50</v>
      </c>
      <c r="F56" s="39">
        <v>1</v>
      </c>
      <c r="G56" s="39">
        <f>G55/F55</f>
        <v>0.62210143961929554</v>
      </c>
      <c r="H56" s="39">
        <f>H55/F55</f>
        <v>0.62210143961929554</v>
      </c>
      <c r="I56" s="39">
        <f>I55/H55</f>
        <v>0.83893222544596513</v>
      </c>
      <c r="J56" s="39">
        <f>J55/H55</f>
        <v>0.83893222544596513</v>
      </c>
      <c r="K56" s="39">
        <f>K55/F55</f>
        <v>0.37789856038070452</v>
      </c>
    </row>
    <row r="57" spans="2:25" x14ac:dyDescent="0.2">
      <c r="D57" s="36" t="s">
        <v>203</v>
      </c>
      <c r="E57" s="34" t="s">
        <v>204</v>
      </c>
      <c r="F57" s="107">
        <f t="shared" ref="F57:K57" si="18">F18+F20+F21+F22+F23+F24+F16</f>
        <v>2432800182</v>
      </c>
      <c r="G57" s="107">
        <f t="shared" si="18"/>
        <v>2427064367</v>
      </c>
      <c r="H57" s="107">
        <f t="shared" si="18"/>
        <v>2427064367</v>
      </c>
      <c r="I57" s="107">
        <f t="shared" si="18"/>
        <v>2427064367</v>
      </c>
      <c r="J57" s="107">
        <f t="shared" si="18"/>
        <v>2351386975</v>
      </c>
      <c r="K57" s="107">
        <f t="shared" si="18"/>
        <v>5735815</v>
      </c>
    </row>
    <row r="58" spans="2:25" x14ac:dyDescent="0.2">
      <c r="D58" s="34"/>
      <c r="E58" s="34" t="s">
        <v>50</v>
      </c>
      <c r="F58" s="26">
        <v>1</v>
      </c>
      <c r="G58" s="39">
        <f>G57/F57</f>
        <v>0.99764229917342218</v>
      </c>
      <c r="H58" s="39">
        <f>H57/F57</f>
        <v>0.99764229917342218</v>
      </c>
      <c r="I58" s="39">
        <v>0</v>
      </c>
      <c r="J58" s="39">
        <v>0</v>
      </c>
      <c r="K58" s="39">
        <f>K57/F57</f>
        <v>2.3577008265777909E-3</v>
      </c>
    </row>
    <row r="59" spans="2:25" x14ac:dyDescent="0.2">
      <c r="D59" s="36" t="s">
        <v>205</v>
      </c>
      <c r="E59" s="34" t="s">
        <v>206</v>
      </c>
      <c r="F59" s="107">
        <f t="shared" ref="F59:K59" si="19">F26+F28</f>
        <v>636637204.07000005</v>
      </c>
      <c r="G59" s="107">
        <f t="shared" si="19"/>
        <v>534121651.06999999</v>
      </c>
      <c r="H59" s="107">
        <f t="shared" si="19"/>
        <v>534121651.06999999</v>
      </c>
      <c r="I59" s="107">
        <f t="shared" si="19"/>
        <v>376661651.06999999</v>
      </c>
      <c r="J59" s="107">
        <f t="shared" si="19"/>
        <v>376661651.06999999</v>
      </c>
      <c r="K59" s="107">
        <f t="shared" si="19"/>
        <v>102515553.00000006</v>
      </c>
    </row>
    <row r="60" spans="2:25" x14ac:dyDescent="0.2">
      <c r="D60" s="34"/>
      <c r="E60" s="34" t="s">
        <v>50</v>
      </c>
      <c r="F60" s="26">
        <v>1</v>
      </c>
      <c r="G60" s="39">
        <f>G59/F59</f>
        <v>0.83897335508414905</v>
      </c>
      <c r="H60" s="39">
        <f>H59/F59</f>
        <v>0.83897335508414905</v>
      </c>
      <c r="I60" s="39">
        <f>I59/H59</f>
        <v>0.70519824522267138</v>
      </c>
      <c r="J60" s="39">
        <f>J59/H59</f>
        <v>0.70519824522267138</v>
      </c>
      <c r="K60" s="39">
        <f>K59/F59</f>
        <v>0.16102664491585097</v>
      </c>
    </row>
    <row r="61" spans="2:25" x14ac:dyDescent="0.2">
      <c r="D61" s="36" t="s">
        <v>49</v>
      </c>
      <c r="E61" s="34" t="s">
        <v>82</v>
      </c>
      <c r="F61" s="107">
        <f t="shared" ref="F61:K61" si="20">F27+F31+F34+F25</f>
        <v>1538701078</v>
      </c>
      <c r="G61" s="107">
        <f t="shared" si="20"/>
        <v>1203756160.45</v>
      </c>
      <c r="H61" s="107">
        <f t="shared" si="20"/>
        <v>1203756160.45</v>
      </c>
      <c r="I61" s="107">
        <f t="shared" si="20"/>
        <v>1184463671.45</v>
      </c>
      <c r="J61" s="107">
        <f t="shared" si="20"/>
        <v>1184463671.45</v>
      </c>
      <c r="K61" s="107">
        <f t="shared" si="20"/>
        <v>334944917.55000001</v>
      </c>
    </row>
    <row r="62" spans="2:25" x14ac:dyDescent="0.2">
      <c r="D62" s="34"/>
      <c r="E62" s="34" t="s">
        <v>50</v>
      </c>
      <c r="F62" s="26">
        <v>1</v>
      </c>
      <c r="G62" s="39">
        <f>G61/F61</f>
        <v>0.78231969656812061</v>
      </c>
      <c r="H62" s="39">
        <f>H61/F61</f>
        <v>0.78231969656812061</v>
      </c>
      <c r="I62" s="39">
        <f>I61/H61</f>
        <v>0.98397309219768569</v>
      </c>
      <c r="J62" s="39">
        <f>J61/H61</f>
        <v>0.98397309219768569</v>
      </c>
      <c r="K62" s="39">
        <f>K61/F61</f>
        <v>0.21768030343187944</v>
      </c>
    </row>
    <row r="63" spans="2:25" x14ac:dyDescent="0.2">
      <c r="D63" s="36">
        <v>128</v>
      </c>
      <c r="E63" s="34" t="s">
        <v>207</v>
      </c>
      <c r="F63" s="107">
        <f t="shared" ref="F63:K63" si="21">F30</f>
        <v>128000000</v>
      </c>
      <c r="G63" s="107">
        <f t="shared" si="21"/>
        <v>127997027</v>
      </c>
      <c r="H63" s="107">
        <f t="shared" si="21"/>
        <v>127997027</v>
      </c>
      <c r="I63" s="107">
        <f t="shared" si="21"/>
        <v>127997027</v>
      </c>
      <c r="J63" s="107">
        <f t="shared" si="21"/>
        <v>127997027</v>
      </c>
      <c r="K63" s="107">
        <f t="shared" si="21"/>
        <v>2973</v>
      </c>
    </row>
    <row r="64" spans="2:25" s="130" customFormat="1" x14ac:dyDescent="0.2">
      <c r="B64" s="134"/>
      <c r="D64" s="477"/>
      <c r="E64" s="133" t="s">
        <v>50</v>
      </c>
      <c r="F64" s="88">
        <v>1</v>
      </c>
      <c r="G64" s="88">
        <f>G61/F61</f>
        <v>0.78231969656812061</v>
      </c>
      <c r="H64" s="88">
        <f>H61/F61</f>
        <v>0.78231969656812061</v>
      </c>
      <c r="I64" s="88">
        <v>0</v>
      </c>
      <c r="J64" s="88">
        <v>0</v>
      </c>
      <c r="K64" s="114">
        <f>K61/F61</f>
        <v>0.21768030343187944</v>
      </c>
      <c r="P64" s="129"/>
      <c r="Q64" s="129"/>
      <c r="R64" s="129"/>
      <c r="S64" s="129"/>
      <c r="T64" s="129"/>
      <c r="U64" s="129"/>
      <c r="V64" s="129"/>
      <c r="W64" s="129"/>
      <c r="X64" s="129"/>
      <c r="Y64" s="129"/>
    </row>
    <row r="65" spans="2:25" s="130" customFormat="1" x14ac:dyDescent="0.2">
      <c r="B65" s="134"/>
      <c r="D65" s="477">
        <v>56</v>
      </c>
      <c r="E65" s="133" t="s">
        <v>491</v>
      </c>
      <c r="F65" s="107">
        <f t="shared" ref="F65:K65" si="22">F32</f>
        <v>56061566</v>
      </c>
      <c r="G65" s="107">
        <f t="shared" si="22"/>
        <v>56061566</v>
      </c>
      <c r="H65" s="107">
        <f t="shared" si="22"/>
        <v>56061566</v>
      </c>
      <c r="I65" s="107">
        <f t="shared" si="22"/>
        <v>56061566</v>
      </c>
      <c r="J65" s="107">
        <f t="shared" si="22"/>
        <v>56061566</v>
      </c>
      <c r="K65" s="107">
        <f t="shared" si="22"/>
        <v>0</v>
      </c>
      <c r="P65" s="129"/>
      <c r="Q65" s="129"/>
      <c r="R65" s="129"/>
      <c r="S65" s="129"/>
      <c r="T65" s="129"/>
      <c r="U65" s="129"/>
      <c r="V65" s="129"/>
      <c r="W65" s="129"/>
      <c r="X65" s="129"/>
      <c r="Y65" s="129"/>
    </row>
    <row r="66" spans="2:25" x14ac:dyDescent="0.2">
      <c r="D66" s="34"/>
      <c r="E66" s="34" t="s">
        <v>50</v>
      </c>
      <c r="F66" s="88">
        <v>1</v>
      </c>
      <c r="G66" s="88">
        <f>G63/F63</f>
        <v>0.99997677343750002</v>
      </c>
      <c r="H66" s="88">
        <f>H63/F63</f>
        <v>0.99997677343750002</v>
      </c>
      <c r="I66" s="88">
        <v>0</v>
      </c>
      <c r="J66" s="88">
        <v>0</v>
      </c>
      <c r="K66" s="114">
        <f>K63/F63</f>
        <v>2.32265625E-5</v>
      </c>
    </row>
    <row r="67" spans="2:25" s="116" customFormat="1" x14ac:dyDescent="0.2">
      <c r="B67" s="115"/>
      <c r="D67" s="117"/>
      <c r="E67" s="117" t="s">
        <v>134</v>
      </c>
      <c r="F67" s="118">
        <f>F55+F57+F61+F59+F63+F65</f>
        <v>14676320577.279999</v>
      </c>
      <c r="G67" s="118">
        <f t="shared" ref="G67:K67" si="23">G55+G57+G61+G59+G63+G65</f>
        <v>10497926393.309999</v>
      </c>
      <c r="H67" s="118">
        <f t="shared" si="23"/>
        <v>10497926393.309999</v>
      </c>
      <c r="I67" s="118">
        <f t="shared" si="23"/>
        <v>9330780138.5100002</v>
      </c>
      <c r="J67" s="118">
        <f t="shared" si="23"/>
        <v>9255102746.5100002</v>
      </c>
      <c r="K67" s="118">
        <f t="shared" si="23"/>
        <v>4178394183.9700003</v>
      </c>
      <c r="P67" s="175"/>
      <c r="Q67" s="175"/>
      <c r="R67" s="175"/>
      <c r="S67" s="175"/>
      <c r="T67" s="175"/>
      <c r="U67" s="175"/>
      <c r="V67" s="175"/>
      <c r="W67" s="175"/>
      <c r="X67" s="175"/>
      <c r="Y67" s="175"/>
    </row>
    <row r="68" spans="2:25" x14ac:dyDescent="0.2">
      <c r="D68" s="34"/>
      <c r="E68" s="34" t="s">
        <v>50</v>
      </c>
      <c r="F68" s="39">
        <v>1</v>
      </c>
      <c r="G68" s="66">
        <f>G67/F67</f>
        <v>0.71529688507632805</v>
      </c>
      <c r="H68" s="66">
        <f>H67/F67</f>
        <v>0.71529688507632805</v>
      </c>
      <c r="I68" s="66">
        <f>I67/H67</f>
        <v>0.88882125754436747</v>
      </c>
      <c r="J68" s="66">
        <f>J67/H67</f>
        <v>0.88161246323921527</v>
      </c>
      <c r="K68" s="66">
        <f>K67/F67</f>
        <v>0.28470311492367206</v>
      </c>
    </row>
    <row r="69" spans="2:25" x14ac:dyDescent="0.2">
      <c r="F69" s="110"/>
      <c r="G69" s="110"/>
      <c r="H69" s="110"/>
      <c r="I69" s="110"/>
      <c r="J69" s="110"/>
      <c r="K69" s="110"/>
    </row>
    <row r="106" spans="4:13" x14ac:dyDescent="0.2">
      <c r="D106" s="221" t="s">
        <v>332</v>
      </c>
      <c r="E106" s="222" t="s">
        <v>329</v>
      </c>
      <c r="F106" s="222" t="s">
        <v>39</v>
      </c>
      <c r="G106" s="100" t="s">
        <v>40</v>
      </c>
      <c r="H106" s="227" t="s">
        <v>41</v>
      </c>
      <c r="I106" s="227" t="s">
        <v>42</v>
      </c>
      <c r="J106" s="228" t="s">
        <v>330</v>
      </c>
      <c r="K106" s="228" t="s">
        <v>331</v>
      </c>
      <c r="L106" s="229" t="s">
        <v>45</v>
      </c>
      <c r="M106" s="229" t="s">
        <v>301</v>
      </c>
    </row>
    <row r="107" spans="4:13" x14ac:dyDescent="0.2">
      <c r="D107" s="86" t="s">
        <v>333</v>
      </c>
      <c r="E107" s="38">
        <f>F15+F16+F19+F20+F21+F22+F23+F24+F25+F26+F29+F31+F32</f>
        <v>10379686018.280001</v>
      </c>
      <c r="F107" s="38">
        <f>G15+G16+G19+G20+G21+G22+G23+G24+G25+G26+G29+G31+G32</f>
        <v>7671431331.0600004</v>
      </c>
      <c r="G107" s="82">
        <f>F107/E107</f>
        <v>0.73908125135477076</v>
      </c>
      <c r="H107" s="38">
        <f>H15+H16+H19+H20+H21+H22+H23+H24+H25+H26+H29+H31+H32</f>
        <v>7671431331.0600004</v>
      </c>
      <c r="I107" s="230">
        <f>H107/F107</f>
        <v>1</v>
      </c>
      <c r="J107" s="23">
        <f>F107-H107</f>
        <v>0</v>
      </c>
      <c r="K107" s="142">
        <f>J107/F107</f>
        <v>0</v>
      </c>
      <c r="L107" s="57">
        <f>E107-F107</f>
        <v>2708254687.2200003</v>
      </c>
      <c r="M107" s="82">
        <f>L107/E107</f>
        <v>0.26091874864522929</v>
      </c>
    </row>
    <row r="108" spans="4:13" x14ac:dyDescent="0.2">
      <c r="D108" s="86" t="s">
        <v>328</v>
      </c>
      <c r="E108" s="38">
        <f>F17+F18+F27+F28+F30+F33+F34</f>
        <v>4296634559</v>
      </c>
      <c r="F108" s="38">
        <f>G17+G18+G27+G28+G30+G33+G34</f>
        <v>2826495062.25</v>
      </c>
      <c r="G108" s="82">
        <f>F108/E108</f>
        <v>0.65783929804536123</v>
      </c>
      <c r="H108" s="226">
        <f>H17+H18+H27+H28+H30+H33+H34</f>
        <v>2826495062.25</v>
      </c>
      <c r="I108" s="230">
        <f>H108/F108</f>
        <v>1</v>
      </c>
      <c r="J108" s="23">
        <f>F108-H108</f>
        <v>0</v>
      </c>
      <c r="K108" s="142">
        <f>J108/F108</f>
        <v>0</v>
      </c>
      <c r="L108" s="57">
        <f>E108-F108</f>
        <v>1470139496.75</v>
      </c>
      <c r="M108" s="82">
        <f>L108/E108</f>
        <v>0.34216070195463882</v>
      </c>
    </row>
    <row r="109" spans="4:13" x14ac:dyDescent="0.2">
      <c r="D109" s="231" t="s">
        <v>134</v>
      </c>
      <c r="E109" s="118">
        <f>SUBTOTAL(9,E107:E108)</f>
        <v>14676320577.280001</v>
      </c>
      <c r="F109" s="118">
        <f>SUBTOTAL(9,F107:F108)</f>
        <v>10497926393.310001</v>
      </c>
      <c r="G109" s="232">
        <f>F109/E109</f>
        <v>0.71529688507632805</v>
      </c>
      <c r="H109" s="118">
        <f>SUBTOTAL(9,H107:H108)</f>
        <v>10497926393.310001</v>
      </c>
      <c r="I109" s="233">
        <f>H109/F109</f>
        <v>1</v>
      </c>
      <c r="J109" s="118">
        <f>SUBTOTAL(9,J107:J108)</f>
        <v>0</v>
      </c>
      <c r="K109" s="234">
        <f>J109/F109</f>
        <v>0</v>
      </c>
      <c r="L109" s="118">
        <f>SUBTOTAL(9,L107:L108)</f>
        <v>4178394183.9700003</v>
      </c>
      <c r="M109" s="232">
        <f>L109/E109</f>
        <v>0.28470311492367201</v>
      </c>
    </row>
    <row r="110" spans="4:13" x14ac:dyDescent="0.2">
      <c r="E110" s="110">
        <f>E109-F67</f>
        <v>0</v>
      </c>
      <c r="F110" s="110">
        <f>F109-G67</f>
        <v>0</v>
      </c>
      <c r="H110" s="110">
        <f>H109-H67</f>
        <v>0</v>
      </c>
    </row>
    <row r="114" spans="4:5" x14ac:dyDescent="0.2">
      <c r="D114" s="517" t="s">
        <v>499</v>
      </c>
      <c r="E114" s="518"/>
    </row>
    <row r="115" spans="4:5" x14ac:dyDescent="0.2">
      <c r="D115" s="519"/>
      <c r="E115" s="520"/>
    </row>
    <row r="116" spans="4:5" x14ac:dyDescent="0.2">
      <c r="D116" s="519"/>
      <c r="E116" s="520"/>
    </row>
    <row r="117" spans="4:5" x14ac:dyDescent="0.2">
      <c r="D117" s="519"/>
      <c r="E117" s="520"/>
    </row>
    <row r="118" spans="4:5" x14ac:dyDescent="0.2">
      <c r="D118" s="519"/>
      <c r="E118" s="520"/>
    </row>
    <row r="119" spans="4:5" x14ac:dyDescent="0.2">
      <c r="D119" s="519"/>
      <c r="E119" s="520"/>
    </row>
    <row r="120" spans="4:5" x14ac:dyDescent="0.2">
      <c r="D120" s="519"/>
      <c r="E120" s="520"/>
    </row>
    <row r="121" spans="4:5" x14ac:dyDescent="0.2">
      <c r="D121" s="521"/>
      <c r="E121" s="522"/>
    </row>
  </sheetData>
  <autoFilter ref="A14:Y38"/>
  <mergeCells count="17">
    <mergeCell ref="D114:E121"/>
    <mergeCell ref="A9:A14"/>
    <mergeCell ref="B9:B14"/>
    <mergeCell ref="C9:C14"/>
    <mergeCell ref="D9:D14"/>
    <mergeCell ref="E9:E14"/>
    <mergeCell ref="K9:K14"/>
    <mergeCell ref="D1:K2"/>
    <mergeCell ref="D3:K4"/>
    <mergeCell ref="B5:L5"/>
    <mergeCell ref="B6:L6"/>
    <mergeCell ref="B7:L7"/>
    <mergeCell ref="F9:F14"/>
    <mergeCell ref="G9:G14"/>
    <mergeCell ref="H9:H14"/>
    <mergeCell ref="I9:I14"/>
    <mergeCell ref="J9:J14"/>
  </mergeCells>
  <conditionalFormatting sqref="L15:L36">
    <cfRule type="cellIs" dxfId="29" priority="13" operator="between">
      <formula>0.4</formula>
      <formula>0.5999</formula>
    </cfRule>
    <cfRule type="cellIs" dxfId="28" priority="14" operator="between">
      <formula>0</formula>
      <formula>0.39</formula>
    </cfRule>
    <cfRule type="cellIs" dxfId="27" priority="15" operator="between">
      <formula>0.4</formula>
      <formula>0.59</formula>
    </cfRule>
    <cfRule type="cellIs" dxfId="26" priority="16" operator="between">
      <formula>0.6</formula>
      <formula>0.695</formula>
    </cfRule>
    <cfRule type="cellIs" dxfId="25" priority="17" operator="between">
      <formula>0.7</formula>
      <formula>0.79</formula>
    </cfRule>
    <cfRule type="cellIs" dxfId="24" priority="18" operator="between">
      <formula>0.8</formula>
      <formula>1</formula>
    </cfRule>
  </conditionalFormatting>
  <pageMargins left="0.7" right="0.7" top="0.75" bottom="0.75" header="0.3" footer="0.3"/>
  <pageSetup scale="3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showGridLines="0" topLeftCell="F6" zoomScale="80" zoomScaleNormal="80" workbookViewId="0">
      <pane ySplit="9" topLeftCell="A27" activePane="bottomLeft" state="frozen"/>
      <selection activeCell="B6" sqref="B6"/>
      <selection pane="bottomLeft" activeCell="K34" sqref="K34"/>
    </sheetView>
  </sheetViews>
  <sheetFormatPr baseColWidth="10" defaultColWidth="11.42578125" defaultRowHeight="12.75" x14ac:dyDescent="0.2"/>
  <cols>
    <col min="1" max="1" width="8.140625" style="7" customWidth="1"/>
    <col min="2" max="2" width="20.7109375" style="35" customWidth="1"/>
    <col min="3" max="3" width="31.7109375" style="7" customWidth="1"/>
    <col min="4" max="4" width="40.7109375" style="7" customWidth="1"/>
    <col min="5" max="5" width="17" style="7" customWidth="1"/>
    <col min="6" max="6" width="24.140625" style="7" customWidth="1"/>
    <col min="7" max="7" width="23.140625" style="7" customWidth="1"/>
    <col min="8" max="8" width="24.7109375" style="7" customWidth="1"/>
    <col min="9" max="9" width="24.5703125" style="7" customWidth="1"/>
    <col min="10" max="10" width="24.7109375" style="7" customWidth="1"/>
    <col min="11" max="11" width="23.42578125" style="7" customWidth="1"/>
    <col min="12" max="12" width="30.140625" style="7" customWidth="1"/>
    <col min="13" max="16384" width="11.42578125" style="7"/>
  </cols>
  <sheetData>
    <row r="1" spans="1:21" ht="31.5" customHeight="1" x14ac:dyDescent="0.2">
      <c r="A1" s="1"/>
      <c r="B1" s="2"/>
      <c r="C1" s="3"/>
      <c r="D1" s="505" t="s">
        <v>0</v>
      </c>
      <c r="E1" s="506"/>
      <c r="F1" s="506"/>
      <c r="G1" s="506"/>
      <c r="H1" s="506"/>
      <c r="I1" s="506"/>
      <c r="J1" s="506"/>
      <c r="K1" s="506"/>
      <c r="L1" s="4" t="s">
        <v>1</v>
      </c>
      <c r="M1" s="5"/>
      <c r="N1" s="6"/>
    </row>
    <row r="2" spans="1:21" ht="21.75" customHeight="1" x14ac:dyDescent="0.2">
      <c r="A2" s="1"/>
      <c r="B2" s="8"/>
      <c r="C2" s="1"/>
      <c r="D2" s="507"/>
      <c r="E2" s="508"/>
      <c r="F2" s="508"/>
      <c r="G2" s="508"/>
      <c r="H2" s="508"/>
      <c r="I2" s="508"/>
      <c r="J2" s="508"/>
      <c r="K2" s="508"/>
      <c r="L2" s="9" t="s">
        <v>2</v>
      </c>
      <c r="M2" s="5"/>
      <c r="N2" s="6"/>
    </row>
    <row r="3" spans="1:21" ht="21.75" customHeight="1" x14ac:dyDescent="0.2">
      <c r="A3" s="1"/>
      <c r="B3" s="8"/>
      <c r="C3" s="1"/>
      <c r="D3" s="509" t="s">
        <v>3</v>
      </c>
      <c r="E3" s="510"/>
      <c r="F3" s="510"/>
      <c r="G3" s="510"/>
      <c r="H3" s="510"/>
      <c r="I3" s="510"/>
      <c r="J3" s="510"/>
      <c r="K3" s="510"/>
      <c r="L3" s="10" t="s">
        <v>4</v>
      </c>
      <c r="M3" s="5"/>
      <c r="N3" s="6"/>
    </row>
    <row r="4" spans="1:21" ht="31.5" customHeight="1" x14ac:dyDescent="0.2">
      <c r="A4" s="1"/>
      <c r="B4" s="11"/>
      <c r="C4" s="12"/>
      <c r="D4" s="511"/>
      <c r="E4" s="512"/>
      <c r="F4" s="512"/>
      <c r="G4" s="512"/>
      <c r="H4" s="512"/>
      <c r="I4" s="512"/>
      <c r="J4" s="512"/>
      <c r="K4" s="512"/>
      <c r="L4" s="4" t="s">
        <v>5</v>
      </c>
      <c r="M4" s="5"/>
      <c r="N4" s="6"/>
    </row>
    <row r="5" spans="1:21" ht="24.75" customHeight="1" x14ac:dyDescent="0.2">
      <c r="A5" s="13"/>
      <c r="B5" s="513" t="s">
        <v>208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"/>
      <c r="N5" s="5"/>
      <c r="O5" s="6"/>
      <c r="P5" s="6"/>
    </row>
    <row r="6" spans="1:21" ht="24.75" customHeight="1" x14ac:dyDescent="0.2">
      <c r="A6" s="13"/>
      <c r="B6" s="513" t="s">
        <v>209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"/>
      <c r="N6" s="5"/>
      <c r="O6" s="6"/>
      <c r="P6" s="6"/>
    </row>
    <row r="7" spans="1:21" ht="24.75" customHeight="1" x14ac:dyDescent="0.2">
      <c r="A7" s="13"/>
      <c r="B7" s="513" t="s">
        <v>500</v>
      </c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"/>
      <c r="N7" s="5"/>
      <c r="O7" s="6"/>
      <c r="P7" s="6"/>
    </row>
    <row r="8" spans="1:21" x14ac:dyDescent="0.2">
      <c r="A8" s="14"/>
      <c r="B8" s="47"/>
      <c r="C8" s="47"/>
      <c r="D8" s="47"/>
      <c r="E8" s="47"/>
      <c r="F8" s="47"/>
      <c r="G8" s="47"/>
      <c r="H8" s="47"/>
      <c r="I8" s="119" t="s">
        <v>7</v>
      </c>
      <c r="J8" s="47"/>
      <c r="K8" s="47"/>
      <c r="L8" s="51"/>
      <c r="M8" s="15"/>
      <c r="N8" s="16"/>
      <c r="O8" s="6"/>
      <c r="P8" s="6"/>
    </row>
    <row r="9" spans="1:21" ht="15" customHeight="1" x14ac:dyDescent="0.2">
      <c r="A9" s="523"/>
      <c r="B9" s="524" t="s">
        <v>8</v>
      </c>
      <c r="C9" s="524" t="s">
        <v>9</v>
      </c>
      <c r="D9" s="524" t="s">
        <v>10</v>
      </c>
      <c r="E9" s="524" t="s">
        <v>11</v>
      </c>
      <c r="F9" s="524" t="s">
        <v>12</v>
      </c>
      <c r="G9" s="524" t="s">
        <v>13</v>
      </c>
      <c r="H9" s="524" t="s">
        <v>14</v>
      </c>
      <c r="I9" s="531" t="s">
        <v>15</v>
      </c>
      <c r="J9" s="524" t="s">
        <v>16</v>
      </c>
      <c r="K9" s="524" t="s">
        <v>17</v>
      </c>
      <c r="L9" s="48" t="s">
        <v>18</v>
      </c>
    </row>
    <row r="10" spans="1:21" ht="15" customHeight="1" x14ac:dyDescent="0.2">
      <c r="A10" s="523"/>
      <c r="B10" s="524"/>
      <c r="C10" s="524"/>
      <c r="D10" s="524"/>
      <c r="E10" s="524"/>
      <c r="F10" s="524"/>
      <c r="G10" s="524"/>
      <c r="H10" s="524"/>
      <c r="I10" s="532"/>
      <c r="J10" s="524"/>
      <c r="K10" s="524"/>
      <c r="L10" s="49" t="s">
        <v>19</v>
      </c>
    </row>
    <row r="11" spans="1:21" ht="15" customHeight="1" x14ac:dyDescent="0.2">
      <c r="A11" s="523"/>
      <c r="B11" s="524"/>
      <c r="C11" s="524"/>
      <c r="D11" s="524"/>
      <c r="E11" s="524"/>
      <c r="F11" s="524"/>
      <c r="G11" s="524"/>
      <c r="H11" s="524"/>
      <c r="I11" s="532"/>
      <c r="J11" s="524"/>
      <c r="K11" s="524"/>
      <c r="L11" s="49" t="s">
        <v>20</v>
      </c>
    </row>
    <row r="12" spans="1:21" ht="15" customHeight="1" x14ac:dyDescent="0.2">
      <c r="A12" s="523"/>
      <c r="B12" s="524"/>
      <c r="C12" s="524"/>
      <c r="D12" s="524"/>
      <c r="E12" s="524"/>
      <c r="F12" s="524"/>
      <c r="G12" s="524"/>
      <c r="H12" s="524"/>
      <c r="I12" s="532"/>
      <c r="J12" s="524"/>
      <c r="K12" s="524"/>
      <c r="L12" s="49" t="s">
        <v>53</v>
      </c>
    </row>
    <row r="13" spans="1:21" ht="15" customHeight="1" x14ac:dyDescent="0.2">
      <c r="A13" s="523"/>
      <c r="B13" s="524"/>
      <c r="C13" s="524"/>
      <c r="D13" s="524"/>
      <c r="E13" s="524"/>
      <c r="F13" s="524"/>
      <c r="G13" s="524"/>
      <c r="H13" s="524"/>
      <c r="I13" s="532"/>
      <c r="J13" s="524"/>
      <c r="K13" s="524"/>
      <c r="L13" s="49" t="s">
        <v>22</v>
      </c>
    </row>
    <row r="14" spans="1:21" ht="15" customHeight="1" x14ac:dyDescent="0.2">
      <c r="A14" s="523"/>
      <c r="B14" s="524"/>
      <c r="C14" s="524"/>
      <c r="D14" s="524"/>
      <c r="E14" s="524"/>
      <c r="F14" s="524"/>
      <c r="G14" s="524"/>
      <c r="H14" s="524"/>
      <c r="I14" s="533"/>
      <c r="J14" s="524"/>
      <c r="K14" s="524"/>
      <c r="L14" s="50" t="s">
        <v>54</v>
      </c>
    </row>
    <row r="15" spans="1:21" ht="44.25" customHeight="1" x14ac:dyDescent="0.2">
      <c r="B15" s="17">
        <v>20</v>
      </c>
      <c r="C15" s="18" t="s">
        <v>210</v>
      </c>
      <c r="D15" s="18" t="s">
        <v>211</v>
      </c>
      <c r="E15" s="18" t="s">
        <v>57</v>
      </c>
      <c r="F15" s="453">
        <v>30000000</v>
      </c>
      <c r="G15" s="120">
        <v>28101812</v>
      </c>
      <c r="H15" s="120">
        <v>28101812</v>
      </c>
      <c r="I15" s="120">
        <v>28101812</v>
      </c>
      <c r="J15" s="120">
        <v>28101812</v>
      </c>
      <c r="K15" s="454">
        <f t="shared" ref="K15:K31" si="0">F15-G15</f>
        <v>1898188</v>
      </c>
      <c r="L15" s="20">
        <f t="shared" ref="L15:L29" si="1">H15/F15</f>
        <v>0.93672706666666672</v>
      </c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46.5" customHeight="1" x14ac:dyDescent="0.2">
      <c r="B16" s="17">
        <v>42</v>
      </c>
      <c r="C16" s="18" t="s">
        <v>212</v>
      </c>
      <c r="D16" s="101" t="s">
        <v>211</v>
      </c>
      <c r="E16" s="18" t="s">
        <v>213</v>
      </c>
      <c r="F16" s="453">
        <v>1228643203.0999999</v>
      </c>
      <c r="G16" s="120">
        <v>859312439</v>
      </c>
      <c r="H16" s="120">
        <v>859312439</v>
      </c>
      <c r="I16" s="120">
        <v>730485200</v>
      </c>
      <c r="J16" s="120">
        <v>730485200</v>
      </c>
      <c r="K16" s="454">
        <f t="shared" si="0"/>
        <v>369330764.0999999</v>
      </c>
      <c r="L16" s="20">
        <f t="shared" si="1"/>
        <v>0.69939949761807307</v>
      </c>
      <c r="M16" s="21"/>
      <c r="N16" s="21"/>
      <c r="O16" s="21"/>
      <c r="P16" s="21"/>
      <c r="Q16" s="21"/>
      <c r="R16" s="21"/>
      <c r="S16" s="21"/>
      <c r="T16" s="21"/>
      <c r="U16" s="21"/>
    </row>
    <row r="17" spans="2:21" ht="60" customHeight="1" x14ac:dyDescent="0.2">
      <c r="B17" s="17">
        <v>88</v>
      </c>
      <c r="C17" s="18" t="s">
        <v>214</v>
      </c>
      <c r="D17" s="18" t="s">
        <v>211</v>
      </c>
      <c r="E17" s="18" t="s">
        <v>63</v>
      </c>
      <c r="F17" s="453">
        <v>50000000</v>
      </c>
      <c r="G17" s="120">
        <v>49882223</v>
      </c>
      <c r="H17" s="120">
        <v>49882223</v>
      </c>
      <c r="I17" s="120">
        <v>49882223</v>
      </c>
      <c r="J17" s="120">
        <v>49882223</v>
      </c>
      <c r="K17" s="454">
        <f t="shared" si="0"/>
        <v>117777</v>
      </c>
      <c r="L17" s="20">
        <f t="shared" si="1"/>
        <v>0.99764445999999996</v>
      </c>
      <c r="M17" s="21"/>
      <c r="N17" s="21"/>
      <c r="O17" s="21"/>
      <c r="P17" s="21"/>
      <c r="Q17" s="21"/>
      <c r="R17" s="21"/>
      <c r="S17" s="21"/>
      <c r="T17" s="21"/>
      <c r="U17" s="21"/>
    </row>
    <row r="18" spans="2:21" ht="56.25" customHeight="1" x14ac:dyDescent="0.2">
      <c r="B18" s="17">
        <v>92</v>
      </c>
      <c r="C18" s="18" t="s">
        <v>215</v>
      </c>
      <c r="D18" s="18" t="s">
        <v>211</v>
      </c>
      <c r="E18" s="18" t="s">
        <v>216</v>
      </c>
      <c r="F18" s="453">
        <v>7458631612</v>
      </c>
      <c r="G18" s="120">
        <v>3655721957</v>
      </c>
      <c r="H18" s="120">
        <v>3655721957</v>
      </c>
      <c r="I18" s="120">
        <v>3655721957</v>
      </c>
      <c r="J18" s="120">
        <v>3655721957</v>
      </c>
      <c r="K18" s="454">
        <f t="shared" si="0"/>
        <v>3802909655</v>
      </c>
      <c r="L18" s="20">
        <f t="shared" si="1"/>
        <v>0.49013306289566616</v>
      </c>
      <c r="M18" s="21"/>
      <c r="N18" s="21"/>
      <c r="O18" s="21"/>
      <c r="P18" s="21"/>
      <c r="Q18" s="21"/>
      <c r="R18" s="21"/>
      <c r="S18" s="21"/>
      <c r="T18" s="21"/>
      <c r="U18" s="21"/>
    </row>
    <row r="19" spans="2:21" ht="51" customHeight="1" x14ac:dyDescent="0.2">
      <c r="B19" s="17">
        <v>20</v>
      </c>
      <c r="C19" s="18" t="s">
        <v>217</v>
      </c>
      <c r="D19" s="18" t="s">
        <v>218</v>
      </c>
      <c r="E19" s="18" t="s">
        <v>57</v>
      </c>
      <c r="F19" s="453">
        <v>180000000</v>
      </c>
      <c r="G19" s="120">
        <v>130643285</v>
      </c>
      <c r="H19" s="120">
        <v>130643285</v>
      </c>
      <c r="I19" s="120">
        <v>128643285</v>
      </c>
      <c r="J19" s="120">
        <v>128643285</v>
      </c>
      <c r="K19" s="454">
        <f t="shared" si="0"/>
        <v>49356715</v>
      </c>
      <c r="L19" s="56">
        <f t="shared" si="1"/>
        <v>0.72579602777777774</v>
      </c>
      <c r="M19" s="21"/>
      <c r="N19" s="21"/>
      <c r="O19" s="21"/>
      <c r="P19" s="21"/>
      <c r="Q19" s="21"/>
      <c r="R19" s="21"/>
      <c r="S19" s="21"/>
      <c r="T19" s="21"/>
      <c r="U19" s="21"/>
    </row>
    <row r="20" spans="2:21" ht="68.25" customHeight="1" x14ac:dyDescent="0.2">
      <c r="B20" s="17">
        <v>42</v>
      </c>
      <c r="C20" s="18" t="s">
        <v>219</v>
      </c>
      <c r="D20" s="18" t="s">
        <v>218</v>
      </c>
      <c r="E20" s="18" t="s">
        <v>213</v>
      </c>
      <c r="F20" s="453">
        <v>458000000</v>
      </c>
      <c r="G20" s="120">
        <v>363527280</v>
      </c>
      <c r="H20" s="120">
        <v>363527280</v>
      </c>
      <c r="I20" s="120">
        <v>363527280</v>
      </c>
      <c r="J20" s="120">
        <v>363527280</v>
      </c>
      <c r="K20" s="454">
        <f t="shared" si="0"/>
        <v>94472720</v>
      </c>
      <c r="L20" s="20">
        <f t="shared" si="1"/>
        <v>0.79372768558951967</v>
      </c>
      <c r="M20" s="21"/>
      <c r="N20" s="21"/>
      <c r="O20" s="21"/>
      <c r="P20" s="21"/>
      <c r="Q20" s="21"/>
      <c r="R20" s="21"/>
      <c r="S20" s="21"/>
      <c r="T20" s="21"/>
      <c r="U20" s="21"/>
    </row>
    <row r="21" spans="2:21" ht="78.75" customHeight="1" x14ac:dyDescent="0.2">
      <c r="B21" s="17">
        <v>20</v>
      </c>
      <c r="C21" s="18" t="s">
        <v>220</v>
      </c>
      <c r="D21" s="18" t="s">
        <v>221</v>
      </c>
      <c r="E21" s="18" t="s">
        <v>57</v>
      </c>
      <c r="F21" s="453">
        <v>440189776</v>
      </c>
      <c r="G21" s="120">
        <v>245193971</v>
      </c>
      <c r="H21" s="120">
        <v>245193971</v>
      </c>
      <c r="I21" s="120">
        <v>242355695</v>
      </c>
      <c r="J21" s="120">
        <v>242355695</v>
      </c>
      <c r="K21" s="454">
        <f t="shared" si="0"/>
        <v>194995805</v>
      </c>
      <c r="L21" s="20">
        <f t="shared" si="1"/>
        <v>0.55701877773735475</v>
      </c>
      <c r="M21" s="21"/>
      <c r="N21" s="21"/>
      <c r="O21" s="21"/>
      <c r="P21" s="21"/>
      <c r="Q21" s="21"/>
      <c r="R21" s="21"/>
      <c r="S21" s="21"/>
      <c r="T21" s="21"/>
      <c r="U21" s="21"/>
    </row>
    <row r="22" spans="2:21" ht="78.75" customHeight="1" x14ac:dyDescent="0.2">
      <c r="B22" s="17">
        <v>88</v>
      </c>
      <c r="C22" s="18" t="s">
        <v>222</v>
      </c>
      <c r="D22" s="18" t="s">
        <v>221</v>
      </c>
      <c r="E22" s="52" t="s">
        <v>63</v>
      </c>
      <c r="F22" s="453">
        <v>187000000</v>
      </c>
      <c r="G22" s="120">
        <v>132793333</v>
      </c>
      <c r="H22" s="120">
        <v>132793333</v>
      </c>
      <c r="I22" s="120">
        <v>132793333</v>
      </c>
      <c r="J22" s="120">
        <v>132793333</v>
      </c>
      <c r="K22" s="454">
        <f t="shared" si="0"/>
        <v>54206667</v>
      </c>
      <c r="L22" s="20">
        <f t="shared" si="1"/>
        <v>0.71012477540106955</v>
      </c>
      <c r="M22" s="21"/>
      <c r="N22" s="21"/>
      <c r="O22" s="21"/>
      <c r="P22" s="21"/>
      <c r="Q22" s="21"/>
      <c r="R22" s="21"/>
      <c r="S22" s="21"/>
      <c r="T22" s="21"/>
      <c r="U22" s="21"/>
    </row>
    <row r="23" spans="2:21" ht="84" customHeight="1" x14ac:dyDescent="0.2">
      <c r="B23" s="17">
        <v>20</v>
      </c>
      <c r="C23" s="18" t="s">
        <v>223</v>
      </c>
      <c r="D23" s="18" t="s">
        <v>224</v>
      </c>
      <c r="E23" s="52" t="s">
        <v>57</v>
      </c>
      <c r="F23" s="453">
        <v>37080000</v>
      </c>
      <c r="G23" s="120">
        <v>36984900</v>
      </c>
      <c r="H23" s="120">
        <v>36984900</v>
      </c>
      <c r="I23" s="120">
        <v>36984900</v>
      </c>
      <c r="J23" s="120">
        <v>36984900</v>
      </c>
      <c r="K23" s="454">
        <f t="shared" si="0"/>
        <v>95100</v>
      </c>
      <c r="L23" s="20">
        <f t="shared" si="1"/>
        <v>0.99743527508090613</v>
      </c>
      <c r="M23" s="21"/>
      <c r="N23" s="21"/>
      <c r="O23" s="21"/>
      <c r="P23" s="21"/>
      <c r="Q23" s="21"/>
      <c r="R23" s="21"/>
      <c r="S23" s="21"/>
      <c r="T23" s="21"/>
      <c r="U23" s="21"/>
    </row>
    <row r="24" spans="2:21" ht="61.5" customHeight="1" x14ac:dyDescent="0.2">
      <c r="B24" s="17">
        <v>20</v>
      </c>
      <c r="C24" s="18" t="s">
        <v>225</v>
      </c>
      <c r="D24" s="18" t="s">
        <v>226</v>
      </c>
      <c r="E24" s="52" t="s">
        <v>57</v>
      </c>
      <c r="F24" s="453">
        <v>37080000</v>
      </c>
      <c r="G24" s="120">
        <v>36730000</v>
      </c>
      <c r="H24" s="120">
        <v>36730000</v>
      </c>
      <c r="I24" s="120">
        <v>36730000</v>
      </c>
      <c r="J24" s="120">
        <v>36730000</v>
      </c>
      <c r="K24" s="454">
        <f t="shared" si="0"/>
        <v>350000</v>
      </c>
      <c r="L24" s="24">
        <f t="shared" si="1"/>
        <v>0.99056094929881333</v>
      </c>
      <c r="M24" s="21"/>
      <c r="N24" s="21"/>
      <c r="O24" s="21"/>
      <c r="P24" s="21"/>
      <c r="Q24" s="21"/>
      <c r="R24" s="21"/>
      <c r="S24" s="21"/>
      <c r="T24" s="21"/>
      <c r="U24" s="21"/>
    </row>
    <row r="25" spans="2:21" ht="69" customHeight="1" x14ac:dyDescent="0.2">
      <c r="B25" s="17">
        <v>20</v>
      </c>
      <c r="C25" s="18" t="s">
        <v>227</v>
      </c>
      <c r="D25" s="18" t="s">
        <v>228</v>
      </c>
      <c r="E25" s="52" t="s">
        <v>57</v>
      </c>
      <c r="F25" s="453">
        <v>400000000</v>
      </c>
      <c r="G25" s="120">
        <v>292793992</v>
      </c>
      <c r="H25" s="120">
        <v>292793992</v>
      </c>
      <c r="I25" s="120">
        <v>291801342</v>
      </c>
      <c r="J25" s="120">
        <v>291801342</v>
      </c>
      <c r="K25" s="454">
        <f t="shared" si="0"/>
        <v>107206008</v>
      </c>
      <c r="L25" s="20">
        <f t="shared" si="1"/>
        <v>0.73198498000000001</v>
      </c>
      <c r="M25" s="21"/>
      <c r="N25" s="21"/>
      <c r="O25" s="21"/>
      <c r="P25" s="21"/>
      <c r="Q25" s="21"/>
      <c r="R25" s="21"/>
      <c r="S25" s="21"/>
      <c r="T25" s="21"/>
      <c r="U25" s="21"/>
    </row>
    <row r="26" spans="2:21" ht="63" customHeight="1" x14ac:dyDescent="0.2">
      <c r="B26" s="17">
        <v>88</v>
      </c>
      <c r="C26" s="18" t="s">
        <v>229</v>
      </c>
      <c r="D26" s="18" t="s">
        <v>228</v>
      </c>
      <c r="E26" s="52" t="s">
        <v>63</v>
      </c>
      <c r="F26" s="453">
        <v>107500000</v>
      </c>
      <c r="G26" s="120">
        <v>47624766</v>
      </c>
      <c r="H26" s="120">
        <v>47624766</v>
      </c>
      <c r="I26" s="120">
        <v>47624766</v>
      </c>
      <c r="J26" s="120">
        <v>47624766</v>
      </c>
      <c r="K26" s="454">
        <f t="shared" si="0"/>
        <v>59875234</v>
      </c>
      <c r="L26" s="20">
        <f t="shared" si="1"/>
        <v>0.44302107906976745</v>
      </c>
      <c r="M26" s="21"/>
      <c r="N26" s="21"/>
      <c r="O26" s="21"/>
      <c r="P26" s="21"/>
      <c r="Q26" s="21"/>
      <c r="R26" s="21"/>
      <c r="S26" s="21"/>
      <c r="T26" s="21"/>
      <c r="U26" s="21"/>
    </row>
    <row r="27" spans="2:21" ht="54.75" customHeight="1" x14ac:dyDescent="0.2">
      <c r="B27" s="17">
        <v>20</v>
      </c>
      <c r="C27" s="18" t="s">
        <v>230</v>
      </c>
      <c r="D27" s="18" t="s">
        <v>231</v>
      </c>
      <c r="E27" s="18" t="s">
        <v>57</v>
      </c>
      <c r="F27" s="453">
        <v>90000000</v>
      </c>
      <c r="G27" s="120">
        <v>62520300</v>
      </c>
      <c r="H27" s="120">
        <v>62520300</v>
      </c>
      <c r="I27" s="120">
        <v>62520300</v>
      </c>
      <c r="J27" s="120">
        <v>62520300</v>
      </c>
      <c r="K27" s="454">
        <f t="shared" si="0"/>
        <v>27479700</v>
      </c>
      <c r="L27" s="20">
        <f t="shared" si="1"/>
        <v>0.69467000000000001</v>
      </c>
      <c r="M27" s="21"/>
      <c r="N27" s="21"/>
      <c r="O27" s="21"/>
      <c r="P27" s="21"/>
      <c r="Q27" s="21"/>
      <c r="R27" s="21"/>
      <c r="S27" s="21"/>
      <c r="T27" s="21"/>
      <c r="U27" s="21"/>
    </row>
    <row r="28" spans="2:21" ht="57" customHeight="1" x14ac:dyDescent="0.2">
      <c r="B28" s="17">
        <v>20</v>
      </c>
      <c r="C28" s="18" t="s">
        <v>232</v>
      </c>
      <c r="D28" s="18" t="s">
        <v>233</v>
      </c>
      <c r="E28" s="18" t="s">
        <v>57</v>
      </c>
      <c r="F28" s="453">
        <v>40000000</v>
      </c>
      <c r="G28" s="120">
        <v>38853330</v>
      </c>
      <c r="H28" s="120">
        <v>38853330</v>
      </c>
      <c r="I28" s="120">
        <v>38398330</v>
      </c>
      <c r="J28" s="120">
        <v>38398330</v>
      </c>
      <c r="K28" s="454">
        <f t="shared" si="0"/>
        <v>1146670</v>
      </c>
      <c r="L28" s="121">
        <f t="shared" si="1"/>
        <v>0.97133325000000004</v>
      </c>
      <c r="M28" s="21"/>
      <c r="N28" s="21"/>
      <c r="O28" s="21"/>
      <c r="P28" s="21"/>
      <c r="Q28" s="21"/>
      <c r="R28" s="21"/>
      <c r="S28" s="21"/>
      <c r="T28" s="21"/>
      <c r="U28" s="21"/>
    </row>
    <row r="29" spans="2:21" ht="51.75" customHeight="1" x14ac:dyDescent="0.2">
      <c r="B29" s="17">
        <v>20</v>
      </c>
      <c r="C29" s="18" t="s">
        <v>234</v>
      </c>
      <c r="D29" s="18" t="s">
        <v>235</v>
      </c>
      <c r="E29" s="18" t="s">
        <v>57</v>
      </c>
      <c r="F29" s="453">
        <v>300000000</v>
      </c>
      <c r="G29" s="120">
        <v>279405252</v>
      </c>
      <c r="H29" s="120">
        <v>279405252</v>
      </c>
      <c r="I29" s="120">
        <v>275699402</v>
      </c>
      <c r="J29" s="120">
        <v>275699402</v>
      </c>
      <c r="K29" s="454">
        <f t="shared" si="0"/>
        <v>20594748</v>
      </c>
      <c r="L29" s="20">
        <f t="shared" si="1"/>
        <v>0.93135084000000001</v>
      </c>
      <c r="M29" s="21"/>
      <c r="N29" s="21"/>
      <c r="O29" s="21"/>
      <c r="P29" s="21"/>
      <c r="Q29" s="21"/>
      <c r="R29" s="21"/>
      <c r="S29" s="21"/>
      <c r="T29" s="21"/>
      <c r="U29" s="21"/>
    </row>
    <row r="30" spans="2:21" ht="55.5" customHeight="1" x14ac:dyDescent="0.2">
      <c r="B30" s="17">
        <v>88</v>
      </c>
      <c r="C30" s="18" t="s">
        <v>236</v>
      </c>
      <c r="D30" s="18" t="s">
        <v>235</v>
      </c>
      <c r="E30" s="52" t="s">
        <v>63</v>
      </c>
      <c r="F30" s="453">
        <v>205000000</v>
      </c>
      <c r="G30" s="120">
        <v>191905210</v>
      </c>
      <c r="H30" s="120">
        <v>191905210</v>
      </c>
      <c r="I30" s="120">
        <v>191905210</v>
      </c>
      <c r="J30" s="120">
        <v>191905210</v>
      </c>
      <c r="K30" s="454">
        <f t="shared" si="0"/>
        <v>13094790</v>
      </c>
      <c r="L30" s="20">
        <v>0</v>
      </c>
      <c r="M30" s="21"/>
      <c r="N30" s="21"/>
      <c r="O30" s="21"/>
      <c r="P30" s="21"/>
      <c r="Q30" s="21"/>
      <c r="R30" s="21"/>
      <c r="S30" s="21"/>
      <c r="T30" s="21"/>
      <c r="U30" s="21"/>
    </row>
    <row r="31" spans="2:21" ht="57" customHeight="1" x14ac:dyDescent="0.2">
      <c r="B31" s="17">
        <v>20</v>
      </c>
      <c r="C31" s="18" t="s">
        <v>237</v>
      </c>
      <c r="D31" s="18" t="s">
        <v>238</v>
      </c>
      <c r="E31" s="52" t="s">
        <v>57</v>
      </c>
      <c r="F31" s="453">
        <v>80000000</v>
      </c>
      <c r="G31" s="120">
        <v>74955000</v>
      </c>
      <c r="H31" s="120">
        <v>74955000</v>
      </c>
      <c r="I31" s="120">
        <v>74955000</v>
      </c>
      <c r="J31" s="120">
        <v>74955000</v>
      </c>
      <c r="K31" s="454">
        <f t="shared" si="0"/>
        <v>5045000</v>
      </c>
      <c r="L31" s="20">
        <f>H31/F31</f>
        <v>0.93693749999999998</v>
      </c>
      <c r="M31" s="21"/>
      <c r="N31" s="21"/>
      <c r="O31" s="21"/>
      <c r="P31" s="21"/>
      <c r="Q31" s="21"/>
      <c r="R31" s="21"/>
      <c r="S31" s="21"/>
      <c r="T31" s="21"/>
      <c r="U31" s="21"/>
    </row>
    <row r="32" spans="2:21" ht="58.5" customHeight="1" x14ac:dyDescent="0.2">
      <c r="B32" s="17">
        <v>88</v>
      </c>
      <c r="C32" s="18" t="s">
        <v>239</v>
      </c>
      <c r="D32" s="18" t="s">
        <v>238</v>
      </c>
      <c r="E32" s="52" t="s">
        <v>63</v>
      </c>
      <c r="F32" s="453">
        <v>20500000</v>
      </c>
      <c r="G32" s="120">
        <v>20500000</v>
      </c>
      <c r="H32" s="120">
        <v>20500000</v>
      </c>
      <c r="I32" s="120">
        <v>20500000</v>
      </c>
      <c r="J32" s="120">
        <v>20500000</v>
      </c>
      <c r="K32" s="454"/>
      <c r="L32" s="20">
        <f>H32/F32</f>
        <v>1</v>
      </c>
      <c r="M32" s="21"/>
      <c r="N32" s="21"/>
      <c r="O32" s="21"/>
      <c r="P32" s="21"/>
      <c r="Q32" s="21"/>
      <c r="R32" s="21"/>
      <c r="S32" s="21"/>
      <c r="T32" s="21"/>
      <c r="U32" s="21"/>
    </row>
    <row r="33" spans="2:21" ht="15" customHeight="1" x14ac:dyDescent="0.2">
      <c r="B33" s="17"/>
      <c r="C33" s="18"/>
      <c r="D33" s="18"/>
      <c r="E33" s="18"/>
      <c r="F33" s="453"/>
      <c r="G33" s="453"/>
      <c r="H33" s="453"/>
      <c r="I33" s="453"/>
      <c r="J33" s="453"/>
      <c r="K33" s="454"/>
      <c r="L33" s="26"/>
      <c r="M33" s="21"/>
      <c r="N33" s="21"/>
      <c r="O33" s="21"/>
      <c r="P33" s="21"/>
      <c r="Q33" s="21"/>
      <c r="R33" s="21"/>
      <c r="S33" s="21"/>
      <c r="T33" s="21"/>
      <c r="U33" s="21"/>
    </row>
    <row r="34" spans="2:21" ht="42" customHeight="1" x14ac:dyDescent="0.2">
      <c r="B34" s="27"/>
      <c r="C34" s="28"/>
      <c r="D34" s="29" t="s">
        <v>35</v>
      </c>
      <c r="E34" s="30"/>
      <c r="F34" s="455">
        <f t="shared" ref="F34:K34" si="2">SUM(F15:F33)</f>
        <v>11349624591.1</v>
      </c>
      <c r="G34" s="455">
        <f t="shared" si="2"/>
        <v>6547449050</v>
      </c>
      <c r="H34" s="455">
        <f t="shared" si="2"/>
        <v>6547449050</v>
      </c>
      <c r="I34" s="455">
        <f t="shared" si="2"/>
        <v>6408630035</v>
      </c>
      <c r="J34" s="455">
        <f t="shared" si="2"/>
        <v>6408630035</v>
      </c>
      <c r="K34" s="455">
        <f t="shared" si="2"/>
        <v>4802175541.1000004</v>
      </c>
      <c r="L34" s="20">
        <f>H34/F34</f>
        <v>0.57688683863026557</v>
      </c>
    </row>
    <row r="35" spans="2:21" ht="34.5" customHeight="1" x14ac:dyDescent="0.2">
      <c r="B35" s="17"/>
      <c r="C35" s="31"/>
      <c r="D35" s="4" t="s">
        <v>36</v>
      </c>
      <c r="E35" s="32"/>
      <c r="F35" s="58">
        <v>1</v>
      </c>
      <c r="G35" s="33">
        <f>G34/F34</f>
        <v>0.57688683863026557</v>
      </c>
      <c r="H35" s="33">
        <f>H34/F34</f>
        <v>0.57688683863026557</v>
      </c>
      <c r="I35" s="33">
        <f>I34/H34</f>
        <v>0.97879799996305428</v>
      </c>
      <c r="J35" s="33">
        <f>J34/H34</f>
        <v>0.97879799996305428</v>
      </c>
      <c r="K35" s="33">
        <f>K34/F34</f>
        <v>0.42311316136973443</v>
      </c>
      <c r="L35" s="34"/>
    </row>
    <row r="36" spans="2:21" x14ac:dyDescent="0.2">
      <c r="N36" s="6"/>
    </row>
    <row r="37" spans="2:21" x14ac:dyDescent="0.2">
      <c r="D37" s="159" t="s">
        <v>37</v>
      </c>
      <c r="E37" s="150" t="s">
        <v>38</v>
      </c>
      <c r="F37" s="150" t="s">
        <v>39</v>
      </c>
      <c r="G37" s="150" t="s">
        <v>40</v>
      </c>
      <c r="H37" s="150" t="s">
        <v>41</v>
      </c>
      <c r="I37" s="160" t="s">
        <v>42</v>
      </c>
      <c r="J37" s="449" t="s">
        <v>43</v>
      </c>
      <c r="K37" s="449" t="s">
        <v>44</v>
      </c>
      <c r="L37" s="150" t="s">
        <v>45</v>
      </c>
      <c r="M37" s="160" t="s">
        <v>46</v>
      </c>
      <c r="N37" s="122"/>
    </row>
    <row r="38" spans="2:21" x14ac:dyDescent="0.2">
      <c r="D38" s="159" t="s">
        <v>470</v>
      </c>
      <c r="E38" s="167">
        <f>3385349776/1000</f>
        <v>3385349.7760000001</v>
      </c>
      <c r="F38" s="167">
        <f>771124604/1000</f>
        <v>771124.60400000005</v>
      </c>
      <c r="G38" s="152">
        <f t="shared" ref="G38:G43" si="3">F38/E38</f>
        <v>0.22778284520754349</v>
      </c>
      <c r="H38" s="167">
        <f>506224604/1000</f>
        <v>506224.60399999999</v>
      </c>
      <c r="I38" s="160">
        <f t="shared" ref="I38:I43" si="4">H38/E38</f>
        <v>0.14953391451270823</v>
      </c>
      <c r="J38" s="167">
        <f>724604/1000</f>
        <v>724.60400000000004</v>
      </c>
      <c r="K38" s="167">
        <f>724604/1000</f>
        <v>724.60400000000004</v>
      </c>
      <c r="L38" s="167">
        <f>E38-F38</f>
        <v>2614225.1720000003</v>
      </c>
      <c r="M38" s="160">
        <f t="shared" ref="M38:M43" si="5">L38/E38</f>
        <v>0.77221715479245656</v>
      </c>
      <c r="N38" s="122"/>
    </row>
    <row r="39" spans="2:21" x14ac:dyDescent="0.2">
      <c r="D39" s="159" t="s">
        <v>471</v>
      </c>
      <c r="E39" s="167">
        <f>11363981388/1000</f>
        <v>11363981.388</v>
      </c>
      <c r="F39" s="167">
        <f>951481049/1000</f>
        <v>951481.049</v>
      </c>
      <c r="G39" s="152">
        <f t="shared" si="3"/>
        <v>8.3727790156778462E-2</v>
      </c>
      <c r="H39" s="167">
        <f>860367180/1000</f>
        <v>860367.18</v>
      </c>
      <c r="I39" s="160">
        <f t="shared" si="4"/>
        <v>7.5710013121679354E-2</v>
      </c>
      <c r="J39" s="167">
        <f>66367180/1000</f>
        <v>66367.179999999993</v>
      </c>
      <c r="K39" s="167">
        <f>66367180/1000</f>
        <v>66367.179999999993</v>
      </c>
      <c r="L39" s="167">
        <f>E39-F39</f>
        <v>10412500.339</v>
      </c>
      <c r="M39" s="160">
        <f t="shared" si="5"/>
        <v>0.91627220984322144</v>
      </c>
      <c r="N39" s="122"/>
    </row>
    <row r="40" spans="2:21" x14ac:dyDescent="0.2">
      <c r="D40" s="159" t="s">
        <v>472</v>
      </c>
      <c r="E40" s="167">
        <f>11363981388/1000</f>
        <v>11363981.388</v>
      </c>
      <c r="F40" s="167">
        <f>2388009527/1000</f>
        <v>2388009.5269999998</v>
      </c>
      <c r="G40" s="152">
        <f t="shared" si="3"/>
        <v>0.21013845812187454</v>
      </c>
      <c r="H40" s="167">
        <f>909921705/1000</f>
        <v>909921.70499999996</v>
      </c>
      <c r="I40" s="160">
        <f t="shared" si="4"/>
        <v>8.0070678922516375E-2</v>
      </c>
      <c r="J40" s="167">
        <f>187691784/1000</f>
        <v>187691.78400000001</v>
      </c>
      <c r="K40" s="167">
        <f>187691784/1000</f>
        <v>187691.78400000001</v>
      </c>
      <c r="L40" s="167">
        <f>E40-F40</f>
        <v>8975971.8610000014</v>
      </c>
      <c r="M40" s="160">
        <f t="shared" si="5"/>
        <v>0.78986154187812552</v>
      </c>
      <c r="N40" s="122"/>
    </row>
    <row r="41" spans="2:21" x14ac:dyDescent="0.2">
      <c r="D41" s="159" t="s">
        <v>473</v>
      </c>
      <c r="E41" s="167">
        <f>11363981388/1000</f>
        <v>11363981.388</v>
      </c>
      <c r="F41" s="167">
        <f>3223736103/1000</f>
        <v>3223736.1030000001</v>
      </c>
      <c r="G41" s="152">
        <f t="shared" si="3"/>
        <v>0.28368016392601292</v>
      </c>
      <c r="H41" s="167">
        <f>1034503813/1000</f>
        <v>1034503.813</v>
      </c>
      <c r="I41" s="160">
        <f t="shared" si="4"/>
        <v>9.103357156959116E-2</v>
      </c>
      <c r="J41" s="167">
        <f>313938792/1000</f>
        <v>313938.79200000002</v>
      </c>
      <c r="K41" s="167">
        <f>313938792/1000</f>
        <v>313938.79200000002</v>
      </c>
      <c r="L41" s="167">
        <f>E41-F41</f>
        <v>8140245.2850000001</v>
      </c>
      <c r="M41" s="160">
        <f t="shared" si="5"/>
        <v>0.71631983607398708</v>
      </c>
      <c r="N41" s="122"/>
    </row>
    <row r="42" spans="2:21" x14ac:dyDescent="0.2">
      <c r="D42" s="159" t="s">
        <v>476</v>
      </c>
      <c r="E42" s="167">
        <f>11363981388/1000</f>
        <v>11363981.388</v>
      </c>
      <c r="F42" s="167">
        <f>3723400198/1000</f>
        <v>3723400.1979999999</v>
      </c>
      <c r="G42" s="152">
        <f t="shared" si="3"/>
        <v>0.32764926928970434</v>
      </c>
      <c r="H42" s="167">
        <f>1159831909/1000</f>
        <v>1159831.909</v>
      </c>
      <c r="I42" s="160">
        <f t="shared" si="4"/>
        <v>0.1020621091675445</v>
      </c>
      <c r="J42" s="167">
        <f>469627112/1000</f>
        <v>469627.11200000002</v>
      </c>
      <c r="K42" s="167">
        <f>469627112/1000</f>
        <v>469627.11200000002</v>
      </c>
      <c r="L42" s="167">
        <f>E42-F42</f>
        <v>7640581.1900000004</v>
      </c>
      <c r="M42" s="160">
        <f t="shared" si="5"/>
        <v>0.67235073071029572</v>
      </c>
      <c r="N42" s="6"/>
    </row>
    <row r="43" spans="2:21" x14ac:dyDescent="0.2">
      <c r="D43" s="159" t="s">
        <v>477</v>
      </c>
      <c r="E43" s="165">
        <f>11363981388/1000</f>
        <v>11363981.388</v>
      </c>
      <c r="F43" s="165">
        <f>7345825364/1000</f>
        <v>7345825.3640000001</v>
      </c>
      <c r="G43" s="152">
        <f t="shared" si="3"/>
        <v>0.64641300554724213</v>
      </c>
      <c r="H43" s="165">
        <f>1225134005/1000</f>
        <v>1225134.0049999999</v>
      </c>
      <c r="I43" s="160">
        <f t="shared" si="4"/>
        <v>0.10780851914221737</v>
      </c>
      <c r="J43" s="165">
        <f>692705531/1000</f>
        <v>692705.53099999996</v>
      </c>
      <c r="K43" s="165">
        <f>692705531/1000</f>
        <v>692705.53099999996</v>
      </c>
      <c r="L43" s="167">
        <f>4018156024/1000</f>
        <v>4018156.0240000002</v>
      </c>
      <c r="M43" s="160">
        <f t="shared" si="5"/>
        <v>0.35358699445275793</v>
      </c>
    </row>
    <row r="44" spans="2:21" x14ac:dyDescent="0.2">
      <c r="D44" s="159" t="s">
        <v>474</v>
      </c>
      <c r="E44" s="165">
        <f>11583981388/1000</f>
        <v>11583981.388</v>
      </c>
      <c r="F44" s="165">
        <f>7391330549/1000</f>
        <v>7391330.5489999996</v>
      </c>
      <c r="G44" s="152">
        <f t="shared" ref="G44:G45" si="6">F44/E44</f>
        <v>0.63806478113447052</v>
      </c>
      <c r="H44" s="165">
        <f>1411093089/1000</f>
        <v>1411093.0889999999</v>
      </c>
      <c r="I44" s="160">
        <f t="shared" ref="I44:I45" si="7">H44/E44</f>
        <v>0.12181417094314136</v>
      </c>
      <c r="J44" s="165">
        <f>867449385/1000</f>
        <v>867449.38500000001</v>
      </c>
      <c r="K44" s="165">
        <f>867449385/1000</f>
        <v>867449.38500000001</v>
      </c>
      <c r="L44" s="167">
        <f>4192650839/1000</f>
        <v>4192650.8390000002</v>
      </c>
      <c r="M44" s="160">
        <f t="shared" ref="M44:M45" si="8">L44/E44</f>
        <v>0.36193521886552948</v>
      </c>
    </row>
    <row r="45" spans="2:21" s="60" customFormat="1" x14ac:dyDescent="0.2">
      <c r="B45" s="62"/>
      <c r="D45" s="159" t="s">
        <v>475</v>
      </c>
      <c r="E45" s="166">
        <f>11583981388/1000</f>
        <v>11583981.388</v>
      </c>
      <c r="F45" s="166">
        <f>7545983748/1000</f>
        <v>7545983.7479999997</v>
      </c>
      <c r="G45" s="152">
        <f t="shared" si="6"/>
        <v>0.65141538951512679</v>
      </c>
      <c r="H45" s="166">
        <f>2549883324/1000</f>
        <v>2549883.324</v>
      </c>
      <c r="I45" s="160">
        <f t="shared" si="7"/>
        <v>0.22012149697007091</v>
      </c>
      <c r="J45" s="166">
        <f>977258760/1000</f>
        <v>977258.76</v>
      </c>
      <c r="K45" s="166">
        <f>977258760/1000</f>
        <v>977258.76</v>
      </c>
      <c r="L45" s="166">
        <f>4037997640/1000</f>
        <v>4037997.64</v>
      </c>
      <c r="M45" s="160">
        <f t="shared" si="8"/>
        <v>0.34858461048487316</v>
      </c>
    </row>
    <row r="46" spans="2:21" s="60" customFormat="1" x14ac:dyDescent="0.2">
      <c r="B46" s="62"/>
      <c r="D46" s="159" t="s">
        <v>478</v>
      </c>
      <c r="E46" s="166">
        <f>11583981388/1000</f>
        <v>11583981.388</v>
      </c>
      <c r="F46" s="166">
        <f>7723240368/1000</f>
        <v>7723240.3679999998</v>
      </c>
      <c r="G46" s="152">
        <f t="shared" ref="G46:G48" si="9">F46/E46</f>
        <v>0.6667172632028403</v>
      </c>
      <c r="H46" s="166">
        <f>5763823288/1000</f>
        <v>5763823.2879999997</v>
      </c>
      <c r="I46" s="160">
        <f t="shared" ref="I46:I48" si="10">H46/E46</f>
        <v>0.49756841753654929</v>
      </c>
      <c r="J46" s="166">
        <f>1250411409/1000</f>
        <v>1250411.409</v>
      </c>
      <c r="K46" s="166">
        <f>1250411409/1000</f>
        <v>1250411.409</v>
      </c>
      <c r="L46" s="166">
        <f>3860741020/1000</f>
        <v>3860741.02</v>
      </c>
      <c r="M46" s="160">
        <f t="shared" ref="M46:M48" si="11">L46/E46</f>
        <v>0.33328273679715964</v>
      </c>
    </row>
    <row r="47" spans="2:21" s="60" customFormat="1" x14ac:dyDescent="0.2">
      <c r="B47" s="62"/>
      <c r="D47" s="159" t="s">
        <v>488</v>
      </c>
      <c r="E47" s="166">
        <f>11583981388/1000</f>
        <v>11583981.388</v>
      </c>
      <c r="F47" s="166">
        <f>7948770173/1000</f>
        <v>7948770.1730000004</v>
      </c>
      <c r="G47" s="152">
        <f t="shared" si="9"/>
        <v>0.68618637295414142</v>
      </c>
      <c r="H47" s="166">
        <f>6108729055/1000</f>
        <v>6108729.0549999997</v>
      </c>
      <c r="I47" s="160">
        <f t="shared" si="10"/>
        <v>0.52734278918370092</v>
      </c>
      <c r="J47" s="166">
        <f>4195926532/1000</f>
        <v>4195926.5319999997</v>
      </c>
      <c r="K47" s="166">
        <f>4187626532/1000</f>
        <v>4187626.5320000001</v>
      </c>
      <c r="L47" s="166">
        <f>3635211215/1000</f>
        <v>3635211.2149999999</v>
      </c>
      <c r="M47" s="160">
        <f t="shared" si="11"/>
        <v>0.31381362704585863</v>
      </c>
    </row>
    <row r="48" spans="2:21" s="60" customFormat="1" x14ac:dyDescent="0.2">
      <c r="B48" s="62"/>
      <c r="D48" s="159" t="s">
        <v>487</v>
      </c>
      <c r="E48" s="166">
        <f>11633981388/1000</f>
        <v>11633981.388</v>
      </c>
      <c r="F48" s="166">
        <f>7921386298/1000</f>
        <v>7921386.2980000004</v>
      </c>
      <c r="G48" s="152">
        <f t="shared" si="9"/>
        <v>0.68088352850302847</v>
      </c>
      <c r="H48" s="166">
        <f>6371260893/1000</f>
        <v>6371260.8930000002</v>
      </c>
      <c r="I48" s="160">
        <f t="shared" si="10"/>
        <v>0.54764234878110674</v>
      </c>
      <c r="J48" s="166">
        <f>4494095291/1000</f>
        <v>4494095.2910000002</v>
      </c>
      <c r="K48" s="166">
        <f>4490495291/1000</f>
        <v>4490495.2910000002</v>
      </c>
      <c r="L48" s="166">
        <f>3712595090/1000</f>
        <v>3712595.09</v>
      </c>
      <c r="M48" s="160">
        <f t="shared" si="11"/>
        <v>0.31911647149697159</v>
      </c>
    </row>
    <row r="49" spans="2:13" s="60" customFormat="1" x14ac:dyDescent="0.2">
      <c r="B49" s="62"/>
      <c r="D49" s="159" t="s">
        <v>494</v>
      </c>
      <c r="E49" s="166">
        <f>F34/1000</f>
        <v>11349624.5911</v>
      </c>
      <c r="F49" s="166">
        <f>G34/1000</f>
        <v>6547449.0499999998</v>
      </c>
      <c r="G49" s="152">
        <f t="shared" ref="G49" si="12">F49/E49</f>
        <v>0.57688683863026557</v>
      </c>
      <c r="H49" s="166">
        <f>H34/1000</f>
        <v>6547449.0499999998</v>
      </c>
      <c r="I49" s="160">
        <f t="shared" ref="I49" si="13">H49/E49</f>
        <v>0.57688683863026557</v>
      </c>
      <c r="J49" s="166">
        <f>I34/1000</f>
        <v>6408630.0350000001</v>
      </c>
      <c r="K49" s="166">
        <f>J34/1000</f>
        <v>6408630.0350000001</v>
      </c>
      <c r="L49" s="166">
        <f>K34/1000</f>
        <v>4802175.5411</v>
      </c>
      <c r="M49" s="160">
        <f t="shared" ref="M49" si="14">L49/E49</f>
        <v>0.42311316136973443</v>
      </c>
    </row>
    <row r="50" spans="2:13" s="60" customFormat="1" x14ac:dyDescent="0.2">
      <c r="B50" s="62"/>
      <c r="E50" s="168"/>
      <c r="F50" s="168"/>
      <c r="H50" s="168"/>
      <c r="J50" s="168"/>
      <c r="K50" s="168"/>
      <c r="L50" s="168"/>
    </row>
    <row r="51" spans="2:13" s="60" customFormat="1" x14ac:dyDescent="0.2">
      <c r="B51" s="62"/>
      <c r="E51" s="168"/>
      <c r="F51" s="168"/>
      <c r="H51" s="168"/>
      <c r="J51" s="168"/>
      <c r="K51" s="168"/>
      <c r="L51" s="168"/>
    </row>
    <row r="52" spans="2:13" ht="43.5" customHeight="1" x14ac:dyDescent="0.2">
      <c r="D52" s="46" t="s">
        <v>240</v>
      </c>
      <c r="E52" s="46" t="s">
        <v>48</v>
      </c>
      <c r="F52" s="46" t="s">
        <v>12</v>
      </c>
      <c r="G52" s="46" t="s">
        <v>13</v>
      </c>
      <c r="H52" s="46" t="s">
        <v>14</v>
      </c>
      <c r="I52" s="48" t="s">
        <v>15</v>
      </c>
      <c r="J52" s="46" t="s">
        <v>16</v>
      </c>
      <c r="K52" s="46" t="s">
        <v>17</v>
      </c>
    </row>
    <row r="53" spans="2:13" ht="15.75" customHeight="1" x14ac:dyDescent="0.2">
      <c r="D53" s="36" t="s">
        <v>49</v>
      </c>
      <c r="E53" s="34" t="s">
        <v>82</v>
      </c>
      <c r="F53" s="38">
        <f>+F15+F17+F19+F21+F22+F23+F24+F25+F26+F27+F28+F29+F30+F31+F32</f>
        <v>2204349776</v>
      </c>
      <c r="G53" s="38">
        <f t="shared" ref="G53:K53" si="15">+G15+G17+G19+G21+G22+G23+G24+G25+G26+G27+G28+G29+G30+G31+G32</f>
        <v>1668887374</v>
      </c>
      <c r="H53" s="38">
        <f t="shared" si="15"/>
        <v>1668887374</v>
      </c>
      <c r="I53" s="38">
        <f t="shared" si="15"/>
        <v>1658895598</v>
      </c>
      <c r="J53" s="38">
        <f t="shared" si="15"/>
        <v>1658895598</v>
      </c>
      <c r="K53" s="38">
        <f t="shared" si="15"/>
        <v>535462402</v>
      </c>
    </row>
    <row r="54" spans="2:13" ht="13.5" customHeight="1" x14ac:dyDescent="0.2">
      <c r="D54" s="36"/>
      <c r="E54" s="34" t="s">
        <v>50</v>
      </c>
      <c r="F54" s="39">
        <v>1</v>
      </c>
      <c r="G54" s="39">
        <f>G53/F53</f>
        <v>0.75708827708293791</v>
      </c>
      <c r="H54" s="39">
        <f>H53/F53</f>
        <v>0.75708827708293791</v>
      </c>
      <c r="I54" s="39">
        <f>I53/H53</f>
        <v>0.9940129117424793</v>
      </c>
      <c r="J54" s="39">
        <f>J53/H53</f>
        <v>0.9940129117424793</v>
      </c>
      <c r="K54" s="39">
        <f>K53/F53</f>
        <v>0.24291172291706215</v>
      </c>
    </row>
    <row r="55" spans="2:13" x14ac:dyDescent="0.2">
      <c r="D55" s="36" t="s">
        <v>241</v>
      </c>
      <c r="E55" s="34" t="s">
        <v>242</v>
      </c>
      <c r="F55" s="38">
        <f>F16+F18+F20</f>
        <v>9145274815.1000004</v>
      </c>
      <c r="G55" s="38">
        <f>G16+G18+G20</f>
        <v>4878561676</v>
      </c>
      <c r="H55" s="38">
        <f t="shared" ref="H55:K55" si="16">H16+H18+H20</f>
        <v>4878561676</v>
      </c>
      <c r="I55" s="38">
        <f t="shared" si="16"/>
        <v>4749734437</v>
      </c>
      <c r="J55" s="38">
        <f t="shared" si="16"/>
        <v>4749734437</v>
      </c>
      <c r="K55" s="38">
        <f t="shared" si="16"/>
        <v>4266713139.0999999</v>
      </c>
    </row>
    <row r="56" spans="2:13" x14ac:dyDescent="0.2">
      <c r="D56" s="36"/>
      <c r="E56" s="34" t="s">
        <v>50</v>
      </c>
      <c r="F56" s="39">
        <v>1</v>
      </c>
      <c r="G56" s="39">
        <f>G55/F55</f>
        <v>0.53345162115247546</v>
      </c>
      <c r="H56" s="39">
        <f>H55/F55</f>
        <v>0.53345162115247546</v>
      </c>
      <c r="I56" s="39">
        <f>I55/H55</f>
        <v>0.97359319251127574</v>
      </c>
      <c r="J56" s="39">
        <f>J55/H55</f>
        <v>0.97359319251127574</v>
      </c>
      <c r="K56" s="39">
        <f>K55/F55</f>
        <v>0.46654837884752454</v>
      </c>
    </row>
    <row r="57" spans="2:13" s="116" customFormat="1" x14ac:dyDescent="0.2">
      <c r="B57" s="115"/>
      <c r="D57" s="451"/>
      <c r="E57" s="452" t="s">
        <v>134</v>
      </c>
      <c r="F57" s="127">
        <f t="shared" ref="F57:K57" si="17">F53+F55</f>
        <v>11349624591.1</v>
      </c>
      <c r="G57" s="127">
        <f t="shared" si="17"/>
        <v>6547449050</v>
      </c>
      <c r="H57" s="127">
        <f t="shared" si="17"/>
        <v>6547449050</v>
      </c>
      <c r="I57" s="127">
        <f t="shared" si="17"/>
        <v>6408630035</v>
      </c>
      <c r="J57" s="127">
        <f t="shared" si="17"/>
        <v>6408630035</v>
      </c>
      <c r="K57" s="127">
        <f t="shared" si="17"/>
        <v>4802175541.1000004</v>
      </c>
    </row>
    <row r="58" spans="2:13" x14ac:dyDescent="0.2">
      <c r="D58" s="34"/>
      <c r="E58" s="34" t="s">
        <v>50</v>
      </c>
      <c r="F58" s="39">
        <v>1</v>
      </c>
      <c r="G58" s="66">
        <f>G57/F57</f>
        <v>0.57688683863026557</v>
      </c>
      <c r="H58" s="66">
        <f>H57/F57</f>
        <v>0.57688683863026557</v>
      </c>
      <c r="I58" s="66">
        <f>I57/H57</f>
        <v>0.97879799996305428</v>
      </c>
      <c r="J58" s="66">
        <f>J57/H57</f>
        <v>0.97879799996305428</v>
      </c>
      <c r="K58" s="66">
        <f>K57/F57</f>
        <v>0.42311316136973443</v>
      </c>
    </row>
    <row r="59" spans="2:13" x14ac:dyDescent="0.2">
      <c r="F59" s="110"/>
      <c r="G59" s="110"/>
      <c r="H59" s="110"/>
      <c r="I59" s="110"/>
      <c r="J59" s="110"/>
      <c r="K59" s="110"/>
    </row>
    <row r="87" spans="4:13" x14ac:dyDescent="0.2">
      <c r="D87" s="221" t="s">
        <v>332</v>
      </c>
      <c r="E87" s="222" t="s">
        <v>329</v>
      </c>
      <c r="F87" s="222" t="s">
        <v>39</v>
      </c>
      <c r="G87" s="100" t="s">
        <v>40</v>
      </c>
      <c r="H87" s="227" t="s">
        <v>41</v>
      </c>
      <c r="I87" s="227" t="s">
        <v>42</v>
      </c>
      <c r="J87" s="228" t="s">
        <v>330</v>
      </c>
      <c r="K87" s="228" t="s">
        <v>331</v>
      </c>
      <c r="L87" s="229" t="s">
        <v>45</v>
      </c>
      <c r="M87" s="229" t="s">
        <v>301</v>
      </c>
    </row>
    <row r="88" spans="4:13" x14ac:dyDescent="0.2">
      <c r="D88" s="86" t="s">
        <v>333</v>
      </c>
      <c r="E88" s="38">
        <f>F15+F16+F19+F20+F21+F23+F24+F25+F27+F28+F29+F31</f>
        <v>3320992979.0999999</v>
      </c>
      <c r="F88" s="38">
        <f>G15+G16+G19+G20+G21+G23+G24+G25+G27+G28+G29+G31</f>
        <v>2449021561</v>
      </c>
      <c r="G88" s="82">
        <f>F88/E88</f>
        <v>0.73743653672634168</v>
      </c>
      <c r="H88" s="38">
        <f>H15+H16+H19+H20+H21+H23+H24+H25+H27+H28+H29+H31</f>
        <v>2449021561</v>
      </c>
      <c r="I88" s="230">
        <f>H88/F88</f>
        <v>1</v>
      </c>
      <c r="J88" s="23">
        <f>F88-H88</f>
        <v>0</v>
      </c>
      <c r="K88" s="142">
        <f>J88/F88</f>
        <v>0</v>
      </c>
      <c r="L88" s="57">
        <f>E88-F88</f>
        <v>871971418.0999999</v>
      </c>
      <c r="M88" s="82">
        <f>L88/E88</f>
        <v>0.26256346327365832</v>
      </c>
    </row>
    <row r="89" spans="4:13" x14ac:dyDescent="0.2">
      <c r="D89" s="86" t="s">
        <v>328</v>
      </c>
      <c r="E89" s="38">
        <f>F17+F18+F22+F26+F30+F32</f>
        <v>8028631612</v>
      </c>
      <c r="F89" s="38">
        <f>G17+G18+G22+G26+G30+G32</f>
        <v>4098427489</v>
      </c>
      <c r="G89" s="82">
        <f>F89/E89</f>
        <v>0.51047646561268079</v>
      </c>
      <c r="H89" s="226">
        <f>H17+H18+H22+H26+H30+H32</f>
        <v>4098427489</v>
      </c>
      <c r="I89" s="230">
        <f>H89/F89</f>
        <v>1</v>
      </c>
      <c r="J89" s="23">
        <f>F89-H89</f>
        <v>0</v>
      </c>
      <c r="K89" s="142">
        <f>J89/F89</f>
        <v>0</v>
      </c>
      <c r="L89" s="57">
        <f>E89-F89</f>
        <v>3930204123</v>
      </c>
      <c r="M89" s="82">
        <f>L89/E89</f>
        <v>0.48952353438731921</v>
      </c>
    </row>
    <row r="90" spans="4:13" x14ac:dyDescent="0.2">
      <c r="D90" s="231" t="s">
        <v>134</v>
      </c>
      <c r="E90" s="118">
        <f>SUBTOTAL(9,E88:E89)</f>
        <v>11349624591.1</v>
      </c>
      <c r="F90" s="118">
        <f>SUBTOTAL(9,F88:F89)</f>
        <v>6547449050</v>
      </c>
      <c r="G90" s="232">
        <f>F90/E90</f>
        <v>0.57688683863026557</v>
      </c>
      <c r="H90" s="118">
        <f>SUBTOTAL(9,H88:H89)</f>
        <v>6547449050</v>
      </c>
      <c r="I90" s="233">
        <f>H90/F90</f>
        <v>1</v>
      </c>
      <c r="J90" s="118">
        <f>SUBTOTAL(9,J88:J89)</f>
        <v>0</v>
      </c>
      <c r="K90" s="234">
        <f>J90/F90</f>
        <v>0</v>
      </c>
      <c r="L90" s="118">
        <f>SUBTOTAL(9,L88:L89)</f>
        <v>4802175541.1000004</v>
      </c>
      <c r="M90" s="232">
        <f>L90/E90</f>
        <v>0.42311316136973443</v>
      </c>
    </row>
    <row r="91" spans="4:13" x14ac:dyDescent="0.2">
      <c r="E91" s="110">
        <f>E90-F57</f>
        <v>0</v>
      </c>
      <c r="F91" s="110">
        <f>F90-G57</f>
        <v>0</v>
      </c>
      <c r="H91" s="110">
        <f>H90-H57</f>
        <v>0</v>
      </c>
    </row>
    <row r="94" spans="4:13" x14ac:dyDescent="0.2">
      <c r="D94" s="517" t="s">
        <v>501</v>
      </c>
      <c r="E94" s="518"/>
    </row>
    <row r="95" spans="4:13" x14ac:dyDescent="0.2">
      <c r="D95" s="519"/>
      <c r="E95" s="520"/>
    </row>
    <row r="96" spans="4:13" x14ac:dyDescent="0.2">
      <c r="D96" s="519"/>
      <c r="E96" s="520"/>
    </row>
    <row r="97" spans="4:5" x14ac:dyDescent="0.2">
      <c r="D97" s="519"/>
      <c r="E97" s="520"/>
    </row>
    <row r="98" spans="4:5" x14ac:dyDescent="0.2">
      <c r="D98" s="519"/>
      <c r="E98" s="520"/>
    </row>
    <row r="99" spans="4:5" x14ac:dyDescent="0.2">
      <c r="D99" s="519"/>
      <c r="E99" s="520"/>
    </row>
    <row r="100" spans="4:5" x14ac:dyDescent="0.2">
      <c r="D100" s="519"/>
      <c r="E100" s="520"/>
    </row>
    <row r="101" spans="4:5" x14ac:dyDescent="0.2">
      <c r="D101" s="521"/>
      <c r="E101" s="522"/>
    </row>
  </sheetData>
  <autoFilter ref="A14:U32"/>
  <mergeCells count="17">
    <mergeCell ref="D94:E101"/>
    <mergeCell ref="A9:A14"/>
    <mergeCell ref="B9:B14"/>
    <mergeCell ref="C9:C14"/>
    <mergeCell ref="D9:D14"/>
    <mergeCell ref="E9:E14"/>
    <mergeCell ref="K9:K14"/>
    <mergeCell ref="D1:K2"/>
    <mergeCell ref="D3:K4"/>
    <mergeCell ref="B5:L5"/>
    <mergeCell ref="B6:L6"/>
    <mergeCell ref="B7:L7"/>
    <mergeCell ref="F9:F14"/>
    <mergeCell ref="G9:G14"/>
    <mergeCell ref="H9:H14"/>
    <mergeCell ref="I9:I14"/>
    <mergeCell ref="J9:J14"/>
  </mergeCells>
  <conditionalFormatting sqref="L15:L32">
    <cfRule type="cellIs" dxfId="23" priority="7" operator="between">
      <formula>0.4</formula>
      <formula>0.5999</formula>
    </cfRule>
    <cfRule type="cellIs" dxfId="22" priority="8" operator="between">
      <formula>0</formula>
      <formula>0.39</formula>
    </cfRule>
    <cfRule type="cellIs" dxfId="21" priority="9" operator="between">
      <formula>0.4</formula>
      <formula>0.59</formula>
    </cfRule>
    <cfRule type="cellIs" dxfId="20" priority="10" operator="between">
      <formula>0.6</formula>
      <formula>0.69</formula>
    </cfRule>
    <cfRule type="cellIs" dxfId="19" priority="11" operator="between">
      <formula>0.7</formula>
      <formula>0.795</formula>
    </cfRule>
    <cfRule type="cellIs" dxfId="18" priority="12" operator="between">
      <formula>0.8</formula>
      <formula>1</formula>
    </cfRule>
  </conditionalFormatting>
  <conditionalFormatting sqref="L34">
    <cfRule type="cellIs" dxfId="17" priority="1" operator="between">
      <formula>0.4</formula>
      <formula>0.5999</formula>
    </cfRule>
    <cfRule type="cellIs" dxfId="16" priority="2" operator="between">
      <formula>0</formula>
      <formula>0.39</formula>
    </cfRule>
    <cfRule type="cellIs" dxfId="15" priority="3" operator="between">
      <formula>0.4</formula>
      <formula>0.59</formula>
    </cfRule>
    <cfRule type="cellIs" dxfId="14" priority="4" operator="between">
      <formula>0.6</formula>
      <formula>0.69</formula>
    </cfRule>
    <cfRule type="cellIs" dxfId="13" priority="5" operator="between">
      <formula>0.7</formula>
      <formula>0.79</formula>
    </cfRule>
    <cfRule type="cellIs" dxfId="12" priority="6" operator="between">
      <formula>0.8</formula>
      <formula>1</formula>
    </cfRule>
  </conditionalFormatting>
  <pageMargins left="0.7" right="0.7" top="0.75" bottom="0.75" header="0.3" footer="0.3"/>
  <pageSetup scale="3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showGridLines="0" topLeftCell="E24" zoomScale="70" zoomScaleNormal="70" workbookViewId="0">
      <selection activeCell="K33" sqref="K33"/>
    </sheetView>
  </sheetViews>
  <sheetFormatPr baseColWidth="10" defaultColWidth="11.42578125" defaultRowHeight="12.75" x14ac:dyDescent="0.2"/>
  <cols>
    <col min="1" max="1" width="8.140625" style="7" customWidth="1"/>
    <col min="2" max="2" width="20.7109375" style="35" customWidth="1"/>
    <col min="3" max="3" width="31.7109375" style="7" customWidth="1"/>
    <col min="4" max="4" width="40.28515625" style="7" customWidth="1"/>
    <col min="5" max="5" width="27.42578125" style="7" customWidth="1"/>
    <col min="6" max="6" width="22.28515625" style="7" customWidth="1"/>
    <col min="7" max="7" width="23.140625" style="7" customWidth="1"/>
    <col min="8" max="8" width="21.42578125" style="7" customWidth="1"/>
    <col min="9" max="9" width="20.5703125" style="7" customWidth="1"/>
    <col min="10" max="10" width="22.140625" style="7" customWidth="1"/>
    <col min="11" max="11" width="23.42578125" style="7" customWidth="1"/>
    <col min="12" max="12" width="30.140625" style="7" customWidth="1"/>
    <col min="13" max="13" width="16.5703125" style="7" customWidth="1"/>
    <col min="14" max="16384" width="11.42578125" style="7"/>
  </cols>
  <sheetData>
    <row r="1" spans="1:21" ht="15" customHeight="1" x14ac:dyDescent="0.2">
      <c r="A1" s="1"/>
      <c r="B1" s="2"/>
      <c r="C1" s="3"/>
      <c r="D1" s="505" t="s">
        <v>0</v>
      </c>
      <c r="E1" s="506"/>
      <c r="F1" s="506"/>
      <c r="G1" s="506"/>
      <c r="H1" s="506"/>
      <c r="I1" s="506"/>
      <c r="J1" s="506"/>
      <c r="K1" s="506"/>
      <c r="L1" s="4" t="s">
        <v>1</v>
      </c>
      <c r="M1" s="5"/>
      <c r="N1" s="6"/>
    </row>
    <row r="2" spans="1:21" ht="15" customHeight="1" x14ac:dyDescent="0.2">
      <c r="A2" s="1"/>
      <c r="B2" s="8"/>
      <c r="C2" s="1"/>
      <c r="D2" s="507"/>
      <c r="E2" s="508"/>
      <c r="F2" s="508"/>
      <c r="G2" s="508"/>
      <c r="H2" s="508"/>
      <c r="I2" s="508"/>
      <c r="J2" s="508"/>
      <c r="K2" s="508"/>
      <c r="L2" s="9" t="s">
        <v>2</v>
      </c>
      <c r="M2" s="5"/>
      <c r="N2" s="6"/>
    </row>
    <row r="3" spans="1:21" ht="15" customHeight="1" x14ac:dyDescent="0.2">
      <c r="A3" s="1"/>
      <c r="B3" s="8"/>
      <c r="C3" s="1"/>
      <c r="D3" s="509" t="s">
        <v>3</v>
      </c>
      <c r="E3" s="510"/>
      <c r="F3" s="510"/>
      <c r="G3" s="510"/>
      <c r="H3" s="510"/>
      <c r="I3" s="510"/>
      <c r="J3" s="510"/>
      <c r="K3" s="510"/>
      <c r="L3" s="10" t="s">
        <v>4</v>
      </c>
      <c r="M3" s="5"/>
      <c r="N3" s="6"/>
    </row>
    <row r="4" spans="1:21" ht="15" customHeight="1" x14ac:dyDescent="0.2">
      <c r="A4" s="1"/>
      <c r="B4" s="11"/>
      <c r="C4" s="12"/>
      <c r="D4" s="511"/>
      <c r="E4" s="512"/>
      <c r="F4" s="512"/>
      <c r="G4" s="512"/>
      <c r="H4" s="512"/>
      <c r="I4" s="512"/>
      <c r="J4" s="512"/>
      <c r="K4" s="512"/>
      <c r="L4" s="4" t="s">
        <v>5</v>
      </c>
      <c r="M4" s="5"/>
      <c r="N4" s="6"/>
    </row>
    <row r="5" spans="1:21" ht="15" customHeight="1" x14ac:dyDescent="0.2">
      <c r="A5" s="13"/>
      <c r="B5" s="513" t="s">
        <v>6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"/>
      <c r="N5" s="5"/>
      <c r="O5" s="6"/>
      <c r="P5" s="6"/>
    </row>
    <row r="6" spans="1:21" ht="15" customHeight="1" x14ac:dyDescent="0.2">
      <c r="A6" s="13"/>
      <c r="B6" s="513" t="s">
        <v>99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"/>
      <c r="N6" s="5"/>
      <c r="O6" s="6"/>
      <c r="P6" s="6"/>
    </row>
    <row r="7" spans="1:21" ht="15" customHeight="1" x14ac:dyDescent="0.2">
      <c r="A7" s="13"/>
      <c r="B7" s="513" t="s">
        <v>502</v>
      </c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"/>
      <c r="N7" s="5"/>
      <c r="O7" s="6"/>
      <c r="P7" s="6"/>
    </row>
    <row r="8" spans="1:21" ht="15" customHeight="1" x14ac:dyDescent="0.2">
      <c r="A8" s="14"/>
      <c r="B8" s="47"/>
      <c r="C8" s="47"/>
      <c r="D8" s="47"/>
      <c r="E8" s="47"/>
      <c r="F8" s="47"/>
      <c r="G8" s="47"/>
      <c r="H8" s="47"/>
      <c r="I8" s="47"/>
      <c r="J8" s="47"/>
      <c r="K8" s="47"/>
      <c r="L8" s="51"/>
      <c r="M8" s="15"/>
      <c r="N8" s="16"/>
      <c r="O8" s="6"/>
      <c r="P8" s="6"/>
    </row>
    <row r="9" spans="1:21" ht="15" customHeight="1" x14ac:dyDescent="0.2">
      <c r="A9" s="523"/>
      <c r="B9" s="524" t="s">
        <v>8</v>
      </c>
      <c r="C9" s="524" t="s">
        <v>9</v>
      </c>
      <c r="D9" s="524" t="s">
        <v>10</v>
      </c>
      <c r="E9" s="524" t="s">
        <v>11</v>
      </c>
      <c r="F9" s="524" t="s">
        <v>12</v>
      </c>
      <c r="G9" s="524" t="s">
        <v>13</v>
      </c>
      <c r="H9" s="524" t="s">
        <v>14</v>
      </c>
      <c r="I9" s="531" t="s">
        <v>15</v>
      </c>
      <c r="J9" s="524" t="s">
        <v>16</v>
      </c>
      <c r="K9" s="524" t="s">
        <v>17</v>
      </c>
      <c r="L9" s="48" t="s">
        <v>18</v>
      </c>
    </row>
    <row r="10" spans="1:21" ht="15" customHeight="1" x14ac:dyDescent="0.2">
      <c r="A10" s="523"/>
      <c r="B10" s="524"/>
      <c r="C10" s="524"/>
      <c r="D10" s="524"/>
      <c r="E10" s="524"/>
      <c r="F10" s="524"/>
      <c r="G10" s="524"/>
      <c r="H10" s="524"/>
      <c r="I10" s="532"/>
      <c r="J10" s="524"/>
      <c r="K10" s="524"/>
      <c r="L10" s="49" t="s">
        <v>100</v>
      </c>
    </row>
    <row r="11" spans="1:21" ht="15" customHeight="1" x14ac:dyDescent="0.2">
      <c r="A11" s="523"/>
      <c r="B11" s="524"/>
      <c r="C11" s="524"/>
      <c r="D11" s="524"/>
      <c r="E11" s="524"/>
      <c r="F11" s="524"/>
      <c r="G11" s="524"/>
      <c r="H11" s="524"/>
      <c r="I11" s="532"/>
      <c r="J11" s="524"/>
      <c r="K11" s="524"/>
      <c r="L11" s="49" t="s">
        <v>20</v>
      </c>
    </row>
    <row r="12" spans="1:21" ht="15" customHeight="1" x14ac:dyDescent="0.2">
      <c r="A12" s="523"/>
      <c r="B12" s="524"/>
      <c r="C12" s="524"/>
      <c r="D12" s="524"/>
      <c r="E12" s="524"/>
      <c r="F12" s="524"/>
      <c r="G12" s="524"/>
      <c r="H12" s="524"/>
      <c r="I12" s="532"/>
      <c r="J12" s="524"/>
      <c r="K12" s="524"/>
      <c r="L12" s="49" t="s">
        <v>21</v>
      </c>
    </row>
    <row r="13" spans="1:21" ht="15" customHeight="1" x14ac:dyDescent="0.2">
      <c r="A13" s="523"/>
      <c r="B13" s="524"/>
      <c r="C13" s="524"/>
      <c r="D13" s="524"/>
      <c r="E13" s="524"/>
      <c r="F13" s="524"/>
      <c r="G13" s="524"/>
      <c r="H13" s="524"/>
      <c r="I13" s="532"/>
      <c r="J13" s="524"/>
      <c r="K13" s="524"/>
      <c r="L13" s="49" t="s">
        <v>22</v>
      </c>
    </row>
    <row r="14" spans="1:21" ht="15" customHeight="1" x14ac:dyDescent="0.2">
      <c r="A14" s="523"/>
      <c r="B14" s="524"/>
      <c r="C14" s="524"/>
      <c r="D14" s="524"/>
      <c r="E14" s="524"/>
      <c r="F14" s="524"/>
      <c r="G14" s="524"/>
      <c r="H14" s="524"/>
      <c r="I14" s="533"/>
      <c r="J14" s="524"/>
      <c r="K14" s="524"/>
      <c r="L14" s="50" t="s">
        <v>54</v>
      </c>
    </row>
    <row r="15" spans="1:21" ht="44.25" customHeight="1" x14ac:dyDescent="0.2">
      <c r="B15" s="17">
        <v>33</v>
      </c>
      <c r="C15" s="18" t="s">
        <v>101</v>
      </c>
      <c r="D15" s="144" t="s">
        <v>102</v>
      </c>
      <c r="E15" s="18" t="s">
        <v>103</v>
      </c>
      <c r="F15" s="90">
        <v>153319244.41999999</v>
      </c>
      <c r="G15" s="91">
        <v>0</v>
      </c>
      <c r="H15" s="92">
        <v>0</v>
      </c>
      <c r="I15" s="92">
        <v>0</v>
      </c>
      <c r="J15" s="92">
        <v>0</v>
      </c>
      <c r="K15" s="90">
        <f>F15-G15</f>
        <v>153319244.41999999</v>
      </c>
      <c r="L15" s="20">
        <f>H15/F15</f>
        <v>0</v>
      </c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46.5" customHeight="1" x14ac:dyDescent="0.2">
      <c r="B16" s="17">
        <v>83</v>
      </c>
      <c r="C16" s="18" t="s">
        <v>104</v>
      </c>
      <c r="D16" s="101" t="s">
        <v>102</v>
      </c>
      <c r="E16" s="18" t="s">
        <v>105</v>
      </c>
      <c r="F16" s="90">
        <v>737538491</v>
      </c>
      <c r="G16" s="91">
        <v>0</v>
      </c>
      <c r="H16" s="92">
        <v>0</v>
      </c>
      <c r="I16" s="92">
        <v>0</v>
      </c>
      <c r="J16" s="92">
        <v>0</v>
      </c>
      <c r="K16" s="90">
        <f>F16-G16</f>
        <v>737538491</v>
      </c>
      <c r="L16" s="20">
        <f t="shared" ref="L16:L33" si="0">H16/F16</f>
        <v>0</v>
      </c>
      <c r="M16" s="21"/>
      <c r="N16" s="21"/>
      <c r="O16" s="21"/>
      <c r="P16" s="21"/>
      <c r="Q16" s="21"/>
      <c r="R16" s="21"/>
      <c r="S16" s="21"/>
      <c r="T16" s="21"/>
      <c r="U16" s="21"/>
    </row>
    <row r="17" spans="2:21" ht="48.75" customHeight="1" x14ac:dyDescent="0.2">
      <c r="B17" s="17">
        <v>20</v>
      </c>
      <c r="C17" s="18" t="s">
        <v>106</v>
      </c>
      <c r="D17" s="144" t="s">
        <v>107</v>
      </c>
      <c r="E17" s="18" t="s">
        <v>57</v>
      </c>
      <c r="F17" s="90">
        <v>965100000</v>
      </c>
      <c r="G17" s="91">
        <v>951268167</v>
      </c>
      <c r="H17" s="92">
        <v>951268167</v>
      </c>
      <c r="I17" s="92">
        <v>951268167</v>
      </c>
      <c r="J17" s="92">
        <v>951268167</v>
      </c>
      <c r="K17" s="90">
        <f t="shared" ref="K17:K31" si="1">F17-G17</f>
        <v>13831833</v>
      </c>
      <c r="L17" s="20">
        <f t="shared" si="0"/>
        <v>0.98566797948399132</v>
      </c>
      <c r="M17" s="21"/>
      <c r="N17" s="21"/>
      <c r="O17" s="21"/>
      <c r="P17" s="21"/>
      <c r="Q17" s="21"/>
      <c r="R17" s="21"/>
      <c r="S17" s="21"/>
      <c r="T17" s="21"/>
      <c r="U17" s="21"/>
    </row>
    <row r="18" spans="2:21" ht="45" customHeight="1" x14ac:dyDescent="0.2">
      <c r="B18" s="17">
        <v>39</v>
      </c>
      <c r="C18" s="18" t="s">
        <v>108</v>
      </c>
      <c r="D18" s="144" t="s">
        <v>107</v>
      </c>
      <c r="E18" s="18" t="s">
        <v>109</v>
      </c>
      <c r="F18" s="90">
        <v>766596222.00999999</v>
      </c>
      <c r="G18" s="91">
        <v>235611526.80000001</v>
      </c>
      <c r="H18" s="92">
        <v>235611526.80000001</v>
      </c>
      <c r="I18" s="92">
        <v>235611526.80000001</v>
      </c>
      <c r="J18" s="92">
        <v>235611526.80000001</v>
      </c>
      <c r="K18" s="90">
        <f t="shared" si="1"/>
        <v>530984695.20999998</v>
      </c>
      <c r="L18" s="20">
        <f t="shared" si="0"/>
        <v>0.30734762321451481</v>
      </c>
      <c r="M18" s="21"/>
      <c r="N18" s="21"/>
      <c r="O18" s="21"/>
      <c r="P18" s="21"/>
      <c r="Q18" s="21"/>
      <c r="R18" s="21"/>
      <c r="S18" s="21"/>
      <c r="T18" s="21"/>
      <c r="U18" s="21"/>
    </row>
    <row r="19" spans="2:21" ht="49.5" customHeight="1" x14ac:dyDescent="0.2">
      <c r="B19" s="17">
        <v>41</v>
      </c>
      <c r="C19" s="18" t="s">
        <v>110</v>
      </c>
      <c r="D19" s="144" t="s">
        <v>107</v>
      </c>
      <c r="E19" s="18" t="s">
        <v>111</v>
      </c>
      <c r="F19" s="90">
        <v>153319244.41</v>
      </c>
      <c r="G19" s="91">
        <v>29140000</v>
      </c>
      <c r="H19" s="92">
        <v>29140000</v>
      </c>
      <c r="I19" s="92">
        <v>29140000</v>
      </c>
      <c r="J19" s="92">
        <v>29140000</v>
      </c>
      <c r="K19" s="90">
        <f t="shared" si="1"/>
        <v>124179244.41</v>
      </c>
      <c r="L19" s="20">
        <f t="shared" si="0"/>
        <v>0.19006094187416561</v>
      </c>
      <c r="M19" s="21"/>
      <c r="N19" s="21"/>
      <c r="O19" s="21"/>
      <c r="P19" s="21"/>
      <c r="Q19" s="21"/>
      <c r="R19" s="21"/>
      <c r="S19" s="21"/>
      <c r="T19" s="21"/>
      <c r="U19" s="21"/>
    </row>
    <row r="20" spans="2:21" ht="53.25" customHeight="1" x14ac:dyDescent="0.2">
      <c r="B20" s="17">
        <v>83</v>
      </c>
      <c r="C20" s="18" t="s">
        <v>112</v>
      </c>
      <c r="D20" s="144" t="s">
        <v>107</v>
      </c>
      <c r="E20" s="18" t="s">
        <v>105</v>
      </c>
      <c r="F20" s="90">
        <v>724941905</v>
      </c>
      <c r="G20" s="91">
        <v>665148635</v>
      </c>
      <c r="H20" s="92">
        <v>665148635</v>
      </c>
      <c r="I20" s="92">
        <v>665148635</v>
      </c>
      <c r="J20" s="92">
        <v>665148635</v>
      </c>
      <c r="K20" s="90">
        <f t="shared" si="1"/>
        <v>59793270</v>
      </c>
      <c r="L20" s="20">
        <f t="shared" si="0"/>
        <v>0.91751991492338958</v>
      </c>
      <c r="M20" s="21"/>
      <c r="N20" s="21"/>
      <c r="O20" s="21"/>
      <c r="P20" s="21"/>
      <c r="Q20" s="21"/>
      <c r="R20" s="21"/>
      <c r="S20" s="21"/>
      <c r="T20" s="21"/>
      <c r="U20" s="21"/>
    </row>
    <row r="21" spans="2:21" ht="51.75" customHeight="1" x14ac:dyDescent="0.2">
      <c r="B21" s="17">
        <v>88</v>
      </c>
      <c r="C21" s="18" t="s">
        <v>113</v>
      </c>
      <c r="D21" s="144" t="s">
        <v>107</v>
      </c>
      <c r="E21" s="18" t="s">
        <v>63</v>
      </c>
      <c r="F21" s="90">
        <v>300000000</v>
      </c>
      <c r="G21" s="91">
        <v>300000000</v>
      </c>
      <c r="H21" s="92">
        <v>300000000</v>
      </c>
      <c r="I21" s="92">
        <v>300000000</v>
      </c>
      <c r="J21" s="92">
        <v>300000000</v>
      </c>
      <c r="K21" s="90">
        <f t="shared" si="1"/>
        <v>0</v>
      </c>
      <c r="L21" s="20">
        <f t="shared" si="0"/>
        <v>1</v>
      </c>
      <c r="M21" s="21"/>
      <c r="N21" s="21"/>
      <c r="O21" s="21"/>
      <c r="P21" s="21"/>
      <c r="Q21" s="21"/>
      <c r="R21" s="21"/>
      <c r="S21" s="21"/>
      <c r="T21" s="21"/>
      <c r="U21" s="21"/>
    </row>
    <row r="22" spans="2:21" ht="57.75" customHeight="1" x14ac:dyDescent="0.2">
      <c r="B22" s="17">
        <v>20</v>
      </c>
      <c r="C22" s="18" t="s">
        <v>114</v>
      </c>
      <c r="D22" s="144" t="s">
        <v>115</v>
      </c>
      <c r="E22" s="18" t="s">
        <v>57</v>
      </c>
      <c r="F22" s="90">
        <v>111500000</v>
      </c>
      <c r="G22" s="91">
        <v>96175100</v>
      </c>
      <c r="H22" s="92">
        <v>96175100</v>
      </c>
      <c r="I22" s="92">
        <v>96175100</v>
      </c>
      <c r="J22" s="92">
        <v>96175100</v>
      </c>
      <c r="K22" s="90">
        <f t="shared" si="1"/>
        <v>15324900</v>
      </c>
      <c r="L22" s="20">
        <f t="shared" si="0"/>
        <v>0.86255695067264571</v>
      </c>
      <c r="M22" s="21"/>
      <c r="N22" s="21"/>
      <c r="O22" s="21"/>
      <c r="P22" s="21"/>
      <c r="Q22" s="21"/>
      <c r="R22" s="21"/>
      <c r="S22" s="21"/>
      <c r="T22" s="21"/>
      <c r="U22" s="21"/>
    </row>
    <row r="23" spans="2:21" ht="61.5" customHeight="1" x14ac:dyDescent="0.2">
      <c r="B23" s="17">
        <v>88</v>
      </c>
      <c r="C23" s="18" t="s">
        <v>116</v>
      </c>
      <c r="D23" s="144" t="s">
        <v>115</v>
      </c>
      <c r="E23" s="18" t="s">
        <v>63</v>
      </c>
      <c r="F23" s="93">
        <v>443025</v>
      </c>
      <c r="G23" s="91">
        <v>443025</v>
      </c>
      <c r="H23" s="92">
        <v>443025</v>
      </c>
      <c r="I23" s="92">
        <v>443025</v>
      </c>
      <c r="J23" s="92">
        <v>443025</v>
      </c>
      <c r="K23" s="90">
        <f t="shared" si="1"/>
        <v>0</v>
      </c>
      <c r="L23" s="24">
        <f t="shared" si="0"/>
        <v>1</v>
      </c>
      <c r="M23" s="21"/>
      <c r="N23" s="21"/>
      <c r="O23" s="21"/>
      <c r="P23" s="21"/>
      <c r="Q23" s="21"/>
      <c r="R23" s="21"/>
      <c r="S23" s="21"/>
      <c r="T23" s="21"/>
      <c r="U23" s="21"/>
    </row>
    <row r="24" spans="2:21" ht="69" customHeight="1" x14ac:dyDescent="0.2">
      <c r="B24" s="17">
        <v>34</v>
      </c>
      <c r="C24" s="18" t="s">
        <v>117</v>
      </c>
      <c r="D24" s="144" t="s">
        <v>118</v>
      </c>
      <c r="E24" s="18" t="s">
        <v>119</v>
      </c>
      <c r="F24" s="93">
        <v>153319244.41999999</v>
      </c>
      <c r="G24" s="91">
        <v>152988511</v>
      </c>
      <c r="H24" s="92">
        <v>152988511</v>
      </c>
      <c r="I24" s="92">
        <v>152988511</v>
      </c>
      <c r="J24" s="92">
        <v>152988511</v>
      </c>
      <c r="K24" s="90">
        <f t="shared" si="1"/>
        <v>330733.41999998689</v>
      </c>
      <c r="L24" s="126">
        <f t="shared" si="0"/>
        <v>0.99784284470451745</v>
      </c>
      <c r="M24" s="21"/>
      <c r="N24" s="21"/>
      <c r="O24" s="21"/>
      <c r="P24" s="21"/>
      <c r="Q24" s="21"/>
      <c r="R24" s="21"/>
      <c r="S24" s="21"/>
      <c r="T24" s="21"/>
      <c r="U24" s="21"/>
    </row>
    <row r="25" spans="2:21" s="130" customFormat="1" ht="69" customHeight="1" x14ac:dyDescent="0.2">
      <c r="B25" s="131"/>
      <c r="C25" s="144" t="s">
        <v>281</v>
      </c>
      <c r="D25" s="144" t="s">
        <v>118</v>
      </c>
      <c r="E25" s="144" t="s">
        <v>468</v>
      </c>
      <c r="F25" s="93">
        <v>29000000</v>
      </c>
      <c r="G25" s="91">
        <v>24040000</v>
      </c>
      <c r="H25" s="92">
        <v>24040000</v>
      </c>
      <c r="I25" s="92">
        <v>24040000</v>
      </c>
      <c r="J25" s="92">
        <v>14020000</v>
      </c>
      <c r="K25" s="90">
        <f t="shared" si="1"/>
        <v>4960000</v>
      </c>
      <c r="L25" s="20">
        <f t="shared" si="0"/>
        <v>0.82896551724137935</v>
      </c>
      <c r="M25" s="132"/>
      <c r="N25" s="132"/>
      <c r="O25" s="132"/>
      <c r="P25" s="132"/>
      <c r="Q25" s="132"/>
      <c r="R25" s="132"/>
      <c r="S25" s="132"/>
      <c r="T25" s="132"/>
      <c r="U25" s="132"/>
    </row>
    <row r="26" spans="2:21" ht="63" customHeight="1" x14ac:dyDescent="0.2">
      <c r="B26" s="17">
        <v>83</v>
      </c>
      <c r="C26" s="18" t="s">
        <v>120</v>
      </c>
      <c r="D26" s="144" t="s">
        <v>118</v>
      </c>
      <c r="E26" s="18" t="s">
        <v>105</v>
      </c>
      <c r="F26" s="93">
        <v>72215489</v>
      </c>
      <c r="G26" s="91">
        <v>72215489</v>
      </c>
      <c r="H26" s="92">
        <v>72215489</v>
      </c>
      <c r="I26" s="92">
        <v>72215489</v>
      </c>
      <c r="J26" s="92">
        <v>72215489</v>
      </c>
      <c r="K26" s="90">
        <f t="shared" si="1"/>
        <v>0</v>
      </c>
      <c r="L26" s="20">
        <f t="shared" si="0"/>
        <v>1</v>
      </c>
      <c r="M26" s="21"/>
      <c r="N26" s="21"/>
      <c r="O26" s="21"/>
      <c r="P26" s="21"/>
      <c r="Q26" s="21"/>
      <c r="R26" s="21"/>
      <c r="S26" s="21"/>
      <c r="T26" s="21"/>
      <c r="U26" s="21"/>
    </row>
    <row r="27" spans="2:21" ht="69" customHeight="1" x14ac:dyDescent="0.2">
      <c r="B27" s="17">
        <v>20</v>
      </c>
      <c r="C27" s="18" t="s">
        <v>121</v>
      </c>
      <c r="D27" s="144" t="s">
        <v>122</v>
      </c>
      <c r="E27" s="18" t="s">
        <v>57</v>
      </c>
      <c r="F27" s="93">
        <v>193900000</v>
      </c>
      <c r="G27" s="91">
        <v>156055000</v>
      </c>
      <c r="H27" s="92">
        <v>156055000</v>
      </c>
      <c r="I27" s="92">
        <v>156055000</v>
      </c>
      <c r="J27" s="92">
        <v>156055000</v>
      </c>
      <c r="K27" s="90">
        <f t="shared" si="1"/>
        <v>37845000</v>
      </c>
      <c r="L27" s="20">
        <f t="shared" si="0"/>
        <v>0.80482207323362553</v>
      </c>
      <c r="M27" s="21"/>
      <c r="N27" s="21"/>
      <c r="O27" s="21"/>
      <c r="P27" s="21"/>
      <c r="Q27" s="21"/>
      <c r="R27" s="21"/>
      <c r="S27" s="21"/>
      <c r="T27" s="21"/>
      <c r="U27" s="21"/>
    </row>
    <row r="28" spans="2:21" ht="67.5" customHeight="1" x14ac:dyDescent="0.2">
      <c r="B28" s="17">
        <v>47</v>
      </c>
      <c r="C28" s="18" t="s">
        <v>123</v>
      </c>
      <c r="D28" s="144" t="s">
        <v>122</v>
      </c>
      <c r="E28" s="18" t="s">
        <v>124</v>
      </c>
      <c r="F28" s="93">
        <v>206677643</v>
      </c>
      <c r="G28" s="91">
        <v>118478866</v>
      </c>
      <c r="H28" s="92">
        <v>118478866</v>
      </c>
      <c r="I28" s="92">
        <v>118478866</v>
      </c>
      <c r="J28" s="92">
        <v>118478866</v>
      </c>
      <c r="K28" s="90">
        <f t="shared" si="1"/>
        <v>88198777</v>
      </c>
      <c r="L28" s="20">
        <f t="shared" si="0"/>
        <v>0.5732543892035773</v>
      </c>
      <c r="M28" s="21"/>
      <c r="N28" s="21"/>
      <c r="O28" s="21"/>
      <c r="P28" s="21"/>
      <c r="Q28" s="21"/>
      <c r="R28" s="21"/>
      <c r="S28" s="21"/>
      <c r="T28" s="21"/>
      <c r="U28" s="21"/>
    </row>
    <row r="29" spans="2:21" ht="60" customHeight="1" x14ac:dyDescent="0.2">
      <c r="B29" s="17">
        <v>93</v>
      </c>
      <c r="C29" s="18" t="s">
        <v>125</v>
      </c>
      <c r="D29" s="144" t="s">
        <v>122</v>
      </c>
      <c r="E29" s="18" t="s">
        <v>126</v>
      </c>
      <c r="F29" s="93">
        <v>135613084</v>
      </c>
      <c r="G29" s="91">
        <v>67355100</v>
      </c>
      <c r="H29" s="92">
        <v>67355100</v>
      </c>
      <c r="I29" s="92">
        <v>67355100</v>
      </c>
      <c r="J29" s="92">
        <v>67355100</v>
      </c>
      <c r="K29" s="90">
        <f t="shared" si="1"/>
        <v>68257984</v>
      </c>
      <c r="L29" s="20">
        <f t="shared" si="0"/>
        <v>0.49667110291511402</v>
      </c>
      <c r="M29" s="21"/>
      <c r="N29" s="21"/>
      <c r="O29" s="21"/>
      <c r="P29" s="21"/>
      <c r="Q29" s="21"/>
      <c r="R29" s="21"/>
      <c r="S29" s="21"/>
      <c r="T29" s="21"/>
      <c r="U29" s="21"/>
    </row>
    <row r="30" spans="2:21" ht="55.5" customHeight="1" x14ac:dyDescent="0.2">
      <c r="B30" s="17">
        <v>20</v>
      </c>
      <c r="C30" s="18" t="s">
        <v>127</v>
      </c>
      <c r="D30" s="144" t="s">
        <v>128</v>
      </c>
      <c r="E30" s="18" t="s">
        <v>57</v>
      </c>
      <c r="F30" s="93">
        <v>100000000</v>
      </c>
      <c r="G30" s="91">
        <v>76436000</v>
      </c>
      <c r="H30" s="92">
        <v>76436000</v>
      </c>
      <c r="I30" s="92">
        <v>76436000</v>
      </c>
      <c r="J30" s="92">
        <v>76436000</v>
      </c>
      <c r="K30" s="90">
        <f t="shared" si="1"/>
        <v>23564000</v>
      </c>
      <c r="L30" s="20">
        <v>0</v>
      </c>
      <c r="M30" s="21"/>
      <c r="N30" s="21"/>
      <c r="O30" s="21"/>
      <c r="P30" s="21"/>
      <c r="Q30" s="21"/>
      <c r="R30" s="21"/>
      <c r="S30" s="21"/>
      <c r="T30" s="21"/>
      <c r="U30" s="21"/>
    </row>
    <row r="31" spans="2:21" ht="56.25" customHeight="1" x14ac:dyDescent="0.2">
      <c r="B31" s="17">
        <v>88</v>
      </c>
      <c r="C31" s="18" t="s">
        <v>129</v>
      </c>
      <c r="D31" s="144" t="s">
        <v>128</v>
      </c>
      <c r="E31" s="18" t="s">
        <v>63</v>
      </c>
      <c r="F31" s="93">
        <v>50000000</v>
      </c>
      <c r="G31" s="94">
        <v>50000000</v>
      </c>
      <c r="H31" s="92">
        <v>50000000</v>
      </c>
      <c r="I31" s="92">
        <v>50000000</v>
      </c>
      <c r="J31" s="92">
        <v>50000000</v>
      </c>
      <c r="K31" s="90">
        <f t="shared" si="1"/>
        <v>0</v>
      </c>
      <c r="L31" s="20">
        <f t="shared" si="0"/>
        <v>1</v>
      </c>
      <c r="M31" s="21"/>
      <c r="N31" s="21"/>
      <c r="O31" s="21"/>
      <c r="P31" s="21"/>
      <c r="Q31" s="21"/>
      <c r="R31" s="21"/>
      <c r="S31" s="21"/>
      <c r="T31" s="21"/>
      <c r="U31" s="21"/>
    </row>
    <row r="32" spans="2:21" ht="16.5" customHeight="1" x14ac:dyDescent="0.2">
      <c r="B32" s="17"/>
      <c r="C32" s="18"/>
      <c r="D32" s="18"/>
      <c r="E32" s="18"/>
      <c r="F32" s="93"/>
      <c r="G32" s="93"/>
      <c r="H32" s="93"/>
      <c r="I32" s="93"/>
      <c r="J32" s="93"/>
      <c r="K32" s="93"/>
      <c r="L32" s="26"/>
      <c r="M32" s="21"/>
      <c r="N32" s="21"/>
      <c r="O32" s="21"/>
      <c r="P32" s="21"/>
      <c r="Q32" s="21"/>
      <c r="R32" s="21"/>
      <c r="S32" s="21"/>
      <c r="T32" s="21"/>
      <c r="U32" s="21"/>
    </row>
    <row r="33" spans="2:14" ht="42" customHeight="1" x14ac:dyDescent="0.2">
      <c r="B33" s="27"/>
      <c r="C33" s="28"/>
      <c r="D33" s="95" t="s">
        <v>35</v>
      </c>
      <c r="E33" s="96"/>
      <c r="F33" s="220">
        <f t="shared" ref="F33:K33" si="2">SUM(F15:F32)</f>
        <v>4853483592.2600002</v>
      </c>
      <c r="G33" s="220">
        <f t="shared" si="2"/>
        <v>2995355419.8000002</v>
      </c>
      <c r="H33" s="220">
        <f t="shared" si="2"/>
        <v>2995355419.8000002</v>
      </c>
      <c r="I33" s="220">
        <f t="shared" si="2"/>
        <v>2995355419.8000002</v>
      </c>
      <c r="J33" s="220">
        <f t="shared" si="2"/>
        <v>2985335419.8000002</v>
      </c>
      <c r="K33" s="220">
        <f t="shared" si="2"/>
        <v>1858128172.46</v>
      </c>
      <c r="L33" s="20">
        <f t="shared" si="0"/>
        <v>0.61715577334531135</v>
      </c>
    </row>
    <row r="34" spans="2:14" ht="34.5" customHeight="1" x14ac:dyDescent="0.2">
      <c r="B34" s="17"/>
      <c r="C34" s="31"/>
      <c r="D34" s="4" t="s">
        <v>36</v>
      </c>
      <c r="E34" s="32"/>
      <c r="F34" s="97">
        <f>F33/F33</f>
        <v>1</v>
      </c>
      <c r="G34" s="97">
        <f>G33/F33</f>
        <v>0.61715577334531135</v>
      </c>
      <c r="H34" s="97">
        <f>H33/F33</f>
        <v>0.61715577334531135</v>
      </c>
      <c r="I34" s="97">
        <f>I33/H33</f>
        <v>1</v>
      </c>
      <c r="J34" s="97">
        <f>J33/H33</f>
        <v>0.99665482101597513</v>
      </c>
      <c r="K34" s="97">
        <f>K33/F33</f>
        <v>0.38284422665468865</v>
      </c>
      <c r="L34" s="34"/>
    </row>
    <row r="36" spans="2:14" x14ac:dyDescent="0.2">
      <c r="E36" s="159" t="s">
        <v>37</v>
      </c>
      <c r="F36" s="150" t="s">
        <v>38</v>
      </c>
      <c r="G36" s="159" t="s">
        <v>39</v>
      </c>
      <c r="H36" s="150" t="s">
        <v>40</v>
      </c>
      <c r="I36" s="150" t="s">
        <v>41</v>
      </c>
      <c r="J36" s="150" t="s">
        <v>42</v>
      </c>
      <c r="K36" s="159" t="s">
        <v>43</v>
      </c>
      <c r="L36" s="159" t="s">
        <v>44</v>
      </c>
      <c r="M36" s="159" t="s">
        <v>45</v>
      </c>
      <c r="N36" s="152" t="s">
        <v>46</v>
      </c>
    </row>
    <row r="37" spans="2:14" x14ac:dyDescent="0.2">
      <c r="E37" s="159" t="s">
        <v>470</v>
      </c>
      <c r="F37" s="165">
        <f>2776409833/1000</f>
        <v>2776409.8330000001</v>
      </c>
      <c r="G37" s="165">
        <f>134340000/1000</f>
        <v>134340</v>
      </c>
      <c r="H37" s="152">
        <f t="shared" ref="H37:H42" si="3">G37/F37</f>
        <v>4.8386228287788949E-2</v>
      </c>
      <c r="I37" s="165">
        <f>62100000/1000</f>
        <v>62100</v>
      </c>
      <c r="J37" s="152">
        <f t="shared" ref="J37:J42" si="4">I37/F37</f>
        <v>2.2367014862823387E-2</v>
      </c>
      <c r="K37" s="165">
        <v>0</v>
      </c>
      <c r="L37" s="165">
        <v>0</v>
      </c>
      <c r="M37" s="165">
        <f>F37-G37</f>
        <v>2642069.8330000001</v>
      </c>
      <c r="N37" s="152">
        <f t="shared" ref="N37:N42" si="5">M37/F37</f>
        <v>0.95161377171221107</v>
      </c>
    </row>
    <row r="38" spans="2:14" x14ac:dyDescent="0.2">
      <c r="E38" s="159" t="s">
        <v>471</v>
      </c>
      <c r="F38" s="165">
        <f>4816161827/1000</f>
        <v>4816161.8269999996</v>
      </c>
      <c r="G38" s="165">
        <f>691402000/1000</f>
        <v>691402</v>
      </c>
      <c r="H38" s="152">
        <f t="shared" si="3"/>
        <v>0.14355871435297601</v>
      </c>
      <c r="I38" s="165">
        <f>271860000/1000</f>
        <v>271860</v>
      </c>
      <c r="J38" s="152">
        <f t="shared" si="4"/>
        <v>5.6447438804053299E-2</v>
      </c>
      <c r="K38" s="165">
        <f>7710000/1000</f>
        <v>7710</v>
      </c>
      <c r="L38" s="165">
        <f>7710000/1000</f>
        <v>7710</v>
      </c>
      <c r="M38" s="165">
        <f>F38-G38</f>
        <v>4124759.8269999996</v>
      </c>
      <c r="N38" s="152">
        <f t="shared" si="5"/>
        <v>0.85644128564702404</v>
      </c>
    </row>
    <row r="39" spans="2:14" x14ac:dyDescent="0.2">
      <c r="D39" s="60"/>
      <c r="E39" s="159" t="s">
        <v>472</v>
      </c>
      <c r="F39" s="165">
        <f>4816161827/1000</f>
        <v>4816161.8269999996</v>
      </c>
      <c r="G39" s="165">
        <f>1516232000/1000</f>
        <v>1516232</v>
      </c>
      <c r="H39" s="152">
        <f t="shared" si="3"/>
        <v>0.31482164729179479</v>
      </c>
      <c r="I39" s="165">
        <f>271860000/1000</f>
        <v>271860</v>
      </c>
      <c r="J39" s="152">
        <f t="shared" si="4"/>
        <v>5.6447438804053299E-2</v>
      </c>
      <c r="K39" s="165">
        <f>43830000/1000</f>
        <v>43830</v>
      </c>
      <c r="L39" s="165">
        <f>43830000/100</f>
        <v>438300</v>
      </c>
      <c r="M39" s="165">
        <f>F39-G39</f>
        <v>3299929.8269999996</v>
      </c>
      <c r="N39" s="152">
        <f t="shared" si="5"/>
        <v>0.68517835270820515</v>
      </c>
    </row>
    <row r="40" spans="2:14" x14ac:dyDescent="0.2">
      <c r="D40" s="60"/>
      <c r="E40" s="159" t="s">
        <v>473</v>
      </c>
      <c r="F40" s="169">
        <f>4816161827/1000</f>
        <v>4816161.8269999996</v>
      </c>
      <c r="G40" s="169">
        <f>1483232000/1000</f>
        <v>1483232</v>
      </c>
      <c r="H40" s="152">
        <f t="shared" si="3"/>
        <v>0.30796971806155221</v>
      </c>
      <c r="I40" s="169">
        <f>703132000/1000</f>
        <v>703132</v>
      </c>
      <c r="J40" s="152">
        <f t="shared" si="4"/>
        <v>0.14599426374299862</v>
      </c>
      <c r="K40" s="169">
        <f>106789667/1000</f>
        <v>106789.667</v>
      </c>
      <c r="L40" s="169">
        <f>106789667/1000</f>
        <v>106789.667</v>
      </c>
      <c r="M40" s="165">
        <f>3332929827/1000</f>
        <v>3332929.827</v>
      </c>
      <c r="N40" s="152">
        <f t="shared" si="5"/>
        <v>0.69203028193844784</v>
      </c>
    </row>
    <row r="41" spans="2:14" x14ac:dyDescent="0.2">
      <c r="D41" s="60"/>
      <c r="E41" s="159" t="s">
        <v>476</v>
      </c>
      <c r="F41" s="169">
        <f>4816161827/1000</f>
        <v>4816161.8269999996</v>
      </c>
      <c r="G41" s="169">
        <f>2071717667/1000</f>
        <v>2071717.6669999999</v>
      </c>
      <c r="H41" s="152">
        <f t="shared" si="3"/>
        <v>0.43015947997961657</v>
      </c>
      <c r="I41" s="169">
        <f>841617667/1000</f>
        <v>841617.66700000002</v>
      </c>
      <c r="J41" s="152">
        <f t="shared" si="4"/>
        <v>0.17474862706684546</v>
      </c>
      <c r="K41" s="169">
        <f>158859667/1000</f>
        <v>158859.66699999999</v>
      </c>
      <c r="L41" s="169">
        <f>158859667/1000</f>
        <v>158859.66699999999</v>
      </c>
      <c r="M41" s="165">
        <f>2744444160/1000</f>
        <v>2744444.16</v>
      </c>
      <c r="N41" s="152">
        <f t="shared" si="5"/>
        <v>0.56984052002038355</v>
      </c>
    </row>
    <row r="42" spans="2:14" x14ac:dyDescent="0.2">
      <c r="E42" s="159" t="s">
        <v>477</v>
      </c>
      <c r="F42" s="170">
        <f>4816161827/1000</f>
        <v>4816161.8269999996</v>
      </c>
      <c r="G42" s="170">
        <f>2299607667/1000</f>
        <v>2299607.6669999999</v>
      </c>
      <c r="H42" s="152">
        <f t="shared" si="3"/>
        <v>0.47747724216991932</v>
      </c>
      <c r="I42" s="170">
        <f>994298576.7/1000</f>
        <v>994298.57670000009</v>
      </c>
      <c r="J42" s="152">
        <f t="shared" si="4"/>
        <v>0.20645040852361712</v>
      </c>
      <c r="K42" s="170">
        <f>309893303.7/1000</f>
        <v>309893.30369999999</v>
      </c>
      <c r="L42" s="170">
        <f>309893303.7/1000</f>
        <v>309893.30369999999</v>
      </c>
      <c r="M42" s="170">
        <f>2516554160/1000</f>
        <v>2516554.16</v>
      </c>
      <c r="N42" s="152">
        <f t="shared" si="5"/>
        <v>0.52252275783008073</v>
      </c>
    </row>
    <row r="43" spans="2:14" s="130" customFormat="1" x14ac:dyDescent="0.2">
      <c r="B43" s="134"/>
      <c r="E43" s="159" t="s">
        <v>474</v>
      </c>
      <c r="F43" s="170">
        <f>4888482262/1000</f>
        <v>4888482.2620000001</v>
      </c>
      <c r="G43" s="170">
        <f>2627196501/1000</f>
        <v>2627196.5010000002</v>
      </c>
      <c r="H43" s="152">
        <f t="shared" ref="H43:H44" si="6">G43/F43</f>
        <v>0.53742580215994251</v>
      </c>
      <c r="I43" s="170">
        <f>1217517167/1000</f>
        <v>1217517.1669999999</v>
      </c>
      <c r="J43" s="152">
        <f t="shared" ref="J43:J44" si="7">I43/F43</f>
        <v>0.24905831743815784</v>
      </c>
      <c r="K43" s="170">
        <f>543774213/1000</f>
        <v>543774.21299999999</v>
      </c>
      <c r="L43" s="170">
        <f>530184213/1000</f>
        <v>530184.21299999999</v>
      </c>
      <c r="M43" s="170">
        <f>2261285761/1000</f>
        <v>2261285.7609999999</v>
      </c>
      <c r="N43" s="152">
        <f t="shared" ref="N43:N44" si="8">M43/F43</f>
        <v>0.46257419784005754</v>
      </c>
    </row>
    <row r="44" spans="2:14" s="130" customFormat="1" x14ac:dyDescent="0.2">
      <c r="B44" s="134"/>
      <c r="E44" s="159" t="s">
        <v>475</v>
      </c>
      <c r="F44" s="170">
        <f>4888482262/1000</f>
        <v>4888482.2620000001</v>
      </c>
      <c r="G44" s="170">
        <f>2810561871/1000</f>
        <v>2810561.8709999998</v>
      </c>
      <c r="H44" s="152">
        <f t="shared" si="6"/>
        <v>0.57493547493207608</v>
      </c>
      <c r="I44" s="170">
        <f>1636234446/1000</f>
        <v>1636234.446</v>
      </c>
      <c r="J44" s="152">
        <f t="shared" si="7"/>
        <v>0.33471215774250873</v>
      </c>
      <c r="K44" s="170">
        <f>652118757.8/1000</f>
        <v>652118.7577999999</v>
      </c>
      <c r="L44" s="170">
        <f>652118757.8/1000</f>
        <v>652118.7577999999</v>
      </c>
      <c r="M44" s="170">
        <f>2077920391/1000</f>
        <v>2077920.3910000001</v>
      </c>
      <c r="N44" s="152">
        <f t="shared" si="8"/>
        <v>0.42506452506792386</v>
      </c>
    </row>
    <row r="45" spans="2:14" x14ac:dyDescent="0.2">
      <c r="E45" s="159" t="s">
        <v>478</v>
      </c>
      <c r="F45" s="170">
        <f>4888482262/1000</f>
        <v>4888482.2620000001</v>
      </c>
      <c r="G45" s="170">
        <f>2922103871/1000</f>
        <v>2922103.8709999998</v>
      </c>
      <c r="H45" s="152">
        <f t="shared" ref="H45" si="9">G45/F45</f>
        <v>0.59775278182240843</v>
      </c>
      <c r="I45" s="170">
        <f>2180238481/1000</f>
        <v>2180238.4810000001</v>
      </c>
      <c r="J45" s="152">
        <f t="shared" ref="J45" si="10">I45/F45</f>
        <v>0.44599496615704404</v>
      </c>
      <c r="K45" s="170">
        <f>1066246725.3/1000</f>
        <v>1066246.7253</v>
      </c>
      <c r="L45" s="170">
        <f>1066246725.3/1000</f>
        <v>1066246.7253</v>
      </c>
      <c r="M45" s="170">
        <f>1966378391/1000</f>
        <v>1966378.3910000001</v>
      </c>
      <c r="N45" s="152">
        <f t="shared" ref="N45" si="11">M45/F45</f>
        <v>0.40224721817759151</v>
      </c>
    </row>
    <row r="46" spans="2:14" x14ac:dyDescent="0.2">
      <c r="E46" s="159" t="s">
        <v>488</v>
      </c>
      <c r="F46" s="170">
        <f>4869482262/1000</f>
        <v>4869482.2620000001</v>
      </c>
      <c r="G46" s="170">
        <f>2966905200/1000</f>
        <v>2966905.2</v>
      </c>
      <c r="H46" s="152">
        <f t="shared" ref="H46:H47" si="12">G46/F46</f>
        <v>0.60928555447318311</v>
      </c>
      <c r="I46" s="170">
        <f>2399240481/1000</f>
        <v>2399240.4810000001</v>
      </c>
      <c r="J46" s="152">
        <f t="shared" ref="J46:J47" si="13">I46/F46</f>
        <v>0.49270956375033204</v>
      </c>
      <c r="K46" s="170">
        <f>1342467210.3/1000</f>
        <v>1342467.2102999999</v>
      </c>
      <c r="L46" s="170">
        <f>1339087210.3/1000</f>
        <v>1339087.2102999999</v>
      </c>
      <c r="M46" s="170">
        <f>1902577062/1000</f>
        <v>1902577.0619999999</v>
      </c>
      <c r="N46" s="152">
        <f t="shared" ref="N46:N47" si="14">M46/F46</f>
        <v>0.39071444552681683</v>
      </c>
    </row>
    <row r="47" spans="2:14" s="130" customFormat="1" x14ac:dyDescent="0.2">
      <c r="B47" s="134"/>
      <c r="E47" s="159" t="s">
        <v>487</v>
      </c>
      <c r="F47" s="170">
        <f>4969482262/1000</f>
        <v>4969482.2620000001</v>
      </c>
      <c r="G47" s="170">
        <f>3146726403/1000</f>
        <v>3146726.4029999999</v>
      </c>
      <c r="H47" s="152">
        <f t="shared" si="12"/>
        <v>0.6332101086388785</v>
      </c>
      <c r="I47" s="170">
        <f>2579473013/1000</f>
        <v>2579473.0129999998</v>
      </c>
      <c r="J47" s="152">
        <f t="shared" si="13"/>
        <v>0.51906272665955233</v>
      </c>
      <c r="K47" s="170">
        <f>1634746883.3/1000</f>
        <v>1634746.8832999999</v>
      </c>
      <c r="L47" s="170">
        <f>1634746883.3/1000</f>
        <v>1634746.8832999999</v>
      </c>
      <c r="M47" s="170">
        <f>1822755859/1000</f>
        <v>1822755.8589999999</v>
      </c>
      <c r="N47" s="152">
        <f t="shared" si="14"/>
        <v>0.36678989136112139</v>
      </c>
    </row>
    <row r="48" spans="2:14" s="130" customFormat="1" x14ac:dyDescent="0.2">
      <c r="B48" s="134"/>
      <c r="E48" s="159" t="s">
        <v>494</v>
      </c>
      <c r="F48" s="170">
        <f>F33/1000</f>
        <v>4853483.5922600003</v>
      </c>
      <c r="G48" s="170">
        <f>G33/1000</f>
        <v>2995355.4198000003</v>
      </c>
      <c r="H48" s="152">
        <f t="shared" ref="H48" si="15">G48/F48</f>
        <v>0.61715577334531135</v>
      </c>
      <c r="I48" s="170">
        <f>H33/1000</f>
        <v>2995355.4198000003</v>
      </c>
      <c r="J48" s="152">
        <f t="shared" ref="J48" si="16">I48/F48</f>
        <v>0.61715577334531135</v>
      </c>
      <c r="K48" s="170">
        <f>I33/1000</f>
        <v>2995355.4198000003</v>
      </c>
      <c r="L48" s="170">
        <f>J33/1000</f>
        <v>2985335.4198000003</v>
      </c>
      <c r="M48" s="170">
        <f>K33/1000</f>
        <v>1858128.17246</v>
      </c>
      <c r="N48" s="152">
        <f t="shared" ref="N48" si="17">M48/F48</f>
        <v>0.38284422665468865</v>
      </c>
    </row>
    <row r="49" spans="2:13" s="130" customFormat="1" x14ac:dyDescent="0.2">
      <c r="B49" s="134"/>
      <c r="F49" s="59"/>
      <c r="G49" s="59"/>
      <c r="H49" s="59"/>
      <c r="I49" s="59"/>
      <c r="J49" s="59"/>
      <c r="K49" s="59"/>
      <c r="L49" s="59"/>
      <c r="M49" s="59"/>
    </row>
    <row r="50" spans="2:13" s="130" customFormat="1" x14ac:dyDescent="0.2">
      <c r="B50" s="134"/>
      <c r="F50" s="59"/>
      <c r="G50" s="59"/>
      <c r="H50" s="59"/>
      <c r="I50" s="59"/>
      <c r="J50" s="59"/>
      <c r="K50" s="59"/>
      <c r="L50" s="59"/>
      <c r="M50" s="59"/>
    </row>
    <row r="51" spans="2:13" ht="43.5" customHeight="1" x14ac:dyDescent="0.2">
      <c r="D51" s="46" t="s">
        <v>47</v>
      </c>
      <c r="E51" s="46" t="s">
        <v>48</v>
      </c>
      <c r="F51" s="46" t="s">
        <v>12</v>
      </c>
      <c r="G51" s="46" t="s">
        <v>13</v>
      </c>
      <c r="H51" s="46" t="s">
        <v>14</v>
      </c>
      <c r="I51" s="48" t="s">
        <v>15</v>
      </c>
      <c r="J51" s="46" t="s">
        <v>16</v>
      </c>
      <c r="K51" s="46" t="s">
        <v>17</v>
      </c>
    </row>
    <row r="52" spans="2:13" ht="23.25" customHeight="1" x14ac:dyDescent="0.2">
      <c r="D52" s="36" t="s">
        <v>49</v>
      </c>
      <c r="E52" s="37" t="s">
        <v>24</v>
      </c>
      <c r="F52" s="98">
        <f>F17+F21+F22+F23+F27+F30+F31</f>
        <v>1720943025</v>
      </c>
      <c r="G52" s="98">
        <f t="shared" ref="G52:K52" si="18">G17+G21+G22+G23+G27+G30+G31</f>
        <v>1630377292</v>
      </c>
      <c r="H52" s="98">
        <f t="shared" si="18"/>
        <v>1630377292</v>
      </c>
      <c r="I52" s="98">
        <f t="shared" si="18"/>
        <v>1630377292</v>
      </c>
      <c r="J52" s="98">
        <f t="shared" si="18"/>
        <v>1630377292</v>
      </c>
      <c r="K52" s="98">
        <f t="shared" si="18"/>
        <v>90565733</v>
      </c>
    </row>
    <row r="53" spans="2:13" ht="23.25" customHeight="1" x14ac:dyDescent="0.2">
      <c r="D53" s="36"/>
      <c r="E53" s="37" t="s">
        <v>50</v>
      </c>
      <c r="F53" s="39">
        <v>1</v>
      </c>
      <c r="G53" s="39">
        <f>G52/F52</f>
        <v>0.94737435714933094</v>
      </c>
      <c r="H53" s="39">
        <f>H52/F52</f>
        <v>0.94737435714933094</v>
      </c>
      <c r="I53" s="39">
        <f>I52/H52</f>
        <v>1</v>
      </c>
      <c r="J53" s="39">
        <f>J52/H52</f>
        <v>1</v>
      </c>
      <c r="K53" s="39">
        <f>K52/F52</f>
        <v>5.2625642850669042E-2</v>
      </c>
    </row>
    <row r="54" spans="2:13" ht="23.25" customHeight="1" x14ac:dyDescent="0.2">
      <c r="D54" s="406" t="s">
        <v>130</v>
      </c>
      <c r="E54" s="37" t="s">
        <v>131</v>
      </c>
      <c r="F54" s="98">
        <f>F15+F16+F18+F19+F20+F24+F26</f>
        <v>2761249840.2600002</v>
      </c>
      <c r="G54" s="98">
        <f t="shared" ref="G54:K54" si="19">G15+G16+G18+G19+G20+G24+G26</f>
        <v>1155104161.8</v>
      </c>
      <c r="H54" s="98">
        <f t="shared" si="19"/>
        <v>1155104161.8</v>
      </c>
      <c r="I54" s="98">
        <f t="shared" si="19"/>
        <v>1155104161.8</v>
      </c>
      <c r="J54" s="98">
        <f t="shared" si="19"/>
        <v>1155104161.8</v>
      </c>
      <c r="K54" s="98">
        <f t="shared" si="19"/>
        <v>1606145678.46</v>
      </c>
    </row>
    <row r="55" spans="2:13" ht="23.25" customHeight="1" x14ac:dyDescent="0.2">
      <c r="D55" s="36"/>
      <c r="E55" s="37" t="s">
        <v>50</v>
      </c>
      <c r="F55" s="39">
        <v>1</v>
      </c>
      <c r="G55" s="39">
        <f>G54/F54</f>
        <v>0.41832656536839669</v>
      </c>
      <c r="H55" s="39">
        <f>H54/F54</f>
        <v>0.41832656536839669</v>
      </c>
      <c r="I55" s="39">
        <f>I54/H54</f>
        <v>1</v>
      </c>
      <c r="J55" s="39">
        <f>J54/H54</f>
        <v>1</v>
      </c>
      <c r="K55" s="39">
        <f>K54/F54</f>
        <v>0.58167343463160326</v>
      </c>
    </row>
    <row r="56" spans="2:13" x14ac:dyDescent="0.2">
      <c r="D56" s="36" t="s">
        <v>132</v>
      </c>
      <c r="E56" s="37" t="s">
        <v>133</v>
      </c>
      <c r="F56" s="98">
        <f>F28+F29</f>
        <v>342290727</v>
      </c>
      <c r="G56" s="98">
        <f t="shared" ref="G56:K56" si="20">G28+G29</f>
        <v>185833966</v>
      </c>
      <c r="H56" s="98">
        <f t="shared" si="20"/>
        <v>185833966</v>
      </c>
      <c r="I56" s="98">
        <f t="shared" si="20"/>
        <v>185833966</v>
      </c>
      <c r="J56" s="98">
        <f t="shared" si="20"/>
        <v>185833966</v>
      </c>
      <c r="K56" s="98">
        <f t="shared" si="20"/>
        <v>156456761</v>
      </c>
    </row>
    <row r="57" spans="2:13" x14ac:dyDescent="0.2">
      <c r="D57" s="36"/>
      <c r="E57" s="37" t="s">
        <v>50</v>
      </c>
      <c r="F57" s="39">
        <v>1</v>
      </c>
      <c r="G57" s="39">
        <f>G56/F56</f>
        <v>0.54291265097578878</v>
      </c>
      <c r="H57" s="39">
        <f>H56/F56</f>
        <v>0.54291265097578878</v>
      </c>
      <c r="I57" s="39">
        <f>I56/H56</f>
        <v>1</v>
      </c>
      <c r="J57" s="39">
        <f>J56/H56</f>
        <v>1</v>
      </c>
      <c r="K57" s="39">
        <f>K56/F56</f>
        <v>0.45708734902421122</v>
      </c>
    </row>
    <row r="58" spans="2:13" s="130" customFormat="1" x14ac:dyDescent="0.2">
      <c r="B58" s="134"/>
      <c r="D58" s="143">
        <v>56</v>
      </c>
      <c r="E58" s="37" t="s">
        <v>469</v>
      </c>
      <c r="F58" s="405">
        <f>F25</f>
        <v>29000000</v>
      </c>
      <c r="G58" s="405">
        <f t="shared" ref="G58:K58" si="21">G25</f>
        <v>24040000</v>
      </c>
      <c r="H58" s="405">
        <f t="shared" si="21"/>
        <v>24040000</v>
      </c>
      <c r="I58" s="405">
        <f t="shared" si="21"/>
        <v>24040000</v>
      </c>
      <c r="J58" s="405">
        <f t="shared" si="21"/>
        <v>14020000</v>
      </c>
      <c r="K58" s="405">
        <f t="shared" si="21"/>
        <v>4960000</v>
      </c>
    </row>
    <row r="59" spans="2:13" s="130" customFormat="1" x14ac:dyDescent="0.2">
      <c r="B59" s="134"/>
      <c r="D59" s="143"/>
      <c r="E59" s="37"/>
      <c r="F59" s="137">
        <v>1</v>
      </c>
      <c r="G59" s="137">
        <f>G58/F58</f>
        <v>0.82896551724137935</v>
      </c>
      <c r="H59" s="137">
        <f>H58/F58</f>
        <v>0.82896551724137935</v>
      </c>
      <c r="I59" s="137">
        <f>I58/H58</f>
        <v>1</v>
      </c>
      <c r="J59" s="137">
        <f>J58/H58</f>
        <v>0.58319467554076543</v>
      </c>
      <c r="K59" s="137">
        <f>K58/F58</f>
        <v>0.17103448275862068</v>
      </c>
    </row>
    <row r="60" spans="2:13" x14ac:dyDescent="0.2">
      <c r="D60" s="34"/>
      <c r="E60" s="99" t="s">
        <v>134</v>
      </c>
      <c r="F60" s="100">
        <f>F52+F54+F56+F58</f>
        <v>4853483592.2600002</v>
      </c>
      <c r="G60" s="100">
        <f t="shared" ref="G60:K60" si="22">G52+G54+G56+G58</f>
        <v>2995355419.8000002</v>
      </c>
      <c r="H60" s="100">
        <f t="shared" si="22"/>
        <v>2995355419.8000002</v>
      </c>
      <c r="I60" s="100">
        <f t="shared" si="22"/>
        <v>2995355419.8000002</v>
      </c>
      <c r="J60" s="100">
        <f t="shared" si="22"/>
        <v>2985335419.8000002</v>
      </c>
      <c r="K60" s="100">
        <f t="shared" si="22"/>
        <v>1858128172.46</v>
      </c>
    </row>
    <row r="61" spans="2:13" x14ac:dyDescent="0.2">
      <c r="D61" s="34"/>
      <c r="E61" s="37" t="s">
        <v>50</v>
      </c>
      <c r="F61" s="39">
        <v>1</v>
      </c>
      <c r="G61" s="66">
        <f>G60/F60</f>
        <v>0.61715577334531135</v>
      </c>
      <c r="H61" s="66">
        <f>H60/F60</f>
        <v>0.61715577334531135</v>
      </c>
      <c r="I61" s="66">
        <f>I60/H60</f>
        <v>1</v>
      </c>
      <c r="J61" s="66">
        <f>J60/H60</f>
        <v>0.99665482101597513</v>
      </c>
      <c r="K61" s="66">
        <f>K60/F60</f>
        <v>0.38284422665468865</v>
      </c>
    </row>
    <row r="63" spans="2:13" x14ac:dyDescent="0.2">
      <c r="F63" s="171"/>
      <c r="G63" s="171"/>
      <c r="H63" s="171"/>
      <c r="I63" s="171"/>
      <c r="J63" s="171"/>
      <c r="K63" s="171"/>
    </row>
    <row r="88" spans="4:13" x14ac:dyDescent="0.2">
      <c r="D88" s="221" t="s">
        <v>332</v>
      </c>
      <c r="E88" s="222" t="s">
        <v>329</v>
      </c>
      <c r="F88" s="222" t="s">
        <v>39</v>
      </c>
      <c r="G88" s="100" t="s">
        <v>40</v>
      </c>
      <c r="H88" s="227" t="s">
        <v>41</v>
      </c>
      <c r="I88" s="227" t="s">
        <v>42</v>
      </c>
      <c r="J88" s="228" t="s">
        <v>330</v>
      </c>
      <c r="K88" s="228" t="s">
        <v>331</v>
      </c>
      <c r="L88" s="229" t="s">
        <v>45</v>
      </c>
      <c r="M88" s="229" t="s">
        <v>301</v>
      </c>
    </row>
    <row r="89" spans="4:13" x14ac:dyDescent="0.2">
      <c r="D89" s="86" t="s">
        <v>333</v>
      </c>
      <c r="E89" s="38">
        <f>F15+F17+F18+F19+F22+F24+F27+F28+F30+F25</f>
        <v>2832731598.2600002</v>
      </c>
      <c r="F89" s="38">
        <f>G15+G17+G18+G19+G22+G24+G27+G28+G30+G25</f>
        <v>1840193170.8</v>
      </c>
      <c r="G89" s="82">
        <f>F89/E89</f>
        <v>0.64961790659246887</v>
      </c>
      <c r="H89" s="38">
        <f>H15+H17+H18+H19+H25+H22+H24+H27+H28+H30</f>
        <v>1840193170.8</v>
      </c>
      <c r="I89" s="230">
        <f>H89/F89</f>
        <v>1</v>
      </c>
      <c r="J89" s="23">
        <f>F89-H89</f>
        <v>0</v>
      </c>
      <c r="K89" s="142">
        <f>J89/F89</f>
        <v>0</v>
      </c>
      <c r="L89" s="57">
        <f>E89-F89</f>
        <v>992538427.46000028</v>
      </c>
      <c r="M89" s="82">
        <f>L89/E89</f>
        <v>0.35038209340753113</v>
      </c>
    </row>
    <row r="90" spans="4:13" x14ac:dyDescent="0.2">
      <c r="D90" s="86" t="s">
        <v>328</v>
      </c>
      <c r="E90" s="38">
        <f>F16+F20+F21+F23+F26+F29+F31</f>
        <v>2020751994</v>
      </c>
      <c r="F90" s="38">
        <f>G16+G20+G21+G23+G26+G29+G31</f>
        <v>1155162249</v>
      </c>
      <c r="G90" s="82">
        <f>F90/E90</f>
        <v>0.57164968904145497</v>
      </c>
      <c r="H90" s="226">
        <f>H16+H20+H21+H23+H26+H29+H31</f>
        <v>1155162249</v>
      </c>
      <c r="I90" s="230">
        <f>H90/F90</f>
        <v>1</v>
      </c>
      <c r="J90" s="23">
        <f>F90-H90</f>
        <v>0</v>
      </c>
      <c r="K90" s="142">
        <f>J90/F90</f>
        <v>0</v>
      </c>
      <c r="L90" s="57">
        <f>E90-F90</f>
        <v>865589745</v>
      </c>
      <c r="M90" s="82">
        <f>L90/E90</f>
        <v>0.42835031095854509</v>
      </c>
    </row>
    <row r="91" spans="4:13" x14ac:dyDescent="0.2">
      <c r="D91" s="231" t="s">
        <v>134</v>
      </c>
      <c r="E91" s="118">
        <f>SUBTOTAL(9,E89:E90)</f>
        <v>4853483592.2600002</v>
      </c>
      <c r="F91" s="118">
        <f>SUBTOTAL(9,F89:F90)</f>
        <v>2995355419.8000002</v>
      </c>
      <c r="G91" s="232">
        <f>F91/E91</f>
        <v>0.61715577334531135</v>
      </c>
      <c r="H91" s="118">
        <f>SUBTOTAL(9,H89:H90)</f>
        <v>2995355419.8000002</v>
      </c>
      <c r="I91" s="233">
        <f>H91/F91</f>
        <v>1</v>
      </c>
      <c r="J91" s="118">
        <f>SUBTOTAL(9,J89:J90)</f>
        <v>0</v>
      </c>
      <c r="K91" s="234">
        <f>J91/F91</f>
        <v>0</v>
      </c>
      <c r="L91" s="118">
        <f>SUBTOTAL(9,L89:L90)</f>
        <v>1858128172.4600003</v>
      </c>
      <c r="M91" s="232">
        <f>L91/E91</f>
        <v>0.3828442266546887</v>
      </c>
    </row>
    <row r="92" spans="4:13" x14ac:dyDescent="0.2">
      <c r="E92" s="110">
        <f>F60-E91</f>
        <v>0</v>
      </c>
      <c r="F92" s="110">
        <f>G60-F91</f>
        <v>0</v>
      </c>
      <c r="H92" s="64">
        <f>H91-H33</f>
        <v>0</v>
      </c>
    </row>
    <row r="95" spans="4:13" x14ac:dyDescent="0.2">
      <c r="D95" s="517" t="s">
        <v>503</v>
      </c>
      <c r="E95" s="518"/>
    </row>
    <row r="96" spans="4:13" x14ac:dyDescent="0.2">
      <c r="D96" s="519"/>
      <c r="E96" s="520"/>
    </row>
    <row r="97" spans="4:5" x14ac:dyDescent="0.2">
      <c r="D97" s="519"/>
      <c r="E97" s="520"/>
    </row>
    <row r="98" spans="4:5" x14ac:dyDescent="0.2">
      <c r="D98" s="519"/>
      <c r="E98" s="520"/>
    </row>
    <row r="99" spans="4:5" x14ac:dyDescent="0.2">
      <c r="D99" s="519"/>
      <c r="E99" s="520"/>
    </row>
    <row r="100" spans="4:5" x14ac:dyDescent="0.2">
      <c r="D100" s="519"/>
      <c r="E100" s="520"/>
    </row>
    <row r="101" spans="4:5" x14ac:dyDescent="0.2">
      <c r="D101" s="519"/>
      <c r="E101" s="520"/>
    </row>
    <row r="102" spans="4:5" x14ac:dyDescent="0.2">
      <c r="D102" s="521"/>
      <c r="E102" s="522"/>
    </row>
  </sheetData>
  <autoFilter ref="A14:U31"/>
  <mergeCells count="17">
    <mergeCell ref="D95:E102"/>
    <mergeCell ref="A9:A14"/>
    <mergeCell ref="B9:B14"/>
    <mergeCell ref="C9:C14"/>
    <mergeCell ref="D9:D14"/>
    <mergeCell ref="E9:E14"/>
    <mergeCell ref="K9:K14"/>
    <mergeCell ref="D1:K2"/>
    <mergeCell ref="D3:K4"/>
    <mergeCell ref="B5:L5"/>
    <mergeCell ref="B6:L6"/>
    <mergeCell ref="B7:L7"/>
    <mergeCell ref="F9:F14"/>
    <mergeCell ref="G9:G14"/>
    <mergeCell ref="H9:H14"/>
    <mergeCell ref="I9:I14"/>
    <mergeCell ref="J9:J14"/>
  </mergeCells>
  <conditionalFormatting sqref="L15:L31">
    <cfRule type="cellIs" dxfId="11" priority="7" operator="greaterThanOrEqual">
      <formula>0.7999</formula>
    </cfRule>
    <cfRule type="cellIs" dxfId="10" priority="8" operator="between">
      <formula>0</formula>
      <formula>0.39</formula>
    </cfRule>
    <cfRule type="cellIs" dxfId="9" priority="9" operator="between">
      <formula>0.4</formula>
      <formula>0.59</formula>
    </cfRule>
    <cfRule type="cellIs" dxfId="8" priority="10" operator="between">
      <formula>0.6</formula>
      <formula>0.69</formula>
    </cfRule>
    <cfRule type="cellIs" dxfId="7" priority="11" operator="between">
      <formula>0.7</formula>
      <formula>0.79</formula>
    </cfRule>
    <cfRule type="cellIs" dxfId="6" priority="12" operator="between">
      <formula>0.8</formula>
      <formula>1</formula>
    </cfRule>
  </conditionalFormatting>
  <conditionalFormatting sqref="L33">
    <cfRule type="cellIs" dxfId="5" priority="1" operator="between">
      <formula>0.4</formula>
      <formula>0.5999</formula>
    </cfRule>
    <cfRule type="cellIs" dxfId="4" priority="2" operator="between">
      <formula>0</formula>
      <formula>0.39</formula>
    </cfRule>
    <cfRule type="cellIs" dxfId="3" priority="3" operator="between">
      <formula>0.4</formula>
      <formula>0.59</formula>
    </cfRule>
    <cfRule type="cellIs" dxfId="2" priority="4" operator="between">
      <formula>0.6</formula>
      <formula>0.69</formula>
    </cfRule>
    <cfRule type="cellIs" dxfId="1" priority="5" operator="between">
      <formula>0.7</formula>
      <formula>0.79</formula>
    </cfRule>
    <cfRule type="cellIs" dxfId="0" priority="6" operator="between">
      <formula>0.8</formula>
      <formula>1</formula>
    </cfRule>
  </conditionalFormatting>
  <pageMargins left="0.70866141732283472" right="0.70866141732283472" top="0.74803149606299213" bottom="0.74803149606299213" header="0.31496062992125984" footer="0.31496062992125984"/>
  <pageSetup paperSize="5" scale="5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5"/>
  <sheetViews>
    <sheetView showGridLines="0" tabSelected="1" zoomScale="70" zoomScaleNormal="70" workbookViewId="0">
      <pane xSplit="1" ySplit="3" topLeftCell="B4" activePane="bottomRight" state="frozen"/>
      <selection pane="topRight" activeCell="B1" sqref="B1"/>
      <selection pane="bottomLeft" activeCell="A10" sqref="A10"/>
      <selection pane="bottomRight" activeCell="H4" sqref="H4"/>
    </sheetView>
  </sheetViews>
  <sheetFormatPr baseColWidth="10" defaultColWidth="11.42578125" defaultRowHeight="12.75" x14ac:dyDescent="0.2"/>
  <cols>
    <col min="1" max="1" width="8.140625" style="130" customWidth="1"/>
    <col min="2" max="2" width="7.5703125" style="134" customWidth="1"/>
    <col min="3" max="3" width="18.140625" style="134" customWidth="1"/>
    <col min="4" max="4" width="6.5703125" style="134" customWidth="1"/>
    <col min="5" max="5" width="14.85546875" style="134" customWidth="1"/>
    <col min="6" max="6" width="8.7109375" style="134" customWidth="1"/>
    <col min="7" max="7" width="22.28515625" style="134" customWidth="1"/>
    <col min="8" max="8" width="42.42578125" style="399" customWidth="1"/>
    <col min="9" max="9" width="22.28515625" style="89" customWidth="1"/>
    <col min="10" max="10" width="23.140625" style="89" customWidth="1"/>
    <col min="11" max="11" width="21.42578125" style="89" customWidth="1"/>
    <col min="12" max="12" width="22.42578125" style="89" customWidth="1"/>
    <col min="13" max="13" width="20.85546875" style="89" customWidth="1"/>
    <col min="14" max="15" width="23.42578125" style="89" customWidth="1"/>
    <col min="16" max="16" width="20.7109375" style="240" customWidth="1"/>
    <col min="17" max="17" width="20.28515625" style="240" customWidth="1"/>
    <col min="18" max="18" width="22.140625" style="240" customWidth="1"/>
    <col min="19" max="19" width="11.42578125" style="130" customWidth="1"/>
    <col min="20" max="16384" width="11.42578125" style="130"/>
  </cols>
  <sheetData>
    <row r="1" spans="1:18" ht="36.75" customHeight="1" x14ac:dyDescent="0.2">
      <c r="A1" s="237"/>
      <c r="B1" s="535" t="s">
        <v>504</v>
      </c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238"/>
      <c r="Q1" s="239"/>
    </row>
    <row r="2" spans="1:18" ht="36.75" customHeight="1" thickBot="1" x14ac:dyDescent="0.25">
      <c r="A2" s="237"/>
      <c r="B2" s="537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238"/>
      <c r="Q2" s="239"/>
    </row>
    <row r="3" spans="1:18" ht="80.25" customHeight="1" x14ac:dyDescent="0.2">
      <c r="A3" s="236"/>
      <c r="B3" s="539" t="s">
        <v>339</v>
      </c>
      <c r="C3" s="540" t="s">
        <v>340</v>
      </c>
      <c r="D3" s="540" t="s">
        <v>339</v>
      </c>
      <c r="E3" s="540" t="s">
        <v>341</v>
      </c>
      <c r="F3" s="540" t="s">
        <v>339</v>
      </c>
      <c r="G3" s="540" t="s">
        <v>342</v>
      </c>
      <c r="H3" s="540" t="s">
        <v>10</v>
      </c>
      <c r="I3" s="541" t="s">
        <v>12</v>
      </c>
      <c r="J3" s="541" t="s">
        <v>13</v>
      </c>
      <c r="K3" s="541" t="s">
        <v>14</v>
      </c>
      <c r="L3" s="542" t="s">
        <v>15</v>
      </c>
      <c r="M3" s="541" t="s">
        <v>16</v>
      </c>
      <c r="N3" s="543" t="s">
        <v>17</v>
      </c>
      <c r="O3" s="577" t="s">
        <v>510</v>
      </c>
      <c r="P3" s="241"/>
      <c r="Q3" s="242"/>
      <c r="R3" s="242"/>
    </row>
    <row r="4" spans="1:18" ht="23.25" customHeight="1" x14ac:dyDescent="0.2">
      <c r="A4" s="236"/>
      <c r="B4" s="412">
        <v>1</v>
      </c>
      <c r="C4" s="243" t="s">
        <v>343</v>
      </c>
      <c r="D4" s="244"/>
      <c r="E4" s="245"/>
      <c r="F4" s="246"/>
      <c r="G4" s="247"/>
      <c r="H4" s="247"/>
      <c r="I4" s="249">
        <v>4601644588</v>
      </c>
      <c r="J4" s="249">
        <v>3758311567.1800003</v>
      </c>
      <c r="K4" s="249">
        <v>3758311567.1800003</v>
      </c>
      <c r="L4" s="249">
        <v>3479045674.1800003</v>
      </c>
      <c r="M4" s="249">
        <v>3403368282.1800003</v>
      </c>
      <c r="N4" s="249">
        <v>843333020.81999993</v>
      </c>
      <c r="O4" s="544">
        <f t="shared" ref="O4:O67" si="0">K4/I4</f>
        <v>0.81673225632870194</v>
      </c>
    </row>
    <row r="5" spans="1:18" ht="23.25" customHeight="1" x14ac:dyDescent="0.2">
      <c r="A5" s="236"/>
      <c r="B5" s="250"/>
      <c r="C5" s="251"/>
      <c r="D5" s="252">
        <v>1</v>
      </c>
      <c r="E5" s="253" t="s">
        <v>344</v>
      </c>
      <c r="F5" s="254"/>
      <c r="G5" s="255"/>
      <c r="H5" s="255"/>
      <c r="I5" s="257">
        <v>4601644588</v>
      </c>
      <c r="J5" s="257">
        <v>3758311567.1800003</v>
      </c>
      <c r="K5" s="257">
        <v>3758311567.1800003</v>
      </c>
      <c r="L5" s="257">
        <v>3479045674.1800003</v>
      </c>
      <c r="M5" s="257">
        <v>3403368282.1800003</v>
      </c>
      <c r="N5" s="257">
        <v>843333020.81999993</v>
      </c>
      <c r="O5" s="545">
        <f t="shared" si="0"/>
        <v>0.81673225632870194</v>
      </c>
    </row>
    <row r="6" spans="1:18" s="60" customFormat="1" ht="23.25" customHeight="1" x14ac:dyDescent="0.2">
      <c r="A6" s="236"/>
      <c r="B6" s="258"/>
      <c r="C6" s="259"/>
      <c r="D6" s="260"/>
      <c r="E6" s="261"/>
      <c r="F6" s="430">
        <v>1</v>
      </c>
      <c r="G6" s="425" t="s">
        <v>345</v>
      </c>
      <c r="H6" s="426"/>
      <c r="I6" s="424">
        <v>160000000</v>
      </c>
      <c r="J6" s="424">
        <v>147523510</v>
      </c>
      <c r="K6" s="424">
        <v>147523510</v>
      </c>
      <c r="L6" s="424">
        <v>147519910</v>
      </c>
      <c r="M6" s="424">
        <v>147519910</v>
      </c>
      <c r="N6" s="424">
        <v>12476490</v>
      </c>
      <c r="O6" s="546">
        <f t="shared" si="0"/>
        <v>0.92202193750000006</v>
      </c>
      <c r="P6" s="262"/>
      <c r="Q6" s="262"/>
      <c r="R6" s="262"/>
    </row>
    <row r="7" spans="1:18" s="60" customFormat="1" ht="47.25" customHeight="1" x14ac:dyDescent="0.2">
      <c r="A7" s="236"/>
      <c r="B7" s="258"/>
      <c r="C7" s="259"/>
      <c r="D7" s="263"/>
      <c r="E7" s="264"/>
      <c r="F7" s="265"/>
      <c r="G7" s="492"/>
      <c r="H7" s="561" t="s">
        <v>23</v>
      </c>
      <c r="I7" s="138">
        <v>110000000</v>
      </c>
      <c r="J7" s="138">
        <v>97523510</v>
      </c>
      <c r="K7" s="138">
        <v>97523510</v>
      </c>
      <c r="L7" s="138">
        <v>97519910</v>
      </c>
      <c r="M7" s="138">
        <v>97519910</v>
      </c>
      <c r="N7" s="138">
        <v>12476490</v>
      </c>
      <c r="O7" s="547">
        <f t="shared" si="0"/>
        <v>0.88657736363636364</v>
      </c>
      <c r="P7" s="262"/>
      <c r="Q7" s="262"/>
      <c r="R7" s="262"/>
    </row>
    <row r="8" spans="1:18" s="60" customFormat="1" ht="47.25" customHeight="1" x14ac:dyDescent="0.2">
      <c r="A8" s="236"/>
      <c r="B8" s="258"/>
      <c r="C8" s="259"/>
      <c r="D8" s="263"/>
      <c r="E8" s="264"/>
      <c r="F8" s="265"/>
      <c r="G8" s="492"/>
      <c r="H8" s="562"/>
      <c r="I8" s="138">
        <v>50000000</v>
      </c>
      <c r="J8" s="138">
        <v>50000000</v>
      </c>
      <c r="K8" s="138">
        <v>50000000</v>
      </c>
      <c r="L8" s="138">
        <v>50000000</v>
      </c>
      <c r="M8" s="138">
        <v>50000000</v>
      </c>
      <c r="N8" s="138">
        <v>0</v>
      </c>
      <c r="O8" s="547">
        <f t="shared" si="0"/>
        <v>1</v>
      </c>
      <c r="P8" s="262"/>
      <c r="Q8" s="262"/>
      <c r="R8" s="262"/>
    </row>
    <row r="9" spans="1:18" ht="23.25" customHeight="1" x14ac:dyDescent="0.2">
      <c r="A9" s="236"/>
      <c r="B9" s="267"/>
      <c r="C9" s="268"/>
      <c r="D9" s="269"/>
      <c r="E9" s="270"/>
      <c r="F9" s="430">
        <v>2</v>
      </c>
      <c r="G9" s="427" t="s">
        <v>346</v>
      </c>
      <c r="H9" s="426"/>
      <c r="I9" s="424">
        <v>3401600182</v>
      </c>
      <c r="J9" s="424">
        <v>3123814079.1800003</v>
      </c>
      <c r="K9" s="424">
        <v>3123814079.1800003</v>
      </c>
      <c r="L9" s="424">
        <v>2844551786.1800003</v>
      </c>
      <c r="M9" s="424">
        <v>2768874394.1800003</v>
      </c>
      <c r="N9" s="424">
        <v>277786102.81999999</v>
      </c>
      <c r="O9" s="546">
        <f t="shared" si="0"/>
        <v>0.9183366392411606</v>
      </c>
    </row>
    <row r="10" spans="1:18" ht="53.25" customHeight="1" x14ac:dyDescent="0.2">
      <c r="A10" s="236"/>
      <c r="B10" s="267"/>
      <c r="C10" s="268"/>
      <c r="D10" s="269"/>
      <c r="E10" s="270"/>
      <c r="F10" s="176"/>
      <c r="G10" s="271"/>
      <c r="H10" s="561" t="s">
        <v>170</v>
      </c>
      <c r="I10" s="112">
        <v>106758463</v>
      </c>
      <c r="J10" s="112">
        <v>0</v>
      </c>
      <c r="K10" s="112">
        <v>0</v>
      </c>
      <c r="L10" s="112">
        <v>0</v>
      </c>
      <c r="M10" s="112">
        <v>0</v>
      </c>
      <c r="N10" s="272">
        <v>106758463</v>
      </c>
      <c r="O10" s="548">
        <f t="shared" si="0"/>
        <v>0</v>
      </c>
    </row>
    <row r="11" spans="1:18" ht="53.25" customHeight="1" x14ac:dyDescent="0.2">
      <c r="A11" s="401"/>
      <c r="B11" s="267"/>
      <c r="C11" s="268"/>
      <c r="D11" s="269"/>
      <c r="E11" s="270"/>
      <c r="F11" s="176"/>
      <c r="G11" s="271"/>
      <c r="H11" s="563"/>
      <c r="I11" s="112">
        <v>3283223</v>
      </c>
      <c r="J11" s="112">
        <v>0</v>
      </c>
      <c r="K11" s="112">
        <v>0</v>
      </c>
      <c r="L11" s="112">
        <v>0</v>
      </c>
      <c r="M11" s="112">
        <v>0</v>
      </c>
      <c r="N11" s="272">
        <v>3283223</v>
      </c>
      <c r="O11" s="548">
        <f t="shared" si="0"/>
        <v>0</v>
      </c>
    </row>
    <row r="12" spans="1:18" ht="53.25" customHeight="1" x14ac:dyDescent="0.2">
      <c r="A12" s="236"/>
      <c r="B12" s="267"/>
      <c r="C12" s="268"/>
      <c r="D12" s="269"/>
      <c r="E12" s="270"/>
      <c r="F12" s="176"/>
      <c r="G12" s="271"/>
      <c r="H12" s="563"/>
      <c r="I12" s="112">
        <v>610000000</v>
      </c>
      <c r="J12" s="112">
        <v>543127167.10000002</v>
      </c>
      <c r="K12" s="112">
        <v>543127167.10000002</v>
      </c>
      <c r="L12" s="112">
        <v>264415374.09999999</v>
      </c>
      <c r="M12" s="112">
        <v>264415374.09999999</v>
      </c>
      <c r="N12" s="272">
        <v>66872832.899999976</v>
      </c>
      <c r="O12" s="548">
        <f t="shared" si="0"/>
        <v>0.89037240508196724</v>
      </c>
    </row>
    <row r="13" spans="1:18" ht="53.25" customHeight="1" x14ac:dyDescent="0.2">
      <c r="A13" s="236"/>
      <c r="B13" s="267"/>
      <c r="C13" s="268"/>
      <c r="D13" s="269"/>
      <c r="E13" s="270"/>
      <c r="F13" s="176"/>
      <c r="G13" s="271"/>
      <c r="H13" s="562"/>
      <c r="I13" s="112">
        <v>110991608</v>
      </c>
      <c r="J13" s="112">
        <v>108539016</v>
      </c>
      <c r="K13" s="112">
        <v>108539016</v>
      </c>
      <c r="L13" s="112">
        <v>108539016</v>
      </c>
      <c r="M13" s="112">
        <v>32861624</v>
      </c>
      <c r="N13" s="272">
        <v>2452592</v>
      </c>
      <c r="O13" s="548">
        <f t="shared" si="0"/>
        <v>0.97790290595663776</v>
      </c>
    </row>
    <row r="14" spans="1:18" ht="53.25" customHeight="1" x14ac:dyDescent="0.2">
      <c r="A14" s="236"/>
      <c r="B14" s="267"/>
      <c r="C14" s="268"/>
      <c r="D14" s="269"/>
      <c r="E14" s="270"/>
      <c r="F14" s="176"/>
      <c r="G14" s="271"/>
      <c r="H14" s="561" t="s">
        <v>177</v>
      </c>
      <c r="I14" s="112">
        <v>93241537</v>
      </c>
      <c r="J14" s="112">
        <v>30540329.079999998</v>
      </c>
      <c r="K14" s="112">
        <v>30540329.079999998</v>
      </c>
      <c r="L14" s="112">
        <v>30540329.079999998</v>
      </c>
      <c r="M14" s="112">
        <v>30540329.079999998</v>
      </c>
      <c r="N14" s="272">
        <v>62701207.920000002</v>
      </c>
      <c r="O14" s="548">
        <f t="shared" si="0"/>
        <v>0.32753995764784527</v>
      </c>
    </row>
    <row r="15" spans="1:18" ht="53.25" customHeight="1" x14ac:dyDescent="0.2">
      <c r="A15" s="236"/>
      <c r="B15" s="267"/>
      <c r="C15" s="268"/>
      <c r="D15" s="269"/>
      <c r="E15" s="270"/>
      <c r="F15" s="176"/>
      <c r="G15" s="271"/>
      <c r="H15" s="562"/>
      <c r="I15" s="112">
        <v>646707933</v>
      </c>
      <c r="J15" s="112">
        <v>646707933</v>
      </c>
      <c r="K15" s="112">
        <v>646707933</v>
      </c>
      <c r="L15" s="112">
        <v>646707933</v>
      </c>
      <c r="M15" s="112">
        <v>646707933</v>
      </c>
      <c r="N15" s="272">
        <v>0</v>
      </c>
      <c r="O15" s="548">
        <f t="shared" si="0"/>
        <v>1</v>
      </c>
    </row>
    <row r="16" spans="1:18" ht="53.25" customHeight="1" x14ac:dyDescent="0.2">
      <c r="A16" s="236"/>
      <c r="B16" s="267"/>
      <c r="C16" s="268"/>
      <c r="D16" s="269"/>
      <c r="E16" s="270"/>
      <c r="F16" s="176"/>
      <c r="G16" s="271"/>
      <c r="H16" s="144" t="s">
        <v>181</v>
      </c>
      <c r="I16" s="112">
        <v>49717418</v>
      </c>
      <c r="J16" s="112">
        <v>49717418</v>
      </c>
      <c r="K16" s="112">
        <v>49717418</v>
      </c>
      <c r="L16" s="112">
        <v>49717418</v>
      </c>
      <c r="M16" s="112">
        <v>49717418</v>
      </c>
      <c r="N16" s="272">
        <v>0</v>
      </c>
      <c r="O16" s="548">
        <f t="shared" si="0"/>
        <v>1</v>
      </c>
    </row>
    <row r="17" spans="1:18" ht="53.25" customHeight="1" x14ac:dyDescent="0.2">
      <c r="A17" s="236"/>
      <c r="B17" s="267"/>
      <c r="C17" s="268"/>
      <c r="D17" s="269"/>
      <c r="E17" s="270"/>
      <c r="F17" s="176"/>
      <c r="G17" s="271"/>
      <c r="H17" s="144" t="s">
        <v>183</v>
      </c>
      <c r="I17" s="112">
        <v>324800000</v>
      </c>
      <c r="J17" s="112">
        <v>324800000</v>
      </c>
      <c r="K17" s="112">
        <v>324800000</v>
      </c>
      <c r="L17" s="112">
        <v>324800000</v>
      </c>
      <c r="M17" s="112">
        <v>324800000</v>
      </c>
      <c r="N17" s="272">
        <v>0</v>
      </c>
      <c r="O17" s="548">
        <f t="shared" si="0"/>
        <v>1</v>
      </c>
    </row>
    <row r="18" spans="1:18" ht="53.25" customHeight="1" x14ac:dyDescent="0.2">
      <c r="A18" s="236"/>
      <c r="B18" s="267"/>
      <c r="C18" s="268"/>
      <c r="D18" s="269"/>
      <c r="E18" s="270"/>
      <c r="F18" s="176"/>
      <c r="G18" s="271"/>
      <c r="H18" s="144" t="s">
        <v>185</v>
      </c>
      <c r="I18" s="112">
        <v>1032300000</v>
      </c>
      <c r="J18" s="112">
        <v>1032300000</v>
      </c>
      <c r="K18" s="112">
        <v>1032300000</v>
      </c>
      <c r="L18" s="112">
        <v>1032300000</v>
      </c>
      <c r="M18" s="112">
        <v>1032300000</v>
      </c>
      <c r="N18" s="272">
        <v>0</v>
      </c>
      <c r="O18" s="548">
        <f t="shared" si="0"/>
        <v>1</v>
      </c>
    </row>
    <row r="19" spans="1:18" ht="53.25" customHeight="1" x14ac:dyDescent="0.2">
      <c r="A19" s="236"/>
      <c r="B19" s="267"/>
      <c r="C19" s="268"/>
      <c r="D19" s="269"/>
      <c r="E19" s="270"/>
      <c r="F19" s="176"/>
      <c r="G19" s="271"/>
      <c r="H19" s="144" t="s">
        <v>187</v>
      </c>
      <c r="I19" s="112">
        <v>265000000</v>
      </c>
      <c r="J19" s="112">
        <v>265000000</v>
      </c>
      <c r="K19" s="112">
        <v>265000000</v>
      </c>
      <c r="L19" s="112">
        <v>265000000</v>
      </c>
      <c r="M19" s="112">
        <v>265000000</v>
      </c>
      <c r="N19" s="272">
        <v>0</v>
      </c>
      <c r="O19" s="548">
        <f t="shared" si="0"/>
        <v>1</v>
      </c>
    </row>
    <row r="20" spans="1:18" ht="53.25" customHeight="1" x14ac:dyDescent="0.2">
      <c r="A20" s="236"/>
      <c r="B20" s="267"/>
      <c r="C20" s="268"/>
      <c r="D20" s="269"/>
      <c r="E20" s="270"/>
      <c r="F20" s="176"/>
      <c r="G20" s="271"/>
      <c r="H20" s="144" t="s">
        <v>25</v>
      </c>
      <c r="I20" s="138">
        <v>158800000</v>
      </c>
      <c r="J20" s="138">
        <v>123082216</v>
      </c>
      <c r="K20" s="138">
        <v>123082216</v>
      </c>
      <c r="L20" s="138">
        <v>122531716</v>
      </c>
      <c r="M20" s="138">
        <v>122531716</v>
      </c>
      <c r="N20" s="138">
        <v>35717784</v>
      </c>
      <c r="O20" s="547">
        <f t="shared" si="0"/>
        <v>0.77507692695214103</v>
      </c>
    </row>
    <row r="21" spans="1:18" ht="23.25" customHeight="1" x14ac:dyDescent="0.2">
      <c r="A21" s="236"/>
      <c r="B21" s="267"/>
      <c r="C21" s="268"/>
      <c r="D21" s="269"/>
      <c r="E21" s="270"/>
      <c r="F21" s="430">
        <v>3</v>
      </c>
      <c r="G21" s="427" t="s">
        <v>347</v>
      </c>
      <c r="H21" s="426"/>
      <c r="I21" s="424">
        <v>1040044406</v>
      </c>
      <c r="J21" s="424">
        <v>486973978</v>
      </c>
      <c r="K21" s="424">
        <v>486973978</v>
      </c>
      <c r="L21" s="424">
        <v>486973978</v>
      </c>
      <c r="M21" s="424">
        <v>486973978</v>
      </c>
      <c r="N21" s="424">
        <v>553070428</v>
      </c>
      <c r="O21" s="546">
        <f t="shared" si="0"/>
        <v>0.4682242173417353</v>
      </c>
    </row>
    <row r="22" spans="1:18" s="60" customFormat="1" ht="44.25" customHeight="1" x14ac:dyDescent="0.2">
      <c r="A22" s="236"/>
      <c r="B22" s="267"/>
      <c r="C22" s="268"/>
      <c r="D22" s="269"/>
      <c r="E22" s="270"/>
      <c r="F22" s="271"/>
      <c r="G22" s="176"/>
      <c r="H22" s="561" t="s">
        <v>26</v>
      </c>
      <c r="I22" s="138">
        <v>471707173</v>
      </c>
      <c r="J22" s="138">
        <v>358924668</v>
      </c>
      <c r="K22" s="138">
        <v>358924668</v>
      </c>
      <c r="L22" s="138">
        <v>358924668</v>
      </c>
      <c r="M22" s="138">
        <v>358924668</v>
      </c>
      <c r="N22" s="138">
        <v>112782505</v>
      </c>
      <c r="O22" s="547">
        <f t="shared" si="0"/>
        <v>0.7609056816271903</v>
      </c>
      <c r="P22" s="262"/>
      <c r="Q22" s="262"/>
      <c r="R22" s="262"/>
    </row>
    <row r="23" spans="1:18" s="60" customFormat="1" ht="44.25" customHeight="1" x14ac:dyDescent="0.2">
      <c r="A23" s="236"/>
      <c r="B23" s="267"/>
      <c r="C23" s="268"/>
      <c r="D23" s="269"/>
      <c r="E23" s="270"/>
      <c r="F23" s="271"/>
      <c r="G23" s="176"/>
      <c r="H23" s="562"/>
      <c r="I23" s="138">
        <v>219592885</v>
      </c>
      <c r="J23" s="138">
        <v>0</v>
      </c>
      <c r="K23" s="138">
        <v>0</v>
      </c>
      <c r="L23" s="138">
        <v>0</v>
      </c>
      <c r="M23" s="138">
        <v>0</v>
      </c>
      <c r="N23" s="138">
        <v>219592885</v>
      </c>
      <c r="O23" s="547">
        <f t="shared" si="0"/>
        <v>0</v>
      </c>
      <c r="P23" s="262"/>
      <c r="Q23" s="262"/>
      <c r="R23" s="262"/>
    </row>
    <row r="24" spans="1:18" s="60" customFormat="1" ht="44.25" customHeight="1" x14ac:dyDescent="0.2">
      <c r="A24" s="236"/>
      <c r="B24" s="267"/>
      <c r="C24" s="268"/>
      <c r="D24" s="269"/>
      <c r="E24" s="270"/>
      <c r="F24" s="271"/>
      <c r="G24" s="176"/>
      <c r="H24" s="561" t="s">
        <v>27</v>
      </c>
      <c r="I24" s="138">
        <v>200337233</v>
      </c>
      <c r="J24" s="138">
        <v>5751000</v>
      </c>
      <c r="K24" s="138">
        <v>5751000</v>
      </c>
      <c r="L24" s="138">
        <v>5751000</v>
      </c>
      <c r="M24" s="138">
        <v>5751000</v>
      </c>
      <c r="N24" s="138">
        <v>194586233</v>
      </c>
      <c r="O24" s="547">
        <f t="shared" si="0"/>
        <v>2.8706595942652357E-2</v>
      </c>
      <c r="P24" s="262"/>
      <c r="Q24" s="262"/>
      <c r="R24" s="262"/>
    </row>
    <row r="25" spans="1:18" s="60" customFormat="1" ht="44.25" customHeight="1" x14ac:dyDescent="0.2">
      <c r="A25" s="236"/>
      <c r="B25" s="273"/>
      <c r="C25" s="493"/>
      <c r="D25" s="274"/>
      <c r="E25" s="493"/>
      <c r="F25" s="314"/>
      <c r="G25" s="315"/>
      <c r="H25" s="562"/>
      <c r="I25" s="138">
        <v>148407115</v>
      </c>
      <c r="J25" s="138">
        <v>122298310</v>
      </c>
      <c r="K25" s="138">
        <v>122298310</v>
      </c>
      <c r="L25" s="138">
        <v>122298310</v>
      </c>
      <c r="M25" s="138">
        <v>122298310</v>
      </c>
      <c r="N25" s="138">
        <v>26108805</v>
      </c>
      <c r="O25" s="547">
        <f t="shared" si="0"/>
        <v>0.82407309110483007</v>
      </c>
      <c r="P25" s="262"/>
      <c r="Q25" s="262"/>
      <c r="R25" s="262"/>
    </row>
    <row r="26" spans="1:18" s="60" customFormat="1" ht="27.75" customHeight="1" x14ac:dyDescent="0.2">
      <c r="A26" s="236"/>
      <c r="B26" s="275">
        <v>2</v>
      </c>
      <c r="C26" s="276" t="s">
        <v>348</v>
      </c>
      <c r="D26" s="244"/>
      <c r="E26" s="244"/>
      <c r="F26" s="245"/>
      <c r="G26" s="245"/>
      <c r="H26" s="248"/>
      <c r="I26" s="249">
        <v>19027852657.279999</v>
      </c>
      <c r="J26" s="249">
        <v>13779058240.640001</v>
      </c>
      <c r="K26" s="249">
        <v>13779058240.640001</v>
      </c>
      <c r="L26" s="249">
        <v>12838204394.84</v>
      </c>
      <c r="M26" s="249">
        <v>12838204394.84</v>
      </c>
      <c r="N26" s="249">
        <v>5248794416.6400003</v>
      </c>
      <c r="O26" s="544">
        <f t="shared" si="0"/>
        <v>0.72415203590344046</v>
      </c>
      <c r="P26" s="262"/>
      <c r="Q26" s="262"/>
      <c r="R26" s="262"/>
    </row>
    <row r="27" spans="1:18" s="60" customFormat="1" ht="27.75" customHeight="1" x14ac:dyDescent="0.2">
      <c r="A27" s="236"/>
      <c r="B27" s="277"/>
      <c r="C27" s="278"/>
      <c r="D27" s="408">
        <v>2</v>
      </c>
      <c r="E27" s="253" t="s">
        <v>349</v>
      </c>
      <c r="F27" s="409"/>
      <c r="G27" s="410"/>
      <c r="H27" s="255"/>
      <c r="I27" s="257">
        <v>2549580000</v>
      </c>
      <c r="J27" s="257">
        <v>2124493562</v>
      </c>
      <c r="K27" s="257">
        <v>2124493562</v>
      </c>
      <c r="L27" s="257">
        <v>2099441728</v>
      </c>
      <c r="M27" s="257">
        <v>2099441728</v>
      </c>
      <c r="N27" s="257">
        <v>425086438</v>
      </c>
      <c r="O27" s="545">
        <f t="shared" si="0"/>
        <v>0.83327197499195949</v>
      </c>
      <c r="P27" s="262"/>
      <c r="Q27" s="262"/>
      <c r="R27" s="262"/>
    </row>
    <row r="28" spans="1:18" s="60" customFormat="1" ht="30" customHeight="1" x14ac:dyDescent="0.2">
      <c r="A28" s="236"/>
      <c r="B28" s="277"/>
      <c r="C28" s="278"/>
      <c r="D28" s="283"/>
      <c r="E28" s="264"/>
      <c r="F28" s="421">
        <v>4</v>
      </c>
      <c r="G28" s="428" t="s">
        <v>350</v>
      </c>
      <c r="H28" s="426"/>
      <c r="I28" s="424">
        <v>350000000</v>
      </c>
      <c r="J28" s="424">
        <v>224593900</v>
      </c>
      <c r="K28" s="424">
        <v>224593900</v>
      </c>
      <c r="L28" s="424">
        <v>224439500</v>
      </c>
      <c r="M28" s="424">
        <v>224439500</v>
      </c>
      <c r="N28" s="424">
        <v>125406100</v>
      </c>
      <c r="O28" s="546">
        <f t="shared" si="0"/>
        <v>0.64169685714285718</v>
      </c>
      <c r="P28" s="262"/>
      <c r="Q28" s="262"/>
      <c r="R28" s="262"/>
    </row>
    <row r="29" spans="1:18" s="60" customFormat="1" ht="34.5" customHeight="1" x14ac:dyDescent="0.2">
      <c r="A29" s="236"/>
      <c r="B29" s="277"/>
      <c r="C29" s="278"/>
      <c r="D29" s="283"/>
      <c r="E29" s="264"/>
      <c r="F29" s="284"/>
      <c r="G29" s="404"/>
      <c r="H29" s="144" t="s">
        <v>28</v>
      </c>
      <c r="I29" s="138">
        <v>350000000</v>
      </c>
      <c r="J29" s="138">
        <v>224593900</v>
      </c>
      <c r="K29" s="138">
        <v>224593900</v>
      </c>
      <c r="L29" s="138">
        <v>224439500</v>
      </c>
      <c r="M29" s="138">
        <v>224439500</v>
      </c>
      <c r="N29" s="138">
        <v>125406100</v>
      </c>
      <c r="O29" s="547">
        <f t="shared" si="0"/>
        <v>0.64169685714285718</v>
      </c>
      <c r="P29" s="262"/>
      <c r="Q29" s="262"/>
      <c r="R29" s="262"/>
    </row>
    <row r="30" spans="1:18" s="60" customFormat="1" ht="27.75" customHeight="1" x14ac:dyDescent="0.2">
      <c r="A30" s="236"/>
      <c r="B30" s="277"/>
      <c r="C30" s="278"/>
      <c r="D30" s="263"/>
      <c r="E30" s="264"/>
      <c r="F30" s="421">
        <v>5</v>
      </c>
      <c r="G30" s="429" t="s">
        <v>351</v>
      </c>
      <c r="H30" s="426"/>
      <c r="I30" s="424">
        <v>480000000</v>
      </c>
      <c r="J30" s="424">
        <v>425008095</v>
      </c>
      <c r="K30" s="424">
        <v>425008095</v>
      </c>
      <c r="L30" s="424">
        <v>404990761</v>
      </c>
      <c r="M30" s="424">
        <v>404990761</v>
      </c>
      <c r="N30" s="424">
        <v>54991905</v>
      </c>
      <c r="O30" s="546">
        <f t="shared" si="0"/>
        <v>0.88543353125000002</v>
      </c>
      <c r="P30" s="262"/>
      <c r="Q30" s="262"/>
      <c r="R30" s="262"/>
    </row>
    <row r="31" spans="1:18" s="60" customFormat="1" ht="44.25" customHeight="1" x14ac:dyDescent="0.2">
      <c r="A31" s="236"/>
      <c r="B31" s="277"/>
      <c r="C31" s="278"/>
      <c r="D31" s="263"/>
      <c r="E31" s="264"/>
      <c r="F31" s="415"/>
      <c r="G31" s="358"/>
      <c r="H31" s="561" t="s">
        <v>30</v>
      </c>
      <c r="I31" s="23">
        <v>350000000</v>
      </c>
      <c r="J31" s="23">
        <v>324964930</v>
      </c>
      <c r="K31" s="23">
        <v>324964930</v>
      </c>
      <c r="L31" s="23">
        <v>304947596</v>
      </c>
      <c r="M31" s="23">
        <v>304947596</v>
      </c>
      <c r="N31" s="138">
        <v>25035070</v>
      </c>
      <c r="O31" s="547">
        <f t="shared" si="0"/>
        <v>0.92847122857142861</v>
      </c>
      <c r="P31" s="262"/>
      <c r="Q31" s="262"/>
      <c r="R31" s="262"/>
    </row>
    <row r="32" spans="1:18" s="60" customFormat="1" ht="44.25" customHeight="1" x14ac:dyDescent="0.2">
      <c r="A32" s="236"/>
      <c r="B32" s="277"/>
      <c r="C32" s="278"/>
      <c r="D32" s="263"/>
      <c r="E32" s="264"/>
      <c r="F32" s="286"/>
      <c r="G32" s="278"/>
      <c r="H32" s="562"/>
      <c r="I32" s="23">
        <v>60000000</v>
      </c>
      <c r="J32" s="23">
        <v>53720000</v>
      </c>
      <c r="K32" s="23">
        <v>53720000</v>
      </c>
      <c r="L32" s="23">
        <v>53720000</v>
      </c>
      <c r="M32" s="23">
        <v>53720000</v>
      </c>
      <c r="N32" s="138">
        <v>6280000</v>
      </c>
      <c r="O32" s="547">
        <f t="shared" si="0"/>
        <v>0.89533333333333331</v>
      </c>
      <c r="P32" s="262"/>
      <c r="Q32" s="262"/>
      <c r="R32" s="262"/>
    </row>
    <row r="33" spans="1:18" s="60" customFormat="1" ht="44.25" customHeight="1" x14ac:dyDescent="0.2">
      <c r="A33" s="236"/>
      <c r="B33" s="277"/>
      <c r="C33" s="278"/>
      <c r="D33" s="263"/>
      <c r="E33" s="264"/>
      <c r="F33" s="286"/>
      <c r="G33" s="278"/>
      <c r="H33" s="144" t="s">
        <v>31</v>
      </c>
      <c r="I33" s="23">
        <v>25000000</v>
      </c>
      <c r="J33" s="23">
        <v>25000000</v>
      </c>
      <c r="K33" s="23">
        <v>25000000</v>
      </c>
      <c r="L33" s="23">
        <v>25000000</v>
      </c>
      <c r="M33" s="23">
        <v>25000000</v>
      </c>
      <c r="N33" s="138">
        <v>0</v>
      </c>
      <c r="O33" s="547">
        <f t="shared" si="0"/>
        <v>1</v>
      </c>
      <c r="P33" s="262"/>
      <c r="Q33" s="262"/>
      <c r="R33" s="262"/>
    </row>
    <row r="34" spans="1:18" s="60" customFormat="1" ht="44.25" customHeight="1" x14ac:dyDescent="0.2">
      <c r="A34" s="236"/>
      <c r="B34" s="277"/>
      <c r="C34" s="278"/>
      <c r="D34" s="263"/>
      <c r="E34" s="264"/>
      <c r="F34" s="286"/>
      <c r="G34" s="278"/>
      <c r="H34" s="561" t="s">
        <v>29</v>
      </c>
      <c r="I34" s="23">
        <v>25000000</v>
      </c>
      <c r="J34" s="23">
        <v>1742216</v>
      </c>
      <c r="K34" s="23">
        <v>1742216</v>
      </c>
      <c r="L34" s="23">
        <v>1742216</v>
      </c>
      <c r="M34" s="23">
        <v>1742216</v>
      </c>
      <c r="N34" s="138">
        <v>23257784</v>
      </c>
      <c r="O34" s="547">
        <f t="shared" si="0"/>
        <v>6.9688639999999996E-2</v>
      </c>
      <c r="P34" s="262"/>
      <c r="Q34" s="262"/>
      <c r="R34" s="262"/>
    </row>
    <row r="35" spans="1:18" s="60" customFormat="1" ht="44.25" customHeight="1" x14ac:dyDescent="0.2">
      <c r="A35" s="236"/>
      <c r="B35" s="277"/>
      <c r="C35" s="278"/>
      <c r="D35" s="263"/>
      <c r="E35" s="264"/>
      <c r="F35" s="417"/>
      <c r="G35" s="289"/>
      <c r="H35" s="562"/>
      <c r="I35" s="23">
        <v>20000000</v>
      </c>
      <c r="J35" s="23">
        <v>19580949</v>
      </c>
      <c r="K35" s="23">
        <v>19580949</v>
      </c>
      <c r="L35" s="23">
        <v>19580949</v>
      </c>
      <c r="M35" s="23">
        <v>19580949</v>
      </c>
      <c r="N35" s="138">
        <v>419051</v>
      </c>
      <c r="O35" s="547">
        <f t="shared" si="0"/>
        <v>0.97904745000000004</v>
      </c>
      <c r="P35" s="262"/>
      <c r="Q35" s="262"/>
      <c r="R35" s="262"/>
    </row>
    <row r="36" spans="1:18" s="60" customFormat="1" ht="27.75" customHeight="1" x14ac:dyDescent="0.2">
      <c r="A36" s="236"/>
      <c r="B36" s="277"/>
      <c r="C36" s="278"/>
      <c r="D36" s="263"/>
      <c r="E36" s="264"/>
      <c r="F36" s="421">
        <v>6</v>
      </c>
      <c r="G36" s="428" t="s">
        <v>352</v>
      </c>
      <c r="H36" s="426"/>
      <c r="I36" s="424">
        <v>365000000</v>
      </c>
      <c r="J36" s="424">
        <v>340547923</v>
      </c>
      <c r="K36" s="424">
        <v>340547923</v>
      </c>
      <c r="L36" s="424">
        <v>338567923</v>
      </c>
      <c r="M36" s="424">
        <v>338567923</v>
      </c>
      <c r="N36" s="424">
        <v>24452077</v>
      </c>
      <c r="O36" s="546">
        <f t="shared" si="0"/>
        <v>0.93300800821917806</v>
      </c>
      <c r="P36" s="262"/>
      <c r="Q36" s="262"/>
      <c r="R36" s="262"/>
    </row>
    <row r="37" spans="1:18" s="60" customFormat="1" ht="34.5" customHeight="1" x14ac:dyDescent="0.2">
      <c r="A37" s="236"/>
      <c r="B37" s="277"/>
      <c r="C37" s="278"/>
      <c r="D37" s="263"/>
      <c r="E37" s="264"/>
      <c r="F37" s="284"/>
      <c r="G37" s="493"/>
      <c r="H37" s="144" t="s">
        <v>32</v>
      </c>
      <c r="I37" s="23">
        <v>365000000</v>
      </c>
      <c r="J37" s="23">
        <v>340547923</v>
      </c>
      <c r="K37" s="23">
        <v>340547923</v>
      </c>
      <c r="L37" s="23">
        <v>338567923</v>
      </c>
      <c r="M37" s="23">
        <v>338567923</v>
      </c>
      <c r="N37" s="138">
        <v>24452077</v>
      </c>
      <c r="O37" s="547">
        <f t="shared" si="0"/>
        <v>0.93300800821917806</v>
      </c>
      <c r="P37" s="262"/>
      <c r="Q37" s="262"/>
      <c r="R37" s="262"/>
    </row>
    <row r="38" spans="1:18" s="60" customFormat="1" ht="27.75" customHeight="1" x14ac:dyDescent="0.2">
      <c r="A38" s="236"/>
      <c r="B38" s="277"/>
      <c r="C38" s="278"/>
      <c r="D38" s="263"/>
      <c r="E38" s="264"/>
      <c r="F38" s="421">
        <v>7</v>
      </c>
      <c r="G38" s="427" t="s">
        <v>353</v>
      </c>
      <c r="H38" s="426"/>
      <c r="I38" s="424">
        <v>150000000</v>
      </c>
      <c r="J38" s="424">
        <v>131392664</v>
      </c>
      <c r="K38" s="424">
        <v>131392664</v>
      </c>
      <c r="L38" s="424">
        <v>131240314</v>
      </c>
      <c r="M38" s="424">
        <v>131240314</v>
      </c>
      <c r="N38" s="424">
        <v>18607336</v>
      </c>
      <c r="O38" s="546">
        <f t="shared" si="0"/>
        <v>0.87595109333333332</v>
      </c>
      <c r="P38" s="262"/>
      <c r="Q38" s="262"/>
      <c r="R38" s="262"/>
    </row>
    <row r="39" spans="1:18" s="60" customFormat="1" ht="41.25" customHeight="1" x14ac:dyDescent="0.2">
      <c r="A39" s="236"/>
      <c r="B39" s="277"/>
      <c r="C39" s="278"/>
      <c r="D39" s="263"/>
      <c r="E39" s="264"/>
      <c r="F39" s="415"/>
      <c r="G39" s="278"/>
      <c r="H39" s="561" t="s">
        <v>33</v>
      </c>
      <c r="I39" s="23">
        <v>120000000</v>
      </c>
      <c r="J39" s="23">
        <v>112460000</v>
      </c>
      <c r="K39" s="23">
        <v>112460000</v>
      </c>
      <c r="L39" s="23">
        <v>112307650</v>
      </c>
      <c r="M39" s="23">
        <v>112307650</v>
      </c>
      <c r="N39" s="138">
        <v>7540000</v>
      </c>
      <c r="O39" s="547">
        <f t="shared" si="0"/>
        <v>0.9371666666666667</v>
      </c>
      <c r="P39" s="262"/>
      <c r="Q39" s="262"/>
      <c r="R39" s="262"/>
    </row>
    <row r="40" spans="1:18" s="60" customFormat="1" ht="41.25" customHeight="1" x14ac:dyDescent="0.2">
      <c r="A40" s="236"/>
      <c r="B40" s="277"/>
      <c r="C40" s="278"/>
      <c r="D40" s="263"/>
      <c r="E40" s="264"/>
      <c r="F40" s="417"/>
      <c r="G40" s="278"/>
      <c r="H40" s="562"/>
      <c r="I40" s="23">
        <v>30000000</v>
      </c>
      <c r="J40" s="23">
        <v>18932664</v>
      </c>
      <c r="K40" s="23">
        <v>18932664</v>
      </c>
      <c r="L40" s="23">
        <v>18932664</v>
      </c>
      <c r="M40" s="23">
        <v>18932664</v>
      </c>
      <c r="N40" s="138">
        <v>11067336</v>
      </c>
      <c r="O40" s="547">
        <f t="shared" si="0"/>
        <v>0.63108880000000001</v>
      </c>
      <c r="P40" s="262"/>
      <c r="Q40" s="262"/>
      <c r="R40" s="262"/>
    </row>
    <row r="41" spans="1:18" s="60" customFormat="1" ht="27.75" customHeight="1" x14ac:dyDescent="0.2">
      <c r="A41" s="236"/>
      <c r="B41" s="277"/>
      <c r="C41" s="278"/>
      <c r="D41" s="269"/>
      <c r="E41" s="270"/>
      <c r="F41" s="430">
        <v>8</v>
      </c>
      <c r="G41" s="427" t="s">
        <v>354</v>
      </c>
      <c r="H41" s="426"/>
      <c r="I41" s="424">
        <v>209460000</v>
      </c>
      <c r="J41" s="424">
        <v>84333570</v>
      </c>
      <c r="K41" s="424">
        <v>84333570</v>
      </c>
      <c r="L41" s="424">
        <v>84302820</v>
      </c>
      <c r="M41" s="424">
        <v>84302820</v>
      </c>
      <c r="N41" s="424">
        <v>125126430</v>
      </c>
      <c r="O41" s="546">
        <f t="shared" si="0"/>
        <v>0.40262374677742768</v>
      </c>
      <c r="P41" s="262"/>
      <c r="Q41" s="262"/>
      <c r="R41" s="262"/>
    </row>
    <row r="42" spans="1:18" s="60" customFormat="1" ht="39" customHeight="1" x14ac:dyDescent="0.2">
      <c r="A42" s="236"/>
      <c r="B42" s="277"/>
      <c r="C42" s="278"/>
      <c r="D42" s="269"/>
      <c r="E42" s="270"/>
      <c r="F42" s="271"/>
      <c r="G42" s="176"/>
      <c r="H42" s="564" t="s">
        <v>246</v>
      </c>
      <c r="I42" s="124">
        <v>55000000</v>
      </c>
      <c r="J42" s="124">
        <v>42431208</v>
      </c>
      <c r="K42" s="124">
        <v>42431208</v>
      </c>
      <c r="L42" s="124">
        <v>42400458</v>
      </c>
      <c r="M42" s="124">
        <v>42400458</v>
      </c>
      <c r="N42" s="125">
        <v>12568792</v>
      </c>
      <c r="O42" s="547">
        <f t="shared" si="0"/>
        <v>0.77147650909090915</v>
      </c>
      <c r="P42" s="262"/>
      <c r="Q42" s="262"/>
      <c r="R42" s="262"/>
    </row>
    <row r="43" spans="1:18" s="60" customFormat="1" ht="39" customHeight="1" x14ac:dyDescent="0.2">
      <c r="A43" s="236"/>
      <c r="B43" s="277"/>
      <c r="C43" s="278"/>
      <c r="D43" s="269"/>
      <c r="E43" s="270"/>
      <c r="F43" s="271"/>
      <c r="G43" s="176"/>
      <c r="H43" s="565"/>
      <c r="I43" s="124">
        <v>19160000</v>
      </c>
      <c r="J43" s="124">
        <v>6600000</v>
      </c>
      <c r="K43" s="124">
        <v>6600000</v>
      </c>
      <c r="L43" s="124">
        <v>6600000</v>
      </c>
      <c r="M43" s="124">
        <v>6600000</v>
      </c>
      <c r="N43" s="125">
        <v>12560000</v>
      </c>
      <c r="O43" s="547">
        <f t="shared" si="0"/>
        <v>0.3444676409185804</v>
      </c>
      <c r="P43" s="262"/>
      <c r="Q43" s="262"/>
      <c r="R43" s="262"/>
    </row>
    <row r="44" spans="1:18" s="60" customFormat="1" ht="39" customHeight="1" x14ac:dyDescent="0.2">
      <c r="A44" s="236"/>
      <c r="B44" s="277"/>
      <c r="C44" s="278"/>
      <c r="D44" s="269"/>
      <c r="E44" s="270"/>
      <c r="F44" s="271"/>
      <c r="G44" s="176"/>
      <c r="H44" s="564" t="s">
        <v>247</v>
      </c>
      <c r="I44" s="124">
        <v>77000000</v>
      </c>
      <c r="J44" s="124">
        <v>9462362</v>
      </c>
      <c r="K44" s="124">
        <v>9462362</v>
      </c>
      <c r="L44" s="124">
        <v>9462362</v>
      </c>
      <c r="M44" s="124">
        <v>9462362</v>
      </c>
      <c r="N44" s="125">
        <v>67537638</v>
      </c>
      <c r="O44" s="547">
        <f t="shared" si="0"/>
        <v>0.12288781818181818</v>
      </c>
      <c r="P44" s="262"/>
      <c r="Q44" s="262"/>
      <c r="R44" s="262"/>
    </row>
    <row r="45" spans="1:18" s="60" customFormat="1" ht="39" customHeight="1" x14ac:dyDescent="0.2">
      <c r="A45" s="236"/>
      <c r="B45" s="277"/>
      <c r="C45" s="278"/>
      <c r="D45" s="269"/>
      <c r="E45" s="270"/>
      <c r="F45" s="271"/>
      <c r="G45" s="176"/>
      <c r="H45" s="565"/>
      <c r="I45" s="124">
        <v>58300000</v>
      </c>
      <c r="J45" s="124">
        <v>25840000</v>
      </c>
      <c r="K45" s="124">
        <v>25840000</v>
      </c>
      <c r="L45" s="124">
        <v>25840000</v>
      </c>
      <c r="M45" s="124">
        <v>25840000</v>
      </c>
      <c r="N45" s="125">
        <v>32460000</v>
      </c>
      <c r="O45" s="547">
        <f t="shared" si="0"/>
        <v>0.4432246998284734</v>
      </c>
      <c r="P45" s="262"/>
      <c r="Q45" s="262"/>
      <c r="R45" s="262"/>
    </row>
    <row r="46" spans="1:18" s="60" customFormat="1" ht="27.75" customHeight="1" x14ac:dyDescent="0.2">
      <c r="A46" s="236"/>
      <c r="B46" s="277"/>
      <c r="C46" s="278"/>
      <c r="D46" s="269"/>
      <c r="E46" s="270"/>
      <c r="F46" s="430">
        <v>9</v>
      </c>
      <c r="G46" s="427" t="s">
        <v>355</v>
      </c>
      <c r="H46" s="426"/>
      <c r="I46" s="424">
        <v>415200000</v>
      </c>
      <c r="J46" s="424">
        <v>384377410</v>
      </c>
      <c r="K46" s="424">
        <v>384377410</v>
      </c>
      <c r="L46" s="424">
        <v>381660410</v>
      </c>
      <c r="M46" s="424">
        <v>381660410</v>
      </c>
      <c r="N46" s="424">
        <v>30822590</v>
      </c>
      <c r="O46" s="546">
        <f t="shared" si="0"/>
        <v>0.92576447495183045</v>
      </c>
      <c r="P46" s="262"/>
      <c r="Q46" s="262"/>
      <c r="R46" s="262"/>
    </row>
    <row r="47" spans="1:18" s="60" customFormat="1" ht="40.5" customHeight="1" x14ac:dyDescent="0.2">
      <c r="A47" s="236"/>
      <c r="B47" s="277"/>
      <c r="C47" s="278"/>
      <c r="D47" s="269"/>
      <c r="E47" s="270"/>
      <c r="F47" s="415"/>
      <c r="G47" s="278"/>
      <c r="H47" s="564" t="s">
        <v>248</v>
      </c>
      <c r="I47" s="124">
        <v>170000000</v>
      </c>
      <c r="J47" s="124">
        <v>169927410</v>
      </c>
      <c r="K47" s="124">
        <v>169927410</v>
      </c>
      <c r="L47" s="124">
        <v>167210410</v>
      </c>
      <c r="M47" s="124">
        <v>167210410</v>
      </c>
      <c r="N47" s="125">
        <v>72590</v>
      </c>
      <c r="O47" s="547">
        <f t="shared" si="0"/>
        <v>0.99957300000000004</v>
      </c>
      <c r="P47" s="262"/>
      <c r="Q47" s="262"/>
      <c r="R47" s="262"/>
    </row>
    <row r="48" spans="1:18" s="60" customFormat="1" ht="40.5" customHeight="1" x14ac:dyDescent="0.2">
      <c r="A48" s="236"/>
      <c r="B48" s="277"/>
      <c r="C48" s="278"/>
      <c r="D48" s="269"/>
      <c r="E48" s="270"/>
      <c r="F48" s="417"/>
      <c r="G48" s="278"/>
      <c r="H48" s="565"/>
      <c r="I48" s="124">
        <v>245200000</v>
      </c>
      <c r="J48" s="124">
        <v>214450000</v>
      </c>
      <c r="K48" s="124">
        <v>214450000</v>
      </c>
      <c r="L48" s="124">
        <v>214450000</v>
      </c>
      <c r="M48" s="124">
        <v>214450000</v>
      </c>
      <c r="N48" s="125">
        <v>30750000</v>
      </c>
      <c r="O48" s="547">
        <f t="shared" si="0"/>
        <v>0.87459216965742248</v>
      </c>
      <c r="P48" s="262"/>
      <c r="Q48" s="262"/>
      <c r="R48" s="262"/>
    </row>
    <row r="49" spans="1:18" s="60" customFormat="1" ht="27.75" customHeight="1" x14ac:dyDescent="0.2">
      <c r="A49" s="236"/>
      <c r="B49" s="277"/>
      <c r="C49" s="278"/>
      <c r="D49" s="269"/>
      <c r="E49" s="270"/>
      <c r="F49" s="421">
        <v>10</v>
      </c>
      <c r="G49" s="427" t="s">
        <v>356</v>
      </c>
      <c r="H49" s="426"/>
      <c r="I49" s="424">
        <v>579920000</v>
      </c>
      <c r="J49" s="424">
        <v>534240000</v>
      </c>
      <c r="K49" s="424">
        <v>534240000</v>
      </c>
      <c r="L49" s="424">
        <v>534240000</v>
      </c>
      <c r="M49" s="424">
        <v>534240000</v>
      </c>
      <c r="N49" s="424">
        <v>45680000</v>
      </c>
      <c r="O49" s="546">
        <f t="shared" si="0"/>
        <v>0.92123051455373151</v>
      </c>
      <c r="P49" s="262"/>
      <c r="Q49" s="262"/>
      <c r="R49" s="262"/>
    </row>
    <row r="50" spans="1:18" s="60" customFormat="1" ht="40.5" customHeight="1" x14ac:dyDescent="0.2">
      <c r="A50" s="236"/>
      <c r="B50" s="277"/>
      <c r="C50" s="278"/>
      <c r="D50" s="269"/>
      <c r="E50" s="270"/>
      <c r="F50" s="415"/>
      <c r="G50" s="278"/>
      <c r="H50" s="564" t="s">
        <v>249</v>
      </c>
      <c r="I50" s="124">
        <v>466000000</v>
      </c>
      <c r="J50" s="124">
        <v>420320000</v>
      </c>
      <c r="K50" s="124">
        <v>420320000</v>
      </c>
      <c r="L50" s="124">
        <v>420320000</v>
      </c>
      <c r="M50" s="124">
        <v>420320000</v>
      </c>
      <c r="N50" s="125">
        <v>45680000</v>
      </c>
      <c r="O50" s="547">
        <f t="shared" si="0"/>
        <v>0.90197424892703859</v>
      </c>
      <c r="P50" s="262"/>
      <c r="Q50" s="262"/>
      <c r="R50" s="262"/>
    </row>
    <row r="51" spans="1:18" s="60" customFormat="1" ht="40.5" customHeight="1" x14ac:dyDescent="0.2">
      <c r="A51" s="236"/>
      <c r="B51" s="277"/>
      <c r="C51" s="278"/>
      <c r="D51" s="288"/>
      <c r="E51" s="418"/>
      <c r="F51" s="417"/>
      <c r="G51" s="289"/>
      <c r="H51" s="565"/>
      <c r="I51" s="124">
        <v>113920000</v>
      </c>
      <c r="J51" s="124">
        <v>113920000</v>
      </c>
      <c r="K51" s="124">
        <v>113920000</v>
      </c>
      <c r="L51" s="124">
        <v>113920000</v>
      </c>
      <c r="M51" s="124">
        <v>113920000</v>
      </c>
      <c r="N51" s="125">
        <v>0</v>
      </c>
      <c r="O51" s="547">
        <f t="shared" si="0"/>
        <v>1</v>
      </c>
      <c r="P51" s="262"/>
      <c r="Q51" s="262"/>
      <c r="R51" s="262"/>
    </row>
    <row r="52" spans="1:18" s="60" customFormat="1" ht="27.75" customHeight="1" x14ac:dyDescent="0.2">
      <c r="A52" s="236"/>
      <c r="B52" s="277"/>
      <c r="C52" s="278"/>
      <c r="D52" s="279">
        <v>3</v>
      </c>
      <c r="E52" s="280" t="s">
        <v>357</v>
      </c>
      <c r="F52" s="409"/>
      <c r="G52" s="282"/>
      <c r="H52" s="255"/>
      <c r="I52" s="257">
        <v>1665529563</v>
      </c>
      <c r="J52" s="257">
        <v>1564913563</v>
      </c>
      <c r="K52" s="257">
        <v>1564913563</v>
      </c>
      <c r="L52" s="257">
        <v>1537546013</v>
      </c>
      <c r="M52" s="257">
        <v>1537546013</v>
      </c>
      <c r="N52" s="257">
        <v>100616000</v>
      </c>
      <c r="O52" s="545">
        <f t="shared" si="0"/>
        <v>0.93958918398376101</v>
      </c>
      <c r="P52" s="262"/>
      <c r="Q52" s="262"/>
      <c r="R52" s="262"/>
    </row>
    <row r="53" spans="1:18" s="60" customFormat="1" ht="27.75" customHeight="1" x14ac:dyDescent="0.2">
      <c r="A53" s="236"/>
      <c r="B53" s="277"/>
      <c r="C53" s="278"/>
      <c r="D53" s="290"/>
      <c r="E53" s="416"/>
      <c r="F53" s="421">
        <v>11</v>
      </c>
      <c r="G53" s="427" t="s">
        <v>358</v>
      </c>
      <c r="H53" s="426"/>
      <c r="I53" s="424">
        <v>329240000</v>
      </c>
      <c r="J53" s="424">
        <v>276624000</v>
      </c>
      <c r="K53" s="424">
        <v>276624000</v>
      </c>
      <c r="L53" s="424">
        <v>274176450</v>
      </c>
      <c r="M53" s="424">
        <v>274176450</v>
      </c>
      <c r="N53" s="424">
        <v>52616000</v>
      </c>
      <c r="O53" s="546">
        <f t="shared" si="0"/>
        <v>0.84018952739642816</v>
      </c>
      <c r="P53" s="262"/>
      <c r="Q53" s="262"/>
      <c r="R53" s="262"/>
    </row>
    <row r="54" spans="1:18" s="60" customFormat="1" ht="40.5" customHeight="1" x14ac:dyDescent="0.2">
      <c r="A54" s="236"/>
      <c r="B54" s="277"/>
      <c r="C54" s="278"/>
      <c r="D54" s="269"/>
      <c r="E54" s="270"/>
      <c r="F54" s="415"/>
      <c r="G54" s="278"/>
      <c r="H54" s="564" t="s">
        <v>250</v>
      </c>
      <c r="I54" s="124">
        <v>181000000</v>
      </c>
      <c r="J54" s="124">
        <v>128384000</v>
      </c>
      <c r="K54" s="124">
        <v>128384000</v>
      </c>
      <c r="L54" s="124">
        <v>125936450</v>
      </c>
      <c r="M54" s="124">
        <v>125936450</v>
      </c>
      <c r="N54" s="125">
        <v>52616000</v>
      </c>
      <c r="O54" s="547">
        <f t="shared" si="0"/>
        <v>0.70930386740331497</v>
      </c>
      <c r="P54" s="262"/>
      <c r="Q54" s="262"/>
      <c r="R54" s="262"/>
    </row>
    <row r="55" spans="1:18" s="60" customFormat="1" ht="40.5" customHeight="1" x14ac:dyDescent="0.2">
      <c r="A55" s="236"/>
      <c r="B55" s="277"/>
      <c r="C55" s="278"/>
      <c r="D55" s="269"/>
      <c r="E55" s="270"/>
      <c r="F55" s="417"/>
      <c r="G55" s="278"/>
      <c r="H55" s="565"/>
      <c r="I55" s="124">
        <v>148240000</v>
      </c>
      <c r="J55" s="124">
        <v>148240000</v>
      </c>
      <c r="K55" s="124">
        <v>148240000</v>
      </c>
      <c r="L55" s="124">
        <v>148240000</v>
      </c>
      <c r="M55" s="124">
        <v>148240000</v>
      </c>
      <c r="N55" s="125">
        <v>0</v>
      </c>
      <c r="O55" s="547">
        <f t="shared" si="0"/>
        <v>1</v>
      </c>
      <c r="P55" s="262"/>
      <c r="Q55" s="262"/>
      <c r="R55" s="262"/>
    </row>
    <row r="56" spans="1:18" s="60" customFormat="1" ht="27.75" customHeight="1" x14ac:dyDescent="0.2">
      <c r="A56" s="236"/>
      <c r="B56" s="277"/>
      <c r="C56" s="278"/>
      <c r="D56" s="269"/>
      <c r="E56" s="270"/>
      <c r="F56" s="421">
        <v>12</v>
      </c>
      <c r="G56" s="427" t="s">
        <v>359</v>
      </c>
      <c r="H56" s="426"/>
      <c r="I56" s="424">
        <v>296380000</v>
      </c>
      <c r="J56" s="424">
        <v>248380000</v>
      </c>
      <c r="K56" s="424">
        <v>248380000</v>
      </c>
      <c r="L56" s="424">
        <v>248380000</v>
      </c>
      <c r="M56" s="424">
        <v>248380000</v>
      </c>
      <c r="N56" s="424">
        <v>48000000</v>
      </c>
      <c r="O56" s="546">
        <f t="shared" si="0"/>
        <v>0.83804575207503884</v>
      </c>
      <c r="P56" s="262"/>
      <c r="Q56" s="262"/>
      <c r="R56" s="262"/>
    </row>
    <row r="57" spans="1:18" s="60" customFormat="1" ht="31.5" customHeight="1" x14ac:dyDescent="0.2">
      <c r="A57" s="236"/>
      <c r="B57" s="277"/>
      <c r="C57" s="278"/>
      <c r="D57" s="269"/>
      <c r="E57" s="270"/>
      <c r="F57" s="415"/>
      <c r="G57" s="278"/>
      <c r="H57" s="564" t="s">
        <v>251</v>
      </c>
      <c r="I57" s="124">
        <v>141300000</v>
      </c>
      <c r="J57" s="124">
        <v>93300000</v>
      </c>
      <c r="K57" s="124">
        <v>93300000</v>
      </c>
      <c r="L57" s="124">
        <v>93300000</v>
      </c>
      <c r="M57" s="124">
        <v>93300000</v>
      </c>
      <c r="N57" s="125">
        <v>48000000</v>
      </c>
      <c r="O57" s="547">
        <f t="shared" si="0"/>
        <v>0.66029723991507427</v>
      </c>
      <c r="P57" s="262"/>
      <c r="Q57" s="262"/>
      <c r="R57" s="262"/>
    </row>
    <row r="58" spans="1:18" s="60" customFormat="1" ht="31.5" customHeight="1" x14ac:dyDescent="0.2">
      <c r="A58" s="236"/>
      <c r="B58" s="277"/>
      <c r="C58" s="278"/>
      <c r="D58" s="269"/>
      <c r="E58" s="270"/>
      <c r="F58" s="417"/>
      <c r="G58" s="278"/>
      <c r="H58" s="565"/>
      <c r="I58" s="124">
        <v>155080000</v>
      </c>
      <c r="J58" s="124">
        <v>155080000</v>
      </c>
      <c r="K58" s="124">
        <v>155080000</v>
      </c>
      <c r="L58" s="124">
        <v>155080000</v>
      </c>
      <c r="M58" s="124">
        <v>155080000</v>
      </c>
      <c r="N58" s="125">
        <v>0</v>
      </c>
      <c r="O58" s="547">
        <f t="shared" si="0"/>
        <v>1</v>
      </c>
      <c r="P58" s="262"/>
      <c r="Q58" s="262"/>
      <c r="R58" s="262"/>
    </row>
    <row r="59" spans="1:18" s="60" customFormat="1" ht="27.75" customHeight="1" x14ac:dyDescent="0.2">
      <c r="A59" s="236"/>
      <c r="B59" s="277"/>
      <c r="C59" s="278"/>
      <c r="D59" s="269"/>
      <c r="E59" s="270"/>
      <c r="F59" s="421">
        <v>13</v>
      </c>
      <c r="G59" s="427" t="s">
        <v>360</v>
      </c>
      <c r="H59" s="426"/>
      <c r="I59" s="424">
        <v>1039909563</v>
      </c>
      <c r="J59" s="424">
        <v>1039909563</v>
      </c>
      <c r="K59" s="424">
        <v>1039909563</v>
      </c>
      <c r="L59" s="424">
        <v>1014989563</v>
      </c>
      <c r="M59" s="424">
        <v>1014989563</v>
      </c>
      <c r="N59" s="424">
        <v>0</v>
      </c>
      <c r="O59" s="546">
        <f t="shared" si="0"/>
        <v>1</v>
      </c>
      <c r="P59" s="262"/>
      <c r="Q59" s="262"/>
      <c r="R59" s="262"/>
    </row>
    <row r="60" spans="1:18" s="60" customFormat="1" ht="35.25" customHeight="1" x14ac:dyDescent="0.2">
      <c r="A60" s="236"/>
      <c r="B60" s="277"/>
      <c r="C60" s="278"/>
      <c r="D60" s="269"/>
      <c r="E60" s="270"/>
      <c r="F60" s="415"/>
      <c r="G60" s="278"/>
      <c r="H60" s="564" t="s">
        <v>252</v>
      </c>
      <c r="I60" s="124">
        <v>411700000</v>
      </c>
      <c r="J60" s="124">
        <v>411700000</v>
      </c>
      <c r="K60" s="124">
        <v>411700000</v>
      </c>
      <c r="L60" s="124">
        <v>386780000</v>
      </c>
      <c r="M60" s="124">
        <v>386780000</v>
      </c>
      <c r="N60" s="125">
        <v>0</v>
      </c>
      <c r="O60" s="547">
        <f t="shared" si="0"/>
        <v>1</v>
      </c>
      <c r="P60" s="262"/>
      <c r="Q60" s="262"/>
      <c r="R60" s="262"/>
    </row>
    <row r="61" spans="1:18" s="60" customFormat="1" ht="35.25" customHeight="1" x14ac:dyDescent="0.2">
      <c r="A61" s="236"/>
      <c r="B61" s="277"/>
      <c r="C61" s="278"/>
      <c r="D61" s="269"/>
      <c r="E61" s="270"/>
      <c r="F61" s="286"/>
      <c r="G61" s="278"/>
      <c r="H61" s="566"/>
      <c r="I61" s="124">
        <v>489502600</v>
      </c>
      <c r="J61" s="124">
        <v>489502600</v>
      </c>
      <c r="K61" s="124">
        <v>489502600</v>
      </c>
      <c r="L61" s="124">
        <v>489502600</v>
      </c>
      <c r="M61" s="124">
        <v>489502600</v>
      </c>
      <c r="N61" s="125">
        <v>0</v>
      </c>
      <c r="O61" s="547">
        <f t="shared" si="0"/>
        <v>1</v>
      </c>
      <c r="P61" s="262"/>
      <c r="Q61" s="262"/>
      <c r="R61" s="262"/>
    </row>
    <row r="62" spans="1:18" s="60" customFormat="1" ht="35.25" customHeight="1" x14ac:dyDescent="0.2">
      <c r="A62" s="236"/>
      <c r="B62" s="277"/>
      <c r="C62" s="278"/>
      <c r="D62" s="269"/>
      <c r="E62" s="270"/>
      <c r="F62" s="286"/>
      <c r="G62" s="278"/>
      <c r="H62" s="566"/>
      <c r="I62" s="124">
        <v>50100000</v>
      </c>
      <c r="J62" s="124">
        <v>50100000</v>
      </c>
      <c r="K62" s="124">
        <v>50100000</v>
      </c>
      <c r="L62" s="124">
        <v>50100000</v>
      </c>
      <c r="M62" s="124">
        <v>50100000</v>
      </c>
      <c r="N62" s="125">
        <v>0</v>
      </c>
      <c r="O62" s="547">
        <f t="shared" si="0"/>
        <v>1</v>
      </c>
      <c r="P62" s="262"/>
      <c r="Q62" s="262"/>
      <c r="R62" s="262"/>
    </row>
    <row r="63" spans="1:18" s="60" customFormat="1" ht="35.25" customHeight="1" x14ac:dyDescent="0.2">
      <c r="A63" s="236"/>
      <c r="B63" s="277"/>
      <c r="C63" s="278"/>
      <c r="D63" s="288"/>
      <c r="E63" s="418"/>
      <c r="F63" s="417"/>
      <c r="G63" s="289"/>
      <c r="H63" s="565"/>
      <c r="I63" s="124">
        <v>88606963</v>
      </c>
      <c r="J63" s="124">
        <v>88606963</v>
      </c>
      <c r="K63" s="124">
        <v>88606963</v>
      </c>
      <c r="L63" s="124">
        <v>88606963</v>
      </c>
      <c r="M63" s="124">
        <v>88606963</v>
      </c>
      <c r="N63" s="125">
        <v>0</v>
      </c>
      <c r="O63" s="547">
        <f t="shared" si="0"/>
        <v>1</v>
      </c>
      <c r="P63" s="262"/>
      <c r="Q63" s="262"/>
      <c r="R63" s="262"/>
    </row>
    <row r="64" spans="1:18" s="60" customFormat="1" ht="27.75" customHeight="1" x14ac:dyDescent="0.2">
      <c r="A64" s="236"/>
      <c r="B64" s="291"/>
      <c r="C64" s="259"/>
      <c r="D64" s="292">
        <v>4</v>
      </c>
      <c r="E64" s="293" t="s">
        <v>361</v>
      </c>
      <c r="F64" s="253"/>
      <c r="G64" s="281"/>
      <c r="H64" s="256"/>
      <c r="I64" s="257">
        <v>14812743094.279999</v>
      </c>
      <c r="J64" s="257">
        <v>10089651115.640001</v>
      </c>
      <c r="K64" s="257">
        <v>10089651115.640001</v>
      </c>
      <c r="L64" s="257">
        <v>9201216653.8400002</v>
      </c>
      <c r="M64" s="257">
        <v>9201216653.8400002</v>
      </c>
      <c r="N64" s="257">
        <v>4723091978.6400003</v>
      </c>
      <c r="O64" s="545">
        <f t="shared" si="0"/>
        <v>0.68114670263444732</v>
      </c>
      <c r="P64" s="262"/>
      <c r="Q64" s="262"/>
      <c r="R64" s="262"/>
    </row>
    <row r="65" spans="1:18" s="60" customFormat="1" ht="27.75" customHeight="1" x14ac:dyDescent="0.2">
      <c r="A65" s="236"/>
      <c r="B65" s="294"/>
      <c r="C65" s="295"/>
      <c r="D65" s="296"/>
      <c r="E65" s="297"/>
      <c r="F65" s="421">
        <v>14</v>
      </c>
      <c r="G65" s="427" t="s">
        <v>362</v>
      </c>
      <c r="H65" s="423"/>
      <c r="I65" s="424">
        <v>2658099607.0700002</v>
      </c>
      <c r="J65" s="424">
        <v>1664162882.72</v>
      </c>
      <c r="K65" s="424">
        <v>1664162882.72</v>
      </c>
      <c r="L65" s="424">
        <v>1503902882.72</v>
      </c>
      <c r="M65" s="424">
        <v>1503902882.72</v>
      </c>
      <c r="N65" s="424">
        <v>993936724.35000014</v>
      </c>
      <c r="O65" s="546">
        <f t="shared" si="0"/>
        <v>0.62607243095543441</v>
      </c>
      <c r="P65" s="262"/>
      <c r="Q65" s="262"/>
      <c r="R65" s="262"/>
    </row>
    <row r="66" spans="1:18" s="60" customFormat="1" ht="45" customHeight="1" x14ac:dyDescent="0.2">
      <c r="A66" s="236"/>
      <c r="B66" s="294"/>
      <c r="C66" s="295"/>
      <c r="D66" s="298"/>
      <c r="E66" s="259"/>
      <c r="F66" s="415"/>
      <c r="G66" s="299"/>
      <c r="H66" s="561" t="s">
        <v>189</v>
      </c>
      <c r="I66" s="112">
        <v>110401078</v>
      </c>
      <c r="J66" s="112">
        <v>40026827</v>
      </c>
      <c r="K66" s="112">
        <v>40026827</v>
      </c>
      <c r="L66" s="112">
        <v>40026827</v>
      </c>
      <c r="M66" s="112">
        <v>40026827</v>
      </c>
      <c r="N66" s="272">
        <v>70374251</v>
      </c>
      <c r="O66" s="548">
        <f t="shared" si="0"/>
        <v>0.3625582985702368</v>
      </c>
      <c r="P66" s="262"/>
      <c r="Q66" s="262"/>
      <c r="R66" s="262"/>
    </row>
    <row r="67" spans="1:18" s="60" customFormat="1" ht="45" customHeight="1" x14ac:dyDescent="0.2">
      <c r="A67" s="401"/>
      <c r="B67" s="294"/>
      <c r="C67" s="295"/>
      <c r="D67" s="298"/>
      <c r="E67" s="259"/>
      <c r="F67" s="286"/>
      <c r="G67" s="299"/>
      <c r="H67" s="563"/>
      <c r="I67" s="112">
        <v>552221438.07000005</v>
      </c>
      <c r="J67" s="112">
        <v>480221438.06999999</v>
      </c>
      <c r="K67" s="112">
        <v>480221438.06999999</v>
      </c>
      <c r="L67" s="112">
        <v>322761438.06999999</v>
      </c>
      <c r="M67" s="112">
        <v>322761438.06999999</v>
      </c>
      <c r="N67" s="272">
        <v>72000000.00000006</v>
      </c>
      <c r="O67" s="548">
        <f t="shared" si="0"/>
        <v>0.86961752109509138</v>
      </c>
      <c r="P67" s="262"/>
      <c r="Q67" s="262"/>
      <c r="R67" s="262"/>
    </row>
    <row r="68" spans="1:18" s="60" customFormat="1" ht="45" customHeight="1" x14ac:dyDescent="0.2">
      <c r="A68" s="236"/>
      <c r="B68" s="294"/>
      <c r="C68" s="295"/>
      <c r="D68" s="298"/>
      <c r="E68" s="259"/>
      <c r="F68" s="286"/>
      <c r="G68" s="299"/>
      <c r="H68" s="563"/>
      <c r="I68" s="112">
        <v>450000000</v>
      </c>
      <c r="J68" s="112">
        <v>390843397.64999998</v>
      </c>
      <c r="K68" s="112">
        <v>390843397.64999998</v>
      </c>
      <c r="L68" s="112">
        <v>388043397.64999998</v>
      </c>
      <c r="M68" s="112">
        <v>388043397.64999998</v>
      </c>
      <c r="N68" s="272">
        <v>59156602.350000024</v>
      </c>
      <c r="O68" s="548">
        <f t="shared" ref="O68:O131" si="1">K68/I68</f>
        <v>0.8685408836666666</v>
      </c>
      <c r="P68" s="262"/>
      <c r="Q68" s="262"/>
      <c r="R68" s="262"/>
    </row>
    <row r="69" spans="1:18" s="60" customFormat="1" ht="45" customHeight="1" x14ac:dyDescent="0.2">
      <c r="A69" s="236"/>
      <c r="B69" s="294"/>
      <c r="C69" s="295"/>
      <c r="D69" s="298"/>
      <c r="E69" s="259"/>
      <c r="F69" s="286"/>
      <c r="G69" s="299"/>
      <c r="H69" s="562"/>
      <c r="I69" s="112">
        <v>84415766</v>
      </c>
      <c r="J69" s="112">
        <v>53900213</v>
      </c>
      <c r="K69" s="112">
        <v>53900213</v>
      </c>
      <c r="L69" s="112">
        <v>53900213</v>
      </c>
      <c r="M69" s="112">
        <v>53900213</v>
      </c>
      <c r="N69" s="272">
        <v>30515553</v>
      </c>
      <c r="O69" s="548">
        <f t="shared" si="1"/>
        <v>0.63850884205682623</v>
      </c>
      <c r="P69" s="262"/>
      <c r="Q69" s="262"/>
      <c r="R69" s="262"/>
    </row>
    <row r="70" spans="1:18" s="60" customFormat="1" ht="45" customHeight="1" x14ac:dyDescent="0.2">
      <c r="A70" s="487"/>
      <c r="B70" s="294"/>
      <c r="C70" s="295"/>
      <c r="D70" s="298"/>
      <c r="E70" s="259"/>
      <c r="F70" s="286"/>
      <c r="G70" s="299"/>
      <c r="H70" s="266" t="s">
        <v>506</v>
      </c>
      <c r="I70" s="112">
        <v>611890318</v>
      </c>
      <c r="J70" s="112"/>
      <c r="K70" s="112"/>
      <c r="L70" s="112"/>
      <c r="M70" s="112"/>
      <c r="N70" s="272">
        <v>611890318</v>
      </c>
      <c r="O70" s="548">
        <f t="shared" si="1"/>
        <v>0</v>
      </c>
      <c r="P70" s="262"/>
      <c r="Q70" s="262"/>
      <c r="R70" s="262"/>
    </row>
    <row r="71" spans="1:18" s="60" customFormat="1" ht="54.75" customHeight="1" x14ac:dyDescent="0.2">
      <c r="A71" s="236"/>
      <c r="B71" s="294"/>
      <c r="C71" s="295"/>
      <c r="D71" s="298"/>
      <c r="E71" s="259"/>
      <c r="F71" s="286"/>
      <c r="G71" s="299"/>
      <c r="H71" s="301" t="s">
        <v>363</v>
      </c>
      <c r="I71" s="112">
        <v>849171007</v>
      </c>
      <c r="J71" s="112">
        <v>699171007</v>
      </c>
      <c r="K71" s="112">
        <v>699171007</v>
      </c>
      <c r="L71" s="112">
        <v>699171007</v>
      </c>
      <c r="M71" s="112">
        <v>699171007</v>
      </c>
      <c r="N71" s="272">
        <v>150000000</v>
      </c>
      <c r="O71" s="548">
        <f t="shared" si="1"/>
        <v>0.82335713447173775</v>
      </c>
      <c r="P71" s="262"/>
      <c r="Q71" s="262"/>
      <c r="R71" s="262"/>
    </row>
    <row r="72" spans="1:18" s="60" customFormat="1" ht="27.75" customHeight="1" x14ac:dyDescent="0.2">
      <c r="A72" s="236"/>
      <c r="B72" s="294"/>
      <c r="C72" s="295"/>
      <c r="D72" s="298"/>
      <c r="E72" s="259"/>
      <c r="F72" s="430">
        <v>15</v>
      </c>
      <c r="G72" s="427" t="s">
        <v>364</v>
      </c>
      <c r="H72" s="423"/>
      <c r="I72" s="424">
        <v>12154643487.209999</v>
      </c>
      <c r="J72" s="424">
        <v>8425488232.920001</v>
      </c>
      <c r="K72" s="424">
        <v>8425488232.920001</v>
      </c>
      <c r="L72" s="424">
        <v>7697313771.1200008</v>
      </c>
      <c r="M72" s="424">
        <v>7697313771.1200008</v>
      </c>
      <c r="N72" s="424">
        <v>3729155254.29</v>
      </c>
      <c r="O72" s="546">
        <f t="shared" si="1"/>
        <v>0.69319089793015431</v>
      </c>
      <c r="P72" s="262"/>
      <c r="Q72" s="262"/>
      <c r="R72" s="262"/>
    </row>
    <row r="73" spans="1:18" s="60" customFormat="1" ht="42" customHeight="1" x14ac:dyDescent="0.2">
      <c r="A73" s="236"/>
      <c r="B73" s="273"/>
      <c r="C73" s="493"/>
      <c r="D73" s="274"/>
      <c r="E73" s="493"/>
      <c r="F73" s="302"/>
      <c r="G73" s="493"/>
      <c r="H73" s="561" t="s">
        <v>195</v>
      </c>
      <c r="I73" s="112">
        <v>6469193362.21</v>
      </c>
      <c r="J73" s="112">
        <v>4276727261.1100001</v>
      </c>
      <c r="K73" s="112">
        <v>4276727261.1100001</v>
      </c>
      <c r="L73" s="112">
        <v>4215347261.1100001</v>
      </c>
      <c r="M73" s="112">
        <v>4215347261.1100001</v>
      </c>
      <c r="N73" s="272">
        <v>2192466101.0999999</v>
      </c>
      <c r="O73" s="548">
        <f t="shared" si="1"/>
        <v>0.66109127083642905</v>
      </c>
      <c r="P73" s="262"/>
      <c r="Q73" s="262"/>
      <c r="R73" s="262"/>
    </row>
    <row r="74" spans="1:18" s="60" customFormat="1" ht="42" customHeight="1" x14ac:dyDescent="0.2">
      <c r="A74" s="236"/>
      <c r="B74" s="273"/>
      <c r="C74" s="493"/>
      <c r="D74" s="274"/>
      <c r="E74" s="493"/>
      <c r="F74" s="274"/>
      <c r="G74" s="493"/>
      <c r="H74" s="563"/>
      <c r="I74" s="112">
        <v>128000000</v>
      </c>
      <c r="J74" s="112">
        <v>127997027</v>
      </c>
      <c r="K74" s="112">
        <v>127997027</v>
      </c>
      <c r="L74" s="112">
        <v>127997027</v>
      </c>
      <c r="M74" s="112">
        <v>127997027</v>
      </c>
      <c r="N74" s="272">
        <v>2973</v>
      </c>
      <c r="O74" s="548">
        <f t="shared" si="1"/>
        <v>0.99997677343750002</v>
      </c>
      <c r="P74" s="262"/>
      <c r="Q74" s="262"/>
      <c r="R74" s="262"/>
    </row>
    <row r="75" spans="1:18" s="60" customFormat="1" ht="42" customHeight="1" x14ac:dyDescent="0.2">
      <c r="A75" s="236"/>
      <c r="B75" s="273"/>
      <c r="C75" s="493"/>
      <c r="D75" s="274"/>
      <c r="E75" s="493"/>
      <c r="F75" s="274"/>
      <c r="G75" s="493"/>
      <c r="H75" s="563"/>
      <c r="I75" s="112">
        <v>670000000</v>
      </c>
      <c r="J75" s="112">
        <v>469328558.80000001</v>
      </c>
      <c r="K75" s="112">
        <v>469328558.80000001</v>
      </c>
      <c r="L75" s="112">
        <v>469328558.80000001</v>
      </c>
      <c r="M75" s="112">
        <v>469328558.80000001</v>
      </c>
      <c r="N75" s="272">
        <v>200671441.19999999</v>
      </c>
      <c r="O75" s="548">
        <f t="shared" si="1"/>
        <v>0.70049038626865678</v>
      </c>
      <c r="P75" s="262"/>
      <c r="Q75" s="262"/>
      <c r="R75" s="262"/>
    </row>
    <row r="76" spans="1:18" s="60" customFormat="1" ht="42" customHeight="1" x14ac:dyDescent="0.2">
      <c r="A76" s="478"/>
      <c r="B76" s="273"/>
      <c r="C76" s="493"/>
      <c r="D76" s="274"/>
      <c r="E76" s="493"/>
      <c r="F76" s="274"/>
      <c r="G76" s="493"/>
      <c r="H76" s="563"/>
      <c r="I76" s="112">
        <v>56061566</v>
      </c>
      <c r="J76" s="112">
        <v>56061566</v>
      </c>
      <c r="K76" s="112">
        <v>56061566</v>
      </c>
      <c r="L76" s="112">
        <v>56061566</v>
      </c>
      <c r="M76" s="112">
        <v>56061566</v>
      </c>
      <c r="N76" s="272">
        <v>0</v>
      </c>
      <c r="O76" s="548">
        <f t="shared" si="1"/>
        <v>1</v>
      </c>
      <c r="P76" s="262"/>
      <c r="Q76" s="262"/>
      <c r="R76" s="262"/>
    </row>
    <row r="77" spans="1:18" s="60" customFormat="1" ht="42" customHeight="1" x14ac:dyDescent="0.2">
      <c r="A77" s="236"/>
      <c r="B77" s="273"/>
      <c r="C77" s="493"/>
      <c r="D77" s="274"/>
      <c r="E77" s="493"/>
      <c r="F77" s="274"/>
      <c r="G77" s="493"/>
      <c r="H77" s="563"/>
      <c r="I77" s="112">
        <v>2604927185</v>
      </c>
      <c r="J77" s="112">
        <v>1298530864.5</v>
      </c>
      <c r="K77" s="112">
        <v>1298530864.5</v>
      </c>
      <c r="L77" s="112">
        <v>648228891.70000005</v>
      </c>
      <c r="M77" s="112">
        <v>648228891.70000005</v>
      </c>
      <c r="N77" s="272">
        <v>1306396320.5</v>
      </c>
      <c r="O77" s="548">
        <f t="shared" si="1"/>
        <v>0.49849027334712237</v>
      </c>
      <c r="P77" s="262"/>
      <c r="Q77" s="262"/>
      <c r="R77" s="262"/>
    </row>
    <row r="78" spans="1:18" s="60" customFormat="1" ht="42" customHeight="1" x14ac:dyDescent="0.2">
      <c r="A78" s="236"/>
      <c r="B78" s="273"/>
      <c r="C78" s="493"/>
      <c r="D78" s="274"/>
      <c r="E78" s="493"/>
      <c r="F78" s="274"/>
      <c r="G78" s="493"/>
      <c r="H78" s="562"/>
      <c r="I78" s="112">
        <v>308300000</v>
      </c>
      <c r="J78" s="112">
        <v>303557377</v>
      </c>
      <c r="K78" s="112">
        <v>303557377</v>
      </c>
      <c r="L78" s="112">
        <v>287064888</v>
      </c>
      <c r="M78" s="112">
        <v>287064888</v>
      </c>
      <c r="N78" s="272">
        <v>4742623</v>
      </c>
      <c r="O78" s="548">
        <f t="shared" si="1"/>
        <v>0.98461685695750889</v>
      </c>
      <c r="P78" s="262"/>
      <c r="Q78" s="262"/>
      <c r="R78" s="262"/>
    </row>
    <row r="79" spans="1:18" s="60" customFormat="1" ht="55.5" customHeight="1" x14ac:dyDescent="0.2">
      <c r="A79" s="236"/>
      <c r="B79" s="273"/>
      <c r="C79" s="493"/>
      <c r="D79" s="274"/>
      <c r="E79" s="493"/>
      <c r="F79" s="274"/>
      <c r="G79" s="493"/>
      <c r="H79" s="301" t="s">
        <v>363</v>
      </c>
      <c r="I79" s="303">
        <v>1918161374</v>
      </c>
      <c r="J79" s="303">
        <v>1893285578.51</v>
      </c>
      <c r="K79" s="303">
        <v>1893285578.51</v>
      </c>
      <c r="L79" s="303">
        <v>1893285578.51</v>
      </c>
      <c r="M79" s="303">
        <v>1893285578.51</v>
      </c>
      <c r="N79" s="272">
        <v>24875795.49000001</v>
      </c>
      <c r="O79" s="548">
        <f t="shared" si="1"/>
        <v>0.98703143759061018</v>
      </c>
      <c r="P79" s="262"/>
      <c r="Q79" s="262"/>
      <c r="R79" s="262"/>
    </row>
    <row r="80" spans="1:18" s="60" customFormat="1" ht="27.75" customHeight="1" x14ac:dyDescent="0.2">
      <c r="A80" s="236"/>
      <c r="B80" s="304">
        <v>3</v>
      </c>
      <c r="C80" s="305" t="s">
        <v>365</v>
      </c>
      <c r="D80" s="244"/>
      <c r="E80" s="245"/>
      <c r="F80" s="276"/>
      <c r="G80" s="306"/>
      <c r="H80" s="248"/>
      <c r="I80" s="249">
        <v>211851708462.49002</v>
      </c>
      <c r="J80" s="249">
        <v>199124011504.44998</v>
      </c>
      <c r="K80" s="249">
        <v>199124011504.44998</v>
      </c>
      <c r="L80" s="249">
        <v>197240819598.25998</v>
      </c>
      <c r="M80" s="249">
        <v>197230799598.25998</v>
      </c>
      <c r="N80" s="249">
        <v>14750151141.16</v>
      </c>
      <c r="O80" s="544">
        <f t="shared" si="1"/>
        <v>0.93992166949980682</v>
      </c>
      <c r="P80" s="262"/>
      <c r="Q80" s="262"/>
      <c r="R80" s="262"/>
    </row>
    <row r="81" spans="1:18" s="60" customFormat="1" ht="27.75" customHeight="1" x14ac:dyDescent="0.2">
      <c r="A81" s="236"/>
      <c r="B81" s="308"/>
      <c r="C81" s="309"/>
      <c r="D81" s="310">
        <v>5</v>
      </c>
      <c r="E81" s="311" t="s">
        <v>366</v>
      </c>
      <c r="F81" s="337"/>
      <c r="G81" s="411"/>
      <c r="H81" s="256"/>
      <c r="I81" s="257">
        <v>131703325317</v>
      </c>
      <c r="J81" s="257">
        <v>126358794766</v>
      </c>
      <c r="K81" s="257">
        <v>126358794766</v>
      </c>
      <c r="L81" s="257">
        <v>126030454965</v>
      </c>
      <c r="M81" s="257">
        <v>126030454965</v>
      </c>
      <c r="N81" s="257">
        <v>5306988107</v>
      </c>
      <c r="O81" s="545">
        <f t="shared" si="1"/>
        <v>0.95941992703573642</v>
      </c>
      <c r="P81" s="262"/>
      <c r="Q81" s="262"/>
      <c r="R81" s="262"/>
    </row>
    <row r="82" spans="1:18" s="60" customFormat="1" ht="27.75" customHeight="1" x14ac:dyDescent="0.2">
      <c r="A82" s="236"/>
      <c r="B82" s="273"/>
      <c r="C82" s="493"/>
      <c r="D82" s="312"/>
      <c r="E82" s="313"/>
      <c r="F82" s="431">
        <v>16</v>
      </c>
      <c r="G82" s="432" t="s">
        <v>367</v>
      </c>
      <c r="H82" s="423"/>
      <c r="I82" s="424">
        <v>18564400341</v>
      </c>
      <c r="J82" s="424">
        <v>16070877876</v>
      </c>
      <c r="K82" s="424">
        <v>16070877876</v>
      </c>
      <c r="L82" s="424">
        <v>15742720325</v>
      </c>
      <c r="M82" s="424">
        <v>15742720325</v>
      </c>
      <c r="N82" s="424">
        <v>2455980021</v>
      </c>
      <c r="O82" s="546">
        <f t="shared" si="1"/>
        <v>0.86568257421743999</v>
      </c>
      <c r="P82" s="262"/>
      <c r="Q82" s="262"/>
      <c r="R82" s="262"/>
    </row>
    <row r="83" spans="1:18" s="60" customFormat="1" ht="57" customHeight="1" x14ac:dyDescent="0.2">
      <c r="A83" s="236"/>
      <c r="B83" s="273"/>
      <c r="C83" s="493"/>
      <c r="D83" s="274"/>
      <c r="E83" s="492"/>
      <c r="F83" s="302"/>
      <c r="G83" s="493"/>
      <c r="H83" s="564" t="s">
        <v>282</v>
      </c>
      <c r="I83" s="23">
        <v>6431354</v>
      </c>
      <c r="J83" s="23">
        <v>6336943</v>
      </c>
      <c r="K83" s="23">
        <v>6336943</v>
      </c>
      <c r="L83" s="23">
        <v>6336943</v>
      </c>
      <c r="M83" s="23">
        <v>6336943</v>
      </c>
      <c r="N83" s="23">
        <v>94411</v>
      </c>
      <c r="O83" s="549">
        <f t="shared" si="1"/>
        <v>0.98532019851496278</v>
      </c>
      <c r="P83" s="262"/>
      <c r="Q83" s="262"/>
      <c r="R83" s="262"/>
    </row>
    <row r="84" spans="1:18" s="60" customFormat="1" ht="57" customHeight="1" x14ac:dyDescent="0.2">
      <c r="A84" s="236"/>
      <c r="B84" s="273"/>
      <c r="C84" s="493"/>
      <c r="D84" s="274"/>
      <c r="E84" s="492"/>
      <c r="F84" s="274"/>
      <c r="G84" s="493"/>
      <c r="H84" s="566"/>
      <c r="I84" s="23">
        <v>2037700000</v>
      </c>
      <c r="J84" s="23">
        <v>2009309209</v>
      </c>
      <c r="K84" s="23">
        <v>2009309209</v>
      </c>
      <c r="L84" s="23">
        <v>1968236275</v>
      </c>
      <c r="M84" s="23">
        <v>1968236275</v>
      </c>
      <c r="N84" s="23">
        <v>28390791</v>
      </c>
      <c r="O84" s="549">
        <f t="shared" si="1"/>
        <v>0.98606723708102273</v>
      </c>
      <c r="P84" s="262"/>
      <c r="Q84" s="262"/>
      <c r="R84" s="262"/>
    </row>
    <row r="85" spans="1:18" s="60" customFormat="1" ht="57" customHeight="1" x14ac:dyDescent="0.2">
      <c r="A85" s="236"/>
      <c r="B85" s="273"/>
      <c r="C85" s="493"/>
      <c r="D85" s="274"/>
      <c r="E85" s="492"/>
      <c r="F85" s="274"/>
      <c r="G85" s="493"/>
      <c r="H85" s="566"/>
      <c r="I85" s="23">
        <v>5104963541</v>
      </c>
      <c r="J85" s="23">
        <v>4361711264</v>
      </c>
      <c r="K85" s="23">
        <v>4361711264</v>
      </c>
      <c r="L85" s="23">
        <v>4294300048</v>
      </c>
      <c r="M85" s="23">
        <v>4294300048</v>
      </c>
      <c r="N85" s="23">
        <v>743252277</v>
      </c>
      <c r="O85" s="549">
        <f t="shared" si="1"/>
        <v>0.85440595784266737</v>
      </c>
      <c r="P85" s="262"/>
      <c r="Q85" s="262"/>
      <c r="R85" s="262"/>
    </row>
    <row r="86" spans="1:18" s="60" customFormat="1" ht="57" customHeight="1" x14ac:dyDescent="0.2">
      <c r="A86" s="236"/>
      <c r="B86" s="273"/>
      <c r="C86" s="493"/>
      <c r="D86" s="274"/>
      <c r="E86" s="492"/>
      <c r="F86" s="274"/>
      <c r="G86" s="493"/>
      <c r="H86" s="566"/>
      <c r="I86" s="23">
        <v>2055700205</v>
      </c>
      <c r="J86" s="23">
        <v>1741436117</v>
      </c>
      <c r="K86" s="23">
        <v>1741436117</v>
      </c>
      <c r="L86" s="23">
        <v>1568486117</v>
      </c>
      <c r="M86" s="23">
        <v>1568486117</v>
      </c>
      <c r="N86" s="23">
        <v>314264088</v>
      </c>
      <c r="O86" s="549">
        <f t="shared" si="1"/>
        <v>0.84712552577675104</v>
      </c>
      <c r="P86" s="262"/>
      <c r="Q86" s="262"/>
      <c r="R86" s="262"/>
    </row>
    <row r="87" spans="1:18" s="60" customFormat="1" ht="57" customHeight="1" x14ac:dyDescent="0.2">
      <c r="A87" s="236"/>
      <c r="B87" s="273"/>
      <c r="C87" s="493"/>
      <c r="D87" s="274"/>
      <c r="E87" s="492"/>
      <c r="F87" s="274"/>
      <c r="G87" s="493"/>
      <c r="H87" s="566"/>
      <c r="I87" s="23">
        <v>348386700</v>
      </c>
      <c r="J87" s="23">
        <v>46723401</v>
      </c>
      <c r="K87" s="23">
        <v>46723401</v>
      </c>
      <c r="L87" s="23">
        <v>0</v>
      </c>
      <c r="M87" s="23">
        <v>0</v>
      </c>
      <c r="N87" s="23">
        <v>301663299</v>
      </c>
      <c r="O87" s="549">
        <f t="shared" si="1"/>
        <v>0.13411361857384338</v>
      </c>
      <c r="P87" s="262"/>
      <c r="Q87" s="262"/>
      <c r="R87" s="262"/>
    </row>
    <row r="88" spans="1:18" s="60" customFormat="1" ht="57" customHeight="1" x14ac:dyDescent="0.2">
      <c r="A88" s="236"/>
      <c r="B88" s="273"/>
      <c r="C88" s="493"/>
      <c r="D88" s="274"/>
      <c r="E88" s="492"/>
      <c r="F88" s="274"/>
      <c r="G88" s="493"/>
      <c r="H88" s="566"/>
      <c r="I88" s="23">
        <v>171253920</v>
      </c>
      <c r="J88" s="23">
        <v>171253920</v>
      </c>
      <c r="K88" s="23">
        <v>171253920</v>
      </c>
      <c r="L88" s="23">
        <v>171253920</v>
      </c>
      <c r="M88" s="23">
        <v>171253920</v>
      </c>
      <c r="N88" s="23">
        <v>0</v>
      </c>
      <c r="O88" s="549">
        <f t="shared" si="1"/>
        <v>1</v>
      </c>
      <c r="P88" s="262"/>
      <c r="Q88" s="262"/>
      <c r="R88" s="262"/>
    </row>
    <row r="89" spans="1:18" s="60" customFormat="1" ht="57" customHeight="1" x14ac:dyDescent="0.2">
      <c r="A89" s="236"/>
      <c r="B89" s="273"/>
      <c r="C89" s="493"/>
      <c r="D89" s="274"/>
      <c r="E89" s="492"/>
      <c r="F89" s="274"/>
      <c r="G89" s="493"/>
      <c r="H89" s="566"/>
      <c r="I89" s="23">
        <v>372763406</v>
      </c>
      <c r="J89" s="23">
        <v>372763406</v>
      </c>
      <c r="K89" s="23">
        <v>372763406</v>
      </c>
      <c r="L89" s="23">
        <v>372763406</v>
      </c>
      <c r="M89" s="23">
        <v>372763406</v>
      </c>
      <c r="N89" s="23">
        <v>0</v>
      </c>
      <c r="O89" s="549">
        <f t="shared" si="1"/>
        <v>1</v>
      </c>
      <c r="P89" s="262"/>
      <c r="Q89" s="262"/>
      <c r="R89" s="262"/>
    </row>
    <row r="90" spans="1:18" s="60" customFormat="1" ht="57" customHeight="1" x14ac:dyDescent="0.2">
      <c r="A90" s="236"/>
      <c r="B90" s="273"/>
      <c r="C90" s="493"/>
      <c r="D90" s="274"/>
      <c r="E90" s="492"/>
      <c r="F90" s="274"/>
      <c r="G90" s="493"/>
      <c r="H90" s="566"/>
      <c r="I90" s="23">
        <v>6483182568</v>
      </c>
      <c r="J90" s="23">
        <v>6448026175</v>
      </c>
      <c r="K90" s="23">
        <v>6448026175</v>
      </c>
      <c r="L90" s="23">
        <v>6448026175</v>
      </c>
      <c r="M90" s="23">
        <v>6448026175</v>
      </c>
      <c r="N90" s="23">
        <v>35156393</v>
      </c>
      <c r="O90" s="549">
        <f t="shared" si="1"/>
        <v>0.99457729400163331</v>
      </c>
      <c r="P90" s="262"/>
      <c r="Q90" s="262"/>
      <c r="R90" s="262"/>
    </row>
    <row r="91" spans="1:18" s="60" customFormat="1" ht="57" customHeight="1" x14ac:dyDescent="0.2">
      <c r="A91" s="478"/>
      <c r="B91" s="273"/>
      <c r="C91" s="493"/>
      <c r="D91" s="274"/>
      <c r="E91" s="492"/>
      <c r="F91" s="274"/>
      <c r="G91" s="493"/>
      <c r="H91" s="566"/>
      <c r="I91" s="23">
        <v>736918016</v>
      </c>
      <c r="J91" s="23">
        <v>699375572</v>
      </c>
      <c r="K91" s="23">
        <v>699375572</v>
      </c>
      <c r="L91" s="23">
        <v>699375572</v>
      </c>
      <c r="M91" s="23">
        <v>699375572</v>
      </c>
      <c r="N91" s="23"/>
      <c r="O91" s="549">
        <f t="shared" si="1"/>
        <v>0.94905478874871207</v>
      </c>
      <c r="P91" s="262"/>
      <c r="Q91" s="262"/>
      <c r="R91" s="262"/>
    </row>
    <row r="92" spans="1:18" s="60" customFormat="1" ht="57" customHeight="1" x14ac:dyDescent="0.2">
      <c r="A92" s="236"/>
      <c r="B92" s="273"/>
      <c r="C92" s="493"/>
      <c r="D92" s="274"/>
      <c r="E92" s="492"/>
      <c r="F92" s="274"/>
      <c r="G92" s="493"/>
      <c r="H92" s="566"/>
      <c r="I92" s="23">
        <v>76101858</v>
      </c>
      <c r="J92" s="23">
        <v>40920430</v>
      </c>
      <c r="K92" s="23">
        <v>40920430</v>
      </c>
      <c r="L92" s="23">
        <v>40920430</v>
      </c>
      <c r="M92" s="23">
        <v>40920430</v>
      </c>
      <c r="N92" s="23">
        <v>35181428</v>
      </c>
      <c r="O92" s="549">
        <f t="shared" si="1"/>
        <v>0.53770605705842289</v>
      </c>
      <c r="P92" s="262"/>
      <c r="Q92" s="262"/>
      <c r="R92" s="262"/>
    </row>
    <row r="93" spans="1:18" s="60" customFormat="1" ht="57" customHeight="1" x14ac:dyDescent="0.2">
      <c r="A93" s="236"/>
      <c r="B93" s="273"/>
      <c r="C93" s="493"/>
      <c r="D93" s="274"/>
      <c r="E93" s="492"/>
      <c r="F93" s="314"/>
      <c r="G93" s="493"/>
      <c r="H93" s="565"/>
      <c r="I93" s="23">
        <v>1170998773</v>
      </c>
      <c r="J93" s="23">
        <v>173021439</v>
      </c>
      <c r="K93" s="23">
        <v>173021439</v>
      </c>
      <c r="L93" s="23">
        <v>173021439</v>
      </c>
      <c r="M93" s="23">
        <v>173021439</v>
      </c>
      <c r="N93" s="23">
        <v>997977334</v>
      </c>
      <c r="O93" s="549">
        <f t="shared" si="1"/>
        <v>0.14775544004775829</v>
      </c>
      <c r="P93" s="262"/>
      <c r="Q93" s="262"/>
      <c r="R93" s="262"/>
    </row>
    <row r="94" spans="1:18" s="60" customFormat="1" ht="27.75" customHeight="1" x14ac:dyDescent="0.2">
      <c r="A94" s="236"/>
      <c r="B94" s="273"/>
      <c r="C94" s="493"/>
      <c r="D94" s="274"/>
      <c r="E94" s="493"/>
      <c r="F94" s="433">
        <v>17</v>
      </c>
      <c r="G94" s="432" t="s">
        <v>368</v>
      </c>
      <c r="H94" s="423"/>
      <c r="I94" s="424">
        <v>1381180171</v>
      </c>
      <c r="J94" s="424">
        <v>976986480</v>
      </c>
      <c r="K94" s="424">
        <v>976986480</v>
      </c>
      <c r="L94" s="424">
        <v>976986480</v>
      </c>
      <c r="M94" s="424">
        <v>976986480</v>
      </c>
      <c r="N94" s="424">
        <v>404193691</v>
      </c>
      <c r="O94" s="546">
        <f t="shared" si="1"/>
        <v>0.7073562888559598</v>
      </c>
      <c r="P94" s="262"/>
      <c r="Q94" s="262"/>
      <c r="R94" s="262"/>
    </row>
    <row r="95" spans="1:18" s="60" customFormat="1" ht="48" customHeight="1" x14ac:dyDescent="0.2">
      <c r="A95" s="236"/>
      <c r="B95" s="273"/>
      <c r="C95" s="493"/>
      <c r="D95" s="274"/>
      <c r="E95" s="493"/>
      <c r="F95" s="315"/>
      <c r="G95" s="315"/>
      <c r="H95" s="564" t="s">
        <v>283</v>
      </c>
      <c r="I95" s="23">
        <v>40000000</v>
      </c>
      <c r="J95" s="23">
        <v>0</v>
      </c>
      <c r="K95" s="23">
        <v>0</v>
      </c>
      <c r="L95" s="23">
        <v>0</v>
      </c>
      <c r="M95" s="23">
        <v>0</v>
      </c>
      <c r="N95" s="23">
        <v>40000000</v>
      </c>
      <c r="O95" s="549">
        <f t="shared" si="1"/>
        <v>0</v>
      </c>
      <c r="P95" s="262"/>
      <c r="Q95" s="262"/>
      <c r="R95" s="262"/>
    </row>
    <row r="96" spans="1:18" s="60" customFormat="1" ht="48" customHeight="1" x14ac:dyDescent="0.2">
      <c r="A96" s="236"/>
      <c r="B96" s="273"/>
      <c r="C96" s="493"/>
      <c r="D96" s="274"/>
      <c r="E96" s="493"/>
      <c r="F96" s="315"/>
      <c r="G96" s="492"/>
      <c r="H96" s="565"/>
      <c r="I96" s="23">
        <v>1341180171</v>
      </c>
      <c r="J96" s="23">
        <v>976986480</v>
      </c>
      <c r="K96" s="23">
        <v>976986480</v>
      </c>
      <c r="L96" s="23">
        <v>976986480</v>
      </c>
      <c r="M96" s="23">
        <v>976986480</v>
      </c>
      <c r="N96" s="23">
        <v>364193691</v>
      </c>
      <c r="O96" s="549">
        <f t="shared" si="1"/>
        <v>0.72845282172010284</v>
      </c>
      <c r="P96" s="262"/>
      <c r="Q96" s="262"/>
      <c r="R96" s="262"/>
    </row>
    <row r="97" spans="1:18" s="60" customFormat="1" ht="27.75" customHeight="1" x14ac:dyDescent="0.2">
      <c r="A97" s="236"/>
      <c r="B97" s="273"/>
      <c r="C97" s="493"/>
      <c r="D97" s="274"/>
      <c r="E97" s="493"/>
      <c r="F97" s="434">
        <v>18</v>
      </c>
      <c r="G97" s="432" t="s">
        <v>369</v>
      </c>
      <c r="H97" s="423"/>
      <c r="I97" s="424">
        <v>111757744805</v>
      </c>
      <c r="J97" s="424">
        <v>109310930410</v>
      </c>
      <c r="K97" s="424">
        <v>109310930410</v>
      </c>
      <c r="L97" s="424">
        <v>109310748160</v>
      </c>
      <c r="M97" s="424">
        <v>109310748160</v>
      </c>
      <c r="N97" s="424">
        <v>2446814395</v>
      </c>
      <c r="O97" s="546">
        <f t="shared" si="1"/>
        <v>0.97810608652430031</v>
      </c>
      <c r="P97" s="262"/>
      <c r="Q97" s="262"/>
      <c r="R97" s="262"/>
    </row>
    <row r="98" spans="1:18" s="60" customFormat="1" ht="38.25" customHeight="1" x14ac:dyDescent="0.2">
      <c r="A98" s="236"/>
      <c r="B98" s="273"/>
      <c r="C98" s="493"/>
      <c r="D98" s="274"/>
      <c r="E98" s="492"/>
      <c r="F98" s="316"/>
      <c r="G98" s="317"/>
      <c r="H98" s="564" t="s">
        <v>296</v>
      </c>
      <c r="I98" s="23">
        <v>1829656547</v>
      </c>
      <c r="J98" s="23">
        <v>0</v>
      </c>
      <c r="K98" s="23">
        <v>0</v>
      </c>
      <c r="L98" s="23">
        <v>0</v>
      </c>
      <c r="M98" s="23">
        <v>0</v>
      </c>
      <c r="N98" s="23">
        <v>1829656547</v>
      </c>
      <c r="O98" s="549">
        <f t="shared" si="1"/>
        <v>0</v>
      </c>
      <c r="P98" s="262"/>
      <c r="Q98" s="262"/>
      <c r="R98" s="262"/>
    </row>
    <row r="99" spans="1:18" s="60" customFormat="1" ht="38.25" customHeight="1" x14ac:dyDescent="0.2">
      <c r="A99" s="236"/>
      <c r="B99" s="273"/>
      <c r="C99" s="493"/>
      <c r="D99" s="274"/>
      <c r="E99" s="492"/>
      <c r="F99" s="318"/>
      <c r="G99" s="317"/>
      <c r="H99" s="566"/>
      <c r="I99" s="23">
        <v>79133980247</v>
      </c>
      <c r="J99" s="23">
        <v>79107157955</v>
      </c>
      <c r="K99" s="23">
        <v>79107157955</v>
      </c>
      <c r="L99" s="23">
        <v>79106975705</v>
      </c>
      <c r="M99" s="23">
        <v>79106975705</v>
      </c>
      <c r="N99" s="23">
        <v>26822292</v>
      </c>
      <c r="O99" s="549">
        <f t="shared" si="1"/>
        <v>0.99966105215589718</v>
      </c>
      <c r="P99" s="262"/>
      <c r="Q99" s="262"/>
      <c r="R99" s="262"/>
    </row>
    <row r="100" spans="1:18" s="60" customFormat="1" ht="38.25" customHeight="1" x14ac:dyDescent="0.2">
      <c r="A100" s="236"/>
      <c r="B100" s="273"/>
      <c r="C100" s="493"/>
      <c r="D100" s="274"/>
      <c r="E100" s="492"/>
      <c r="F100" s="318"/>
      <c r="G100" s="317"/>
      <c r="H100" s="566"/>
      <c r="I100" s="23">
        <v>17827252153</v>
      </c>
      <c r="J100" s="23">
        <v>17827252153</v>
      </c>
      <c r="K100" s="23">
        <v>17827252153</v>
      </c>
      <c r="L100" s="23">
        <v>17827252153</v>
      </c>
      <c r="M100" s="23">
        <v>17827252153</v>
      </c>
      <c r="N100" s="23">
        <v>0</v>
      </c>
      <c r="O100" s="549">
        <f t="shared" si="1"/>
        <v>1</v>
      </c>
      <c r="P100" s="262"/>
      <c r="Q100" s="262"/>
      <c r="R100" s="262"/>
    </row>
    <row r="101" spans="1:18" s="60" customFormat="1" ht="38.25" customHeight="1" x14ac:dyDescent="0.2">
      <c r="A101" s="236"/>
      <c r="B101" s="273"/>
      <c r="C101" s="493"/>
      <c r="D101" s="274"/>
      <c r="E101" s="492"/>
      <c r="F101" s="318"/>
      <c r="G101" s="317"/>
      <c r="H101" s="566"/>
      <c r="I101" s="23">
        <v>425860449</v>
      </c>
      <c r="J101" s="23">
        <v>206702614</v>
      </c>
      <c r="K101" s="23">
        <v>206702614</v>
      </c>
      <c r="L101" s="23">
        <v>206702614</v>
      </c>
      <c r="M101" s="23">
        <v>206702614</v>
      </c>
      <c r="N101" s="23">
        <v>219157835</v>
      </c>
      <c r="O101" s="549">
        <f t="shared" si="1"/>
        <v>0.48537640554640943</v>
      </c>
      <c r="P101" s="262"/>
      <c r="Q101" s="262"/>
      <c r="R101" s="262"/>
    </row>
    <row r="102" spans="1:18" s="60" customFormat="1" ht="38.25" customHeight="1" x14ac:dyDescent="0.2">
      <c r="A102" s="236"/>
      <c r="B102" s="273"/>
      <c r="C102" s="493"/>
      <c r="D102" s="274"/>
      <c r="E102" s="492"/>
      <c r="F102" s="318"/>
      <c r="G102" s="317"/>
      <c r="H102" s="566"/>
      <c r="I102" s="23">
        <v>10361587389</v>
      </c>
      <c r="J102" s="23">
        <v>9990409668</v>
      </c>
      <c r="K102" s="23">
        <v>9990409668</v>
      </c>
      <c r="L102" s="23">
        <v>9990409668</v>
      </c>
      <c r="M102" s="23">
        <v>9990409668</v>
      </c>
      <c r="N102" s="23">
        <v>371177721</v>
      </c>
      <c r="O102" s="549">
        <f t="shared" si="1"/>
        <v>0.9641775234754042</v>
      </c>
      <c r="P102" s="262"/>
      <c r="Q102" s="262"/>
      <c r="R102" s="262"/>
    </row>
    <row r="103" spans="1:18" s="60" customFormat="1" ht="38.25" customHeight="1" x14ac:dyDescent="0.2">
      <c r="A103" s="236"/>
      <c r="B103" s="273"/>
      <c r="C103" s="493"/>
      <c r="D103" s="274"/>
      <c r="E103" s="492"/>
      <c r="F103" s="319"/>
      <c r="G103" s="320"/>
      <c r="H103" s="565"/>
      <c r="I103" s="23">
        <v>2179408020</v>
      </c>
      <c r="J103" s="23">
        <v>2179408020</v>
      </c>
      <c r="K103" s="23">
        <v>2179408020</v>
      </c>
      <c r="L103" s="23">
        <v>2179408020</v>
      </c>
      <c r="M103" s="23">
        <v>2179408020</v>
      </c>
      <c r="N103" s="23">
        <v>0</v>
      </c>
      <c r="O103" s="549">
        <f t="shared" si="1"/>
        <v>1</v>
      </c>
      <c r="P103" s="262"/>
      <c r="Q103" s="262"/>
      <c r="R103" s="262"/>
    </row>
    <row r="104" spans="1:18" s="60" customFormat="1" ht="27.75" customHeight="1" x14ac:dyDescent="0.2">
      <c r="A104" s="236"/>
      <c r="B104" s="273"/>
      <c r="C104" s="493"/>
      <c r="D104" s="445">
        <v>6</v>
      </c>
      <c r="E104" s="363" t="s">
        <v>370</v>
      </c>
      <c r="F104" s="323"/>
      <c r="G104" s="324"/>
      <c r="H104" s="256"/>
      <c r="I104" s="257">
        <v>1088480839</v>
      </c>
      <c r="J104" s="257">
        <v>686554008</v>
      </c>
      <c r="K104" s="257">
        <v>686554008</v>
      </c>
      <c r="L104" s="257">
        <v>686554008</v>
      </c>
      <c r="M104" s="257">
        <v>686554008</v>
      </c>
      <c r="N104" s="257">
        <v>401926831</v>
      </c>
      <c r="O104" s="545">
        <f t="shared" si="1"/>
        <v>0.63074514810085691</v>
      </c>
      <c r="P104" s="262"/>
      <c r="Q104" s="262"/>
      <c r="R104" s="262"/>
    </row>
    <row r="105" spans="1:18" s="60" customFormat="1" ht="27.75" customHeight="1" x14ac:dyDescent="0.2">
      <c r="A105" s="236"/>
      <c r="B105" s="273"/>
      <c r="C105" s="493"/>
      <c r="D105" s="312"/>
      <c r="E105" s="313"/>
      <c r="F105" s="434">
        <v>19</v>
      </c>
      <c r="G105" s="432" t="s">
        <v>371</v>
      </c>
      <c r="H105" s="423"/>
      <c r="I105" s="424">
        <v>159104816</v>
      </c>
      <c r="J105" s="424">
        <v>151904816</v>
      </c>
      <c r="K105" s="424">
        <v>151904816</v>
      </c>
      <c r="L105" s="424">
        <v>151904816</v>
      </c>
      <c r="M105" s="424">
        <v>151904816</v>
      </c>
      <c r="N105" s="424">
        <v>7200000</v>
      </c>
      <c r="O105" s="546">
        <f t="shared" si="1"/>
        <v>0.95474681294373898</v>
      </c>
      <c r="P105" s="262"/>
      <c r="Q105" s="262"/>
      <c r="R105" s="262"/>
    </row>
    <row r="106" spans="1:18" s="60" customFormat="1" ht="69" customHeight="1" x14ac:dyDescent="0.2">
      <c r="A106" s="236"/>
      <c r="B106" s="273"/>
      <c r="C106" s="493"/>
      <c r="D106" s="274"/>
      <c r="E106" s="493"/>
      <c r="F106" s="302"/>
      <c r="G106" s="493"/>
      <c r="H106" s="564" t="s">
        <v>284</v>
      </c>
      <c r="I106" s="23">
        <v>99154816</v>
      </c>
      <c r="J106" s="23">
        <v>91954816</v>
      </c>
      <c r="K106" s="23">
        <v>91954816</v>
      </c>
      <c r="L106" s="23">
        <v>91954816</v>
      </c>
      <c r="M106" s="23">
        <v>91954816</v>
      </c>
      <c r="N106" s="23">
        <v>7200000</v>
      </c>
      <c r="O106" s="549">
        <f t="shared" si="1"/>
        <v>0.92738628046064853</v>
      </c>
      <c r="P106" s="262"/>
      <c r="Q106" s="262"/>
      <c r="R106" s="262"/>
    </row>
    <row r="107" spans="1:18" s="60" customFormat="1" ht="69" customHeight="1" x14ac:dyDescent="0.2">
      <c r="A107" s="236"/>
      <c r="B107" s="273"/>
      <c r="C107" s="493"/>
      <c r="D107" s="274"/>
      <c r="E107" s="493"/>
      <c r="F107" s="314"/>
      <c r="G107" s="493"/>
      <c r="H107" s="565"/>
      <c r="I107" s="23">
        <v>59950000</v>
      </c>
      <c r="J107" s="23">
        <v>59950000</v>
      </c>
      <c r="K107" s="23">
        <v>59950000</v>
      </c>
      <c r="L107" s="23">
        <v>59950000</v>
      </c>
      <c r="M107" s="23">
        <v>59950000</v>
      </c>
      <c r="N107" s="23">
        <v>0</v>
      </c>
      <c r="O107" s="549">
        <f t="shared" si="1"/>
        <v>1</v>
      </c>
      <c r="P107" s="262"/>
      <c r="Q107" s="262"/>
      <c r="R107" s="262"/>
    </row>
    <row r="108" spans="1:18" s="60" customFormat="1" ht="27.75" customHeight="1" x14ac:dyDescent="0.2">
      <c r="A108" s="236"/>
      <c r="B108" s="273"/>
      <c r="C108" s="493"/>
      <c r="D108" s="274"/>
      <c r="E108" s="493"/>
      <c r="F108" s="434">
        <v>20</v>
      </c>
      <c r="G108" s="432" t="s">
        <v>372</v>
      </c>
      <c r="H108" s="423"/>
      <c r="I108" s="424">
        <v>612276023</v>
      </c>
      <c r="J108" s="424">
        <v>505849192</v>
      </c>
      <c r="K108" s="424">
        <v>505849192</v>
      </c>
      <c r="L108" s="424">
        <v>505849192</v>
      </c>
      <c r="M108" s="424">
        <v>505849192</v>
      </c>
      <c r="N108" s="424">
        <v>106426831</v>
      </c>
      <c r="O108" s="546">
        <f t="shared" si="1"/>
        <v>0.82617834603658813</v>
      </c>
      <c r="P108" s="262"/>
      <c r="Q108" s="262"/>
      <c r="R108" s="262"/>
    </row>
    <row r="109" spans="1:18" s="60" customFormat="1" ht="63" customHeight="1" x14ac:dyDescent="0.2">
      <c r="A109" s="236"/>
      <c r="B109" s="273"/>
      <c r="C109" s="493"/>
      <c r="D109" s="274"/>
      <c r="E109" s="492"/>
      <c r="F109" s="302"/>
      <c r="G109" s="493"/>
      <c r="H109" s="564" t="s">
        <v>285</v>
      </c>
      <c r="I109" s="23">
        <v>36000000</v>
      </c>
      <c r="J109" s="23">
        <v>35000000</v>
      </c>
      <c r="K109" s="23">
        <v>35000000</v>
      </c>
      <c r="L109" s="23">
        <v>35000000</v>
      </c>
      <c r="M109" s="23">
        <v>35000000</v>
      </c>
      <c r="N109" s="23">
        <v>1000000</v>
      </c>
      <c r="O109" s="549">
        <f t="shared" si="1"/>
        <v>0.97222222222222221</v>
      </c>
      <c r="P109" s="262"/>
      <c r="Q109" s="262"/>
      <c r="R109" s="262"/>
    </row>
    <row r="110" spans="1:18" s="60" customFormat="1" ht="63" customHeight="1" x14ac:dyDescent="0.2">
      <c r="A110" s="236"/>
      <c r="B110" s="273"/>
      <c r="C110" s="493"/>
      <c r="D110" s="274"/>
      <c r="E110" s="492"/>
      <c r="F110" s="274"/>
      <c r="G110" s="493"/>
      <c r="H110" s="566"/>
      <c r="I110" s="23">
        <v>290000000</v>
      </c>
      <c r="J110" s="23">
        <v>239781040</v>
      </c>
      <c r="K110" s="23">
        <v>239781040</v>
      </c>
      <c r="L110" s="23">
        <v>239781040</v>
      </c>
      <c r="M110" s="23">
        <v>239781040</v>
      </c>
      <c r="N110" s="23">
        <v>50218960</v>
      </c>
      <c r="O110" s="549">
        <f t="shared" si="1"/>
        <v>0.82683117241379311</v>
      </c>
      <c r="P110" s="262"/>
      <c r="Q110" s="262"/>
      <c r="R110" s="262"/>
    </row>
    <row r="111" spans="1:18" s="60" customFormat="1" ht="69.75" customHeight="1" x14ac:dyDescent="0.2">
      <c r="A111" s="407"/>
      <c r="B111" s="273"/>
      <c r="C111" s="493"/>
      <c r="D111" s="274"/>
      <c r="E111" s="492"/>
      <c r="F111" s="274"/>
      <c r="G111" s="493"/>
      <c r="H111" s="566"/>
      <c r="I111" s="23">
        <v>145000000</v>
      </c>
      <c r="J111" s="23">
        <v>94752000</v>
      </c>
      <c r="K111" s="23">
        <v>94752000</v>
      </c>
      <c r="L111" s="23">
        <v>94752000</v>
      </c>
      <c r="M111" s="23">
        <v>94752000</v>
      </c>
      <c r="N111" s="23">
        <v>50248000</v>
      </c>
      <c r="O111" s="549">
        <f t="shared" si="1"/>
        <v>0.65346206896551728</v>
      </c>
      <c r="P111" s="262"/>
      <c r="Q111" s="262"/>
      <c r="R111" s="262"/>
    </row>
    <row r="112" spans="1:18" s="60" customFormat="1" ht="69.75" customHeight="1" x14ac:dyDescent="0.2">
      <c r="A112" s="491"/>
      <c r="B112" s="273"/>
      <c r="C112" s="493"/>
      <c r="D112" s="274"/>
      <c r="E112" s="492"/>
      <c r="F112" s="274"/>
      <c r="G112" s="493"/>
      <c r="H112" s="566"/>
      <c r="I112" s="23">
        <v>4959871</v>
      </c>
      <c r="J112" s="23">
        <v>0</v>
      </c>
      <c r="K112" s="23">
        <v>0</v>
      </c>
      <c r="L112" s="23">
        <v>0</v>
      </c>
      <c r="M112" s="23">
        <v>0</v>
      </c>
      <c r="N112" s="23">
        <v>4959871</v>
      </c>
      <c r="O112" s="549">
        <f t="shared" si="1"/>
        <v>0</v>
      </c>
      <c r="P112" s="262"/>
      <c r="Q112" s="262"/>
      <c r="R112" s="262"/>
    </row>
    <row r="113" spans="1:18" s="60" customFormat="1" ht="63" customHeight="1" x14ac:dyDescent="0.2">
      <c r="A113" s="236"/>
      <c r="B113" s="273"/>
      <c r="C113" s="493"/>
      <c r="D113" s="274"/>
      <c r="E113" s="492"/>
      <c r="F113" s="314"/>
      <c r="G113" s="493"/>
      <c r="H113" s="565"/>
      <c r="I113" s="23">
        <v>136316152</v>
      </c>
      <c r="J113" s="23">
        <v>136316152</v>
      </c>
      <c r="K113" s="23">
        <v>136316152</v>
      </c>
      <c r="L113" s="23">
        <v>136316152</v>
      </c>
      <c r="M113" s="23">
        <v>136316152</v>
      </c>
      <c r="N113" s="23">
        <v>0</v>
      </c>
      <c r="O113" s="549">
        <f t="shared" si="1"/>
        <v>1</v>
      </c>
      <c r="P113" s="262"/>
      <c r="Q113" s="262"/>
      <c r="R113" s="262"/>
    </row>
    <row r="114" spans="1:18" s="60" customFormat="1" ht="27.75" customHeight="1" x14ac:dyDescent="0.2">
      <c r="A114" s="236"/>
      <c r="B114" s="273"/>
      <c r="C114" s="493"/>
      <c r="D114" s="274"/>
      <c r="E114" s="493"/>
      <c r="F114" s="434">
        <v>21</v>
      </c>
      <c r="G114" s="432" t="s">
        <v>373</v>
      </c>
      <c r="H114" s="423"/>
      <c r="I114" s="424">
        <v>273800000</v>
      </c>
      <c r="J114" s="424">
        <v>20800000</v>
      </c>
      <c r="K114" s="424">
        <v>20800000</v>
      </c>
      <c r="L114" s="424">
        <v>20800000</v>
      </c>
      <c r="M114" s="424">
        <v>20800000</v>
      </c>
      <c r="N114" s="424">
        <v>253000000</v>
      </c>
      <c r="O114" s="546">
        <f t="shared" si="1"/>
        <v>7.5967859751643538E-2</v>
      </c>
      <c r="P114" s="262"/>
      <c r="Q114" s="262"/>
      <c r="R114" s="262"/>
    </row>
    <row r="115" spans="1:18" s="60" customFormat="1" ht="42.75" customHeight="1" x14ac:dyDescent="0.2">
      <c r="A115" s="236"/>
      <c r="B115" s="273"/>
      <c r="C115" s="493"/>
      <c r="D115" s="274"/>
      <c r="E115" s="492"/>
      <c r="F115" s="302"/>
      <c r="G115" s="493"/>
      <c r="H115" s="564" t="s">
        <v>286</v>
      </c>
      <c r="I115" s="23">
        <v>16300000</v>
      </c>
      <c r="J115" s="23">
        <v>16300000</v>
      </c>
      <c r="K115" s="23">
        <v>16300000</v>
      </c>
      <c r="L115" s="23">
        <v>16300000</v>
      </c>
      <c r="M115" s="23">
        <v>16300000</v>
      </c>
      <c r="N115" s="23">
        <v>0</v>
      </c>
      <c r="O115" s="549">
        <f t="shared" si="1"/>
        <v>1</v>
      </c>
      <c r="P115" s="262"/>
      <c r="Q115" s="262"/>
      <c r="R115" s="262"/>
    </row>
    <row r="116" spans="1:18" s="60" customFormat="1" ht="42.75" customHeight="1" x14ac:dyDescent="0.2">
      <c r="A116" s="236"/>
      <c r="B116" s="273"/>
      <c r="C116" s="493"/>
      <c r="D116" s="274"/>
      <c r="E116" s="492"/>
      <c r="F116" s="314"/>
      <c r="G116" s="493"/>
      <c r="H116" s="565"/>
      <c r="I116" s="23">
        <v>257500000</v>
      </c>
      <c r="J116" s="23">
        <v>4500000</v>
      </c>
      <c r="K116" s="23">
        <v>4500000</v>
      </c>
      <c r="L116" s="23">
        <v>4500000</v>
      </c>
      <c r="M116" s="23">
        <v>4500000</v>
      </c>
      <c r="N116" s="23">
        <v>253000000</v>
      </c>
      <c r="O116" s="549">
        <f t="shared" si="1"/>
        <v>1.7475728155339806E-2</v>
      </c>
      <c r="P116" s="262"/>
      <c r="Q116" s="262"/>
      <c r="R116" s="262"/>
    </row>
    <row r="117" spans="1:18" s="60" customFormat="1" ht="27.75" customHeight="1" x14ac:dyDescent="0.2">
      <c r="A117" s="236"/>
      <c r="B117" s="273"/>
      <c r="C117" s="493"/>
      <c r="D117" s="274"/>
      <c r="E117" s="493"/>
      <c r="F117" s="430">
        <v>22</v>
      </c>
      <c r="G117" s="427" t="s">
        <v>374</v>
      </c>
      <c r="H117" s="423"/>
      <c r="I117" s="424">
        <v>43300000</v>
      </c>
      <c r="J117" s="424">
        <v>8000000</v>
      </c>
      <c r="K117" s="424">
        <v>8000000</v>
      </c>
      <c r="L117" s="424">
        <v>8000000</v>
      </c>
      <c r="M117" s="424">
        <v>8000000</v>
      </c>
      <c r="N117" s="424">
        <v>35300000</v>
      </c>
      <c r="O117" s="546">
        <f t="shared" si="1"/>
        <v>0.18475750577367206</v>
      </c>
      <c r="P117" s="262"/>
      <c r="Q117" s="262"/>
      <c r="R117" s="262"/>
    </row>
    <row r="118" spans="1:18" s="60" customFormat="1" ht="61.5" customHeight="1" x14ac:dyDescent="0.2">
      <c r="A118" s="236"/>
      <c r="B118" s="273"/>
      <c r="C118" s="493"/>
      <c r="D118" s="274"/>
      <c r="E118" s="493"/>
      <c r="F118" s="315"/>
      <c r="G118" s="315"/>
      <c r="H118" s="141" t="s">
        <v>287</v>
      </c>
      <c r="I118" s="23">
        <v>43300000</v>
      </c>
      <c r="J118" s="25">
        <v>8000000</v>
      </c>
      <c r="K118" s="25">
        <v>8000000</v>
      </c>
      <c r="L118" s="25">
        <v>8000000</v>
      </c>
      <c r="M118" s="25">
        <v>8000000</v>
      </c>
      <c r="N118" s="25">
        <v>35300000</v>
      </c>
      <c r="O118" s="550">
        <f t="shared" si="1"/>
        <v>0.18475750577367206</v>
      </c>
      <c r="P118" s="262"/>
      <c r="Q118" s="262"/>
      <c r="R118" s="262"/>
    </row>
    <row r="119" spans="1:18" s="60" customFormat="1" ht="27.75" customHeight="1" x14ac:dyDescent="0.2">
      <c r="A119" s="236"/>
      <c r="B119" s="273"/>
      <c r="C119" s="493"/>
      <c r="D119" s="321">
        <v>7</v>
      </c>
      <c r="E119" s="322" t="s">
        <v>375</v>
      </c>
      <c r="F119" s="323"/>
      <c r="G119" s="324"/>
      <c r="H119" s="256"/>
      <c r="I119" s="257">
        <v>354268585</v>
      </c>
      <c r="J119" s="257">
        <v>123459945</v>
      </c>
      <c r="K119" s="257">
        <v>123459945</v>
      </c>
      <c r="L119" s="257">
        <v>123459945</v>
      </c>
      <c r="M119" s="257">
        <v>123459945</v>
      </c>
      <c r="N119" s="257">
        <v>230808640</v>
      </c>
      <c r="O119" s="545">
        <f t="shared" si="1"/>
        <v>0.34849250040050828</v>
      </c>
      <c r="P119" s="262"/>
      <c r="Q119" s="262"/>
      <c r="R119" s="262"/>
    </row>
    <row r="120" spans="1:18" s="60" customFormat="1" ht="27.75" customHeight="1" x14ac:dyDescent="0.2">
      <c r="A120" s="236"/>
      <c r="B120" s="273"/>
      <c r="C120" s="493"/>
      <c r="D120" s="312"/>
      <c r="E120" s="313"/>
      <c r="F120" s="434">
        <v>23</v>
      </c>
      <c r="G120" s="432" t="s">
        <v>376</v>
      </c>
      <c r="H120" s="423"/>
      <c r="I120" s="424">
        <v>15150000</v>
      </c>
      <c r="J120" s="424">
        <v>15150000</v>
      </c>
      <c r="K120" s="424">
        <v>15150000</v>
      </c>
      <c r="L120" s="424">
        <v>15150000</v>
      </c>
      <c r="M120" s="424">
        <v>15150000</v>
      </c>
      <c r="N120" s="424">
        <v>0</v>
      </c>
      <c r="O120" s="546">
        <f t="shared" si="1"/>
        <v>1</v>
      </c>
      <c r="P120" s="262"/>
      <c r="Q120" s="262"/>
      <c r="R120" s="262"/>
    </row>
    <row r="121" spans="1:18" s="60" customFormat="1" ht="71.25" customHeight="1" x14ac:dyDescent="0.2">
      <c r="A121" s="236"/>
      <c r="B121" s="273"/>
      <c r="C121" s="493"/>
      <c r="D121" s="326"/>
      <c r="E121" s="327"/>
      <c r="F121" s="328"/>
      <c r="G121" s="317"/>
      <c r="H121" s="141" t="s">
        <v>288</v>
      </c>
      <c r="I121" s="23">
        <v>15150000</v>
      </c>
      <c r="J121" s="23">
        <v>15150000</v>
      </c>
      <c r="K121" s="23">
        <v>15150000</v>
      </c>
      <c r="L121" s="23">
        <v>15150000</v>
      </c>
      <c r="M121" s="23">
        <v>15150000</v>
      </c>
      <c r="N121" s="23">
        <v>0</v>
      </c>
      <c r="O121" s="549">
        <f t="shared" si="1"/>
        <v>1</v>
      </c>
      <c r="P121" s="262"/>
      <c r="Q121" s="262"/>
      <c r="R121" s="262"/>
    </row>
    <row r="122" spans="1:18" s="60" customFormat="1" ht="27.75" customHeight="1" x14ac:dyDescent="0.2">
      <c r="A122" s="236"/>
      <c r="B122" s="273"/>
      <c r="C122" s="493"/>
      <c r="D122" s="326"/>
      <c r="E122" s="327"/>
      <c r="F122" s="434">
        <v>24</v>
      </c>
      <c r="G122" s="432" t="s">
        <v>377</v>
      </c>
      <c r="H122" s="423"/>
      <c r="I122" s="424">
        <v>339118585</v>
      </c>
      <c r="J122" s="424">
        <v>108309945</v>
      </c>
      <c r="K122" s="424">
        <v>108309945</v>
      </c>
      <c r="L122" s="424">
        <v>108309945</v>
      </c>
      <c r="M122" s="424">
        <v>108309945</v>
      </c>
      <c r="N122" s="424">
        <v>230808640</v>
      </c>
      <c r="O122" s="546">
        <f t="shared" si="1"/>
        <v>0.31938663874762274</v>
      </c>
      <c r="P122" s="262"/>
      <c r="Q122" s="262"/>
      <c r="R122" s="262"/>
    </row>
    <row r="123" spans="1:18" s="60" customFormat="1" ht="52.5" customHeight="1" x14ac:dyDescent="0.2">
      <c r="A123" s="236"/>
      <c r="B123" s="273"/>
      <c r="C123" s="493"/>
      <c r="D123" s="326"/>
      <c r="E123" s="327"/>
      <c r="F123" s="316"/>
      <c r="G123" s="317"/>
      <c r="H123" s="564" t="s">
        <v>290</v>
      </c>
      <c r="I123" s="23">
        <v>85700000</v>
      </c>
      <c r="J123" s="23">
        <v>49959000</v>
      </c>
      <c r="K123" s="23">
        <v>49959000</v>
      </c>
      <c r="L123" s="23">
        <v>49959000</v>
      </c>
      <c r="M123" s="23">
        <v>49959000</v>
      </c>
      <c r="N123" s="23">
        <v>35741000</v>
      </c>
      <c r="O123" s="549">
        <f t="shared" si="1"/>
        <v>0.58295215869311556</v>
      </c>
      <c r="P123" s="262"/>
      <c r="Q123" s="262"/>
      <c r="R123" s="262"/>
    </row>
    <row r="124" spans="1:18" s="60" customFormat="1" ht="52.5" customHeight="1" x14ac:dyDescent="0.2">
      <c r="A124" s="236"/>
      <c r="B124" s="273"/>
      <c r="C124" s="493"/>
      <c r="D124" s="326"/>
      <c r="E124" s="327"/>
      <c r="F124" s="318"/>
      <c r="G124" s="317"/>
      <c r="H124" s="565"/>
      <c r="I124" s="23">
        <v>199618585</v>
      </c>
      <c r="J124" s="23">
        <v>25000000</v>
      </c>
      <c r="K124" s="23">
        <v>25000000</v>
      </c>
      <c r="L124" s="23">
        <v>25000000</v>
      </c>
      <c r="M124" s="23">
        <v>25000000</v>
      </c>
      <c r="N124" s="23">
        <v>174618585</v>
      </c>
      <c r="O124" s="549">
        <f t="shared" si="1"/>
        <v>0.125238839860527</v>
      </c>
      <c r="P124" s="262"/>
      <c r="Q124" s="262"/>
      <c r="R124" s="262"/>
    </row>
    <row r="125" spans="1:18" s="60" customFormat="1" ht="52.5" customHeight="1" x14ac:dyDescent="0.2">
      <c r="A125" s="236"/>
      <c r="B125" s="273"/>
      <c r="C125" s="493"/>
      <c r="D125" s="326"/>
      <c r="E125" s="327"/>
      <c r="F125" s="318"/>
      <c r="G125" s="317"/>
      <c r="H125" s="564" t="s">
        <v>289</v>
      </c>
      <c r="I125" s="23">
        <v>4300000</v>
      </c>
      <c r="J125" s="23">
        <v>4300000</v>
      </c>
      <c r="K125" s="23">
        <v>4300000</v>
      </c>
      <c r="L125" s="23">
        <v>4300000</v>
      </c>
      <c r="M125" s="23">
        <v>4300000</v>
      </c>
      <c r="N125" s="23">
        <v>0</v>
      </c>
      <c r="O125" s="549">
        <f t="shared" si="1"/>
        <v>1</v>
      </c>
      <c r="P125" s="262"/>
      <c r="Q125" s="262"/>
      <c r="R125" s="262"/>
    </row>
    <row r="126" spans="1:18" s="60" customFormat="1" ht="52.5" customHeight="1" x14ac:dyDescent="0.2">
      <c r="A126" s="236"/>
      <c r="B126" s="273"/>
      <c r="C126" s="493"/>
      <c r="D126" s="329"/>
      <c r="E126" s="330"/>
      <c r="F126" s="319"/>
      <c r="G126" s="320"/>
      <c r="H126" s="565"/>
      <c r="I126" s="23">
        <v>49500000</v>
      </c>
      <c r="J126" s="23">
        <v>29050945</v>
      </c>
      <c r="K126" s="23">
        <v>29050945</v>
      </c>
      <c r="L126" s="23">
        <v>29050945</v>
      </c>
      <c r="M126" s="23">
        <v>29050945</v>
      </c>
      <c r="N126" s="23">
        <v>20449055</v>
      </c>
      <c r="O126" s="549">
        <f t="shared" si="1"/>
        <v>0.58688777777777779</v>
      </c>
      <c r="P126" s="262"/>
      <c r="Q126" s="262"/>
      <c r="R126" s="262"/>
    </row>
    <row r="127" spans="1:18" s="60" customFormat="1" ht="27.75" customHeight="1" x14ac:dyDescent="0.2">
      <c r="A127" s="236"/>
      <c r="B127" s="273"/>
      <c r="C127" s="493"/>
      <c r="D127" s="321">
        <v>8</v>
      </c>
      <c r="E127" s="322" t="s">
        <v>378</v>
      </c>
      <c r="F127" s="323"/>
      <c r="G127" s="324"/>
      <c r="H127" s="256"/>
      <c r="I127" s="257">
        <v>16219554898</v>
      </c>
      <c r="J127" s="257">
        <v>15816989025.139999</v>
      </c>
      <c r="K127" s="257">
        <v>15816989025.139999</v>
      </c>
      <c r="L127" s="257">
        <v>15811867025.139999</v>
      </c>
      <c r="M127" s="257">
        <v>15811867025.139999</v>
      </c>
      <c r="N127" s="257">
        <v>402565872.86000061</v>
      </c>
      <c r="O127" s="545">
        <f t="shared" si="1"/>
        <v>0.97518021453784531</v>
      </c>
      <c r="P127" s="262"/>
      <c r="Q127" s="262"/>
      <c r="R127" s="262"/>
    </row>
    <row r="128" spans="1:18" s="60" customFormat="1" ht="27.75" customHeight="1" x14ac:dyDescent="0.2">
      <c r="A128" s="236"/>
      <c r="B128" s="273"/>
      <c r="C128" s="493"/>
      <c r="D128" s="312"/>
      <c r="E128" s="313"/>
      <c r="F128" s="435">
        <v>25</v>
      </c>
      <c r="G128" s="432" t="s">
        <v>379</v>
      </c>
      <c r="H128" s="423"/>
      <c r="I128" s="424">
        <v>80000000</v>
      </c>
      <c r="J128" s="424">
        <v>27782003</v>
      </c>
      <c r="K128" s="424">
        <v>27782003</v>
      </c>
      <c r="L128" s="424">
        <v>27782003</v>
      </c>
      <c r="M128" s="424">
        <v>27782003</v>
      </c>
      <c r="N128" s="424">
        <v>52217997</v>
      </c>
      <c r="O128" s="546">
        <f t="shared" si="1"/>
        <v>0.34727503749999999</v>
      </c>
      <c r="P128" s="262"/>
      <c r="Q128" s="262"/>
      <c r="R128" s="262"/>
    </row>
    <row r="129" spans="1:18" s="60" customFormat="1" ht="49.5" customHeight="1" x14ac:dyDescent="0.2">
      <c r="A129" s="236"/>
      <c r="B129" s="273"/>
      <c r="C129" s="493"/>
      <c r="D129" s="326"/>
      <c r="E129" s="327"/>
      <c r="F129" s="331"/>
      <c r="G129" s="332"/>
      <c r="H129" s="141" t="s">
        <v>291</v>
      </c>
      <c r="I129" s="23">
        <v>80000000</v>
      </c>
      <c r="J129" s="23">
        <v>27782003</v>
      </c>
      <c r="K129" s="23">
        <v>27782003</v>
      </c>
      <c r="L129" s="23">
        <v>27782003</v>
      </c>
      <c r="M129" s="23">
        <v>27782003</v>
      </c>
      <c r="N129" s="23">
        <v>52217997</v>
      </c>
      <c r="O129" s="549">
        <f t="shared" si="1"/>
        <v>0.34727503749999999</v>
      </c>
      <c r="P129" s="262"/>
      <c r="Q129" s="262"/>
      <c r="R129" s="262"/>
    </row>
    <row r="130" spans="1:18" s="60" customFormat="1" ht="27.75" customHeight="1" x14ac:dyDescent="0.2">
      <c r="A130" s="236"/>
      <c r="B130" s="273"/>
      <c r="C130" s="493"/>
      <c r="D130" s="326"/>
      <c r="E130" s="327"/>
      <c r="F130" s="435">
        <v>26</v>
      </c>
      <c r="G130" s="432" t="s">
        <v>380</v>
      </c>
      <c r="H130" s="423"/>
      <c r="I130" s="424">
        <v>488921512</v>
      </c>
      <c r="J130" s="424">
        <v>205820184</v>
      </c>
      <c r="K130" s="424">
        <v>205820184</v>
      </c>
      <c r="L130" s="424">
        <v>205820184</v>
      </c>
      <c r="M130" s="424">
        <v>205820184</v>
      </c>
      <c r="N130" s="424">
        <v>283101328</v>
      </c>
      <c r="O130" s="546">
        <f t="shared" si="1"/>
        <v>0.42096774011449101</v>
      </c>
      <c r="P130" s="262"/>
      <c r="Q130" s="262"/>
      <c r="R130" s="262"/>
    </row>
    <row r="131" spans="1:18" s="60" customFormat="1" ht="48" customHeight="1" x14ac:dyDescent="0.2">
      <c r="A131" s="236"/>
      <c r="B131" s="273"/>
      <c r="C131" s="493"/>
      <c r="D131" s="326"/>
      <c r="E131" s="327"/>
      <c r="F131" s="331"/>
      <c r="G131" s="332"/>
      <c r="H131" s="141" t="s">
        <v>295</v>
      </c>
      <c r="I131" s="23">
        <v>488921512</v>
      </c>
      <c r="J131" s="23">
        <v>205820184</v>
      </c>
      <c r="K131" s="23">
        <v>205820184</v>
      </c>
      <c r="L131" s="23">
        <v>205820184</v>
      </c>
      <c r="M131" s="23">
        <v>205820184</v>
      </c>
      <c r="N131" s="23">
        <v>283101328</v>
      </c>
      <c r="O131" s="549">
        <f t="shared" si="1"/>
        <v>0.42096774011449101</v>
      </c>
      <c r="P131" s="262"/>
      <c r="Q131" s="262"/>
      <c r="R131" s="262"/>
    </row>
    <row r="132" spans="1:18" s="60" customFormat="1" ht="27.75" customHeight="1" x14ac:dyDescent="0.2">
      <c r="A132" s="236"/>
      <c r="B132" s="273"/>
      <c r="C132" s="493"/>
      <c r="D132" s="326"/>
      <c r="E132" s="327"/>
      <c r="F132" s="434">
        <v>27</v>
      </c>
      <c r="G132" s="432" t="s">
        <v>381</v>
      </c>
      <c r="H132" s="423"/>
      <c r="I132" s="424">
        <v>15608033386</v>
      </c>
      <c r="J132" s="424">
        <v>15566892974.139999</v>
      </c>
      <c r="K132" s="424">
        <v>15566892974.139999</v>
      </c>
      <c r="L132" s="424">
        <v>15561770974.139999</v>
      </c>
      <c r="M132" s="424">
        <v>15561770974.139999</v>
      </c>
      <c r="N132" s="424">
        <v>41140411.86000061</v>
      </c>
      <c r="O132" s="546">
        <f t="shared" ref="O132:O176" si="2">K132/I132</f>
        <v>0.99736415146978719</v>
      </c>
      <c r="P132" s="262"/>
      <c r="Q132" s="262"/>
      <c r="R132" s="262"/>
    </row>
    <row r="133" spans="1:18" s="60" customFormat="1" ht="45.75" customHeight="1" x14ac:dyDescent="0.2">
      <c r="A133" s="236"/>
      <c r="B133" s="273"/>
      <c r="C133" s="493"/>
      <c r="D133" s="326"/>
      <c r="E133" s="333"/>
      <c r="F133" s="316"/>
      <c r="G133" s="317"/>
      <c r="H133" s="564" t="s">
        <v>297</v>
      </c>
      <c r="I133" s="23">
        <v>128946928</v>
      </c>
      <c r="J133" s="23">
        <v>126598006</v>
      </c>
      <c r="K133" s="23">
        <v>126598006</v>
      </c>
      <c r="L133" s="23">
        <v>126598006</v>
      </c>
      <c r="M133" s="23">
        <v>126598006</v>
      </c>
      <c r="N133" s="23">
        <v>2348922</v>
      </c>
      <c r="O133" s="549">
        <f t="shared" si="2"/>
        <v>0.9817838079864919</v>
      </c>
      <c r="P133" s="262"/>
      <c r="Q133" s="262"/>
      <c r="R133" s="262"/>
    </row>
    <row r="134" spans="1:18" s="60" customFormat="1" ht="45.75" customHeight="1" x14ac:dyDescent="0.2">
      <c r="A134" s="236"/>
      <c r="B134" s="273"/>
      <c r="C134" s="493"/>
      <c r="D134" s="326"/>
      <c r="E134" s="333"/>
      <c r="F134" s="318"/>
      <c r="G134" s="317"/>
      <c r="H134" s="566"/>
      <c r="I134" s="23">
        <v>2399975762</v>
      </c>
      <c r="J134" s="23">
        <v>2399975762</v>
      </c>
      <c r="K134" s="23">
        <v>2399975762</v>
      </c>
      <c r="L134" s="23">
        <v>2399975762</v>
      </c>
      <c r="M134" s="23">
        <v>2399975762</v>
      </c>
      <c r="N134" s="23">
        <v>0</v>
      </c>
      <c r="O134" s="549">
        <f t="shared" si="2"/>
        <v>1</v>
      </c>
      <c r="P134" s="262"/>
      <c r="Q134" s="262"/>
      <c r="R134" s="262"/>
    </row>
    <row r="135" spans="1:18" s="60" customFormat="1" ht="45.75" customHeight="1" x14ac:dyDescent="0.2">
      <c r="A135" s="236"/>
      <c r="B135" s="273"/>
      <c r="C135" s="493"/>
      <c r="D135" s="326"/>
      <c r="E135" s="333"/>
      <c r="F135" s="319"/>
      <c r="G135" s="317"/>
      <c r="H135" s="565"/>
      <c r="I135" s="23">
        <v>13079110696</v>
      </c>
      <c r="J135" s="23">
        <v>13040319206.139999</v>
      </c>
      <c r="K135" s="23">
        <v>13040319206.139999</v>
      </c>
      <c r="L135" s="23">
        <v>13035197206.139999</v>
      </c>
      <c r="M135" s="23">
        <v>13035197206.139999</v>
      </c>
      <c r="N135" s="23">
        <v>38791489.86000061</v>
      </c>
      <c r="O135" s="549">
        <f t="shared" si="2"/>
        <v>0.99703408811488503</v>
      </c>
      <c r="P135" s="262"/>
      <c r="Q135" s="262"/>
      <c r="R135" s="262"/>
    </row>
    <row r="136" spans="1:18" s="60" customFormat="1" ht="27.75" customHeight="1" x14ac:dyDescent="0.2">
      <c r="A136" s="236"/>
      <c r="B136" s="273"/>
      <c r="C136" s="493"/>
      <c r="D136" s="326"/>
      <c r="E136" s="327"/>
      <c r="F136" s="431">
        <v>28</v>
      </c>
      <c r="G136" s="432" t="s">
        <v>382</v>
      </c>
      <c r="H136" s="423"/>
      <c r="I136" s="424">
        <v>42600000</v>
      </c>
      <c r="J136" s="424">
        <v>16493864</v>
      </c>
      <c r="K136" s="424">
        <v>16493864</v>
      </c>
      <c r="L136" s="424">
        <v>16493864</v>
      </c>
      <c r="M136" s="424">
        <v>16493864</v>
      </c>
      <c r="N136" s="424">
        <v>26106136</v>
      </c>
      <c r="O136" s="546">
        <f t="shared" si="2"/>
        <v>0.3871799061032864</v>
      </c>
      <c r="P136" s="262"/>
      <c r="Q136" s="262"/>
      <c r="R136" s="262"/>
    </row>
    <row r="137" spans="1:18" s="60" customFormat="1" ht="53.25" customHeight="1" x14ac:dyDescent="0.2">
      <c r="A137" s="236"/>
      <c r="B137" s="273"/>
      <c r="C137" s="493"/>
      <c r="D137" s="326"/>
      <c r="E137" s="327"/>
      <c r="F137" s="316"/>
      <c r="G137" s="317"/>
      <c r="H137" s="564" t="s">
        <v>292</v>
      </c>
      <c r="I137" s="23">
        <v>30000000</v>
      </c>
      <c r="J137" s="23">
        <v>16493864</v>
      </c>
      <c r="K137" s="23">
        <v>16493864</v>
      </c>
      <c r="L137" s="23">
        <v>16493864</v>
      </c>
      <c r="M137" s="23">
        <v>16493864</v>
      </c>
      <c r="N137" s="23">
        <v>13506136</v>
      </c>
      <c r="O137" s="549">
        <f t="shared" si="2"/>
        <v>0.54979546666666668</v>
      </c>
      <c r="P137" s="262"/>
      <c r="Q137" s="262"/>
      <c r="R137" s="262"/>
    </row>
    <row r="138" spans="1:18" s="60" customFormat="1" ht="53.25" customHeight="1" x14ac:dyDescent="0.2">
      <c r="A138" s="236"/>
      <c r="B138" s="273"/>
      <c r="C138" s="493"/>
      <c r="D138" s="314"/>
      <c r="E138" s="334"/>
      <c r="F138" s="314"/>
      <c r="G138" s="334"/>
      <c r="H138" s="565"/>
      <c r="I138" s="23">
        <v>12600000</v>
      </c>
      <c r="J138" s="23">
        <v>0</v>
      </c>
      <c r="K138" s="23">
        <v>0</v>
      </c>
      <c r="L138" s="23">
        <v>0</v>
      </c>
      <c r="M138" s="23">
        <v>0</v>
      </c>
      <c r="N138" s="23">
        <v>12600000</v>
      </c>
      <c r="O138" s="549">
        <f t="shared" si="2"/>
        <v>0</v>
      </c>
      <c r="P138" s="262"/>
      <c r="Q138" s="262"/>
      <c r="R138" s="262"/>
    </row>
    <row r="139" spans="1:18" s="60" customFormat="1" ht="27.75" customHeight="1" x14ac:dyDescent="0.2">
      <c r="A139" s="236"/>
      <c r="B139" s="273"/>
      <c r="C139" s="493"/>
      <c r="D139" s="321">
        <v>9</v>
      </c>
      <c r="E139" s="322" t="s">
        <v>383</v>
      </c>
      <c r="F139" s="323"/>
      <c r="G139" s="324"/>
      <c r="H139" s="256"/>
      <c r="I139" s="257">
        <v>4167292865.2600002</v>
      </c>
      <c r="J139" s="257">
        <v>2527030453.8000002</v>
      </c>
      <c r="K139" s="257">
        <v>2527030453.8000002</v>
      </c>
      <c r="L139" s="257">
        <v>2527030453.8000002</v>
      </c>
      <c r="M139" s="257">
        <v>2517010453.8000002</v>
      </c>
      <c r="N139" s="257">
        <v>1640262411.46</v>
      </c>
      <c r="O139" s="545">
        <f t="shared" si="2"/>
        <v>0.60639617504836374</v>
      </c>
      <c r="P139" s="262"/>
      <c r="Q139" s="262"/>
      <c r="R139" s="262"/>
    </row>
    <row r="140" spans="1:18" s="60" customFormat="1" ht="27.75" customHeight="1" x14ac:dyDescent="0.2">
      <c r="A140" s="236"/>
      <c r="B140" s="273"/>
      <c r="C140" s="493"/>
      <c r="D140" s="312"/>
      <c r="E140" s="313"/>
      <c r="F140" s="434">
        <v>29</v>
      </c>
      <c r="G140" s="432" t="s">
        <v>384</v>
      </c>
      <c r="H140" s="423"/>
      <c r="I140" s="424">
        <v>3800815106.8400002</v>
      </c>
      <c r="J140" s="424">
        <v>2181168328.8000002</v>
      </c>
      <c r="K140" s="424">
        <v>2181168328.8000002</v>
      </c>
      <c r="L140" s="424">
        <v>2181168328.8000002</v>
      </c>
      <c r="M140" s="424">
        <v>2181168328.8000002</v>
      </c>
      <c r="N140" s="424">
        <v>1619646778.04</v>
      </c>
      <c r="O140" s="546">
        <f t="shared" si="2"/>
        <v>0.57386856963253463</v>
      </c>
      <c r="P140" s="262"/>
      <c r="Q140" s="262"/>
      <c r="R140" s="262"/>
    </row>
    <row r="141" spans="1:18" s="60" customFormat="1" ht="28.5" customHeight="1" x14ac:dyDescent="0.2">
      <c r="A141" s="236"/>
      <c r="B141" s="273"/>
      <c r="C141" s="493"/>
      <c r="D141" s="274"/>
      <c r="E141" s="492"/>
      <c r="F141" s="302"/>
      <c r="G141" s="493"/>
      <c r="H141" s="561" t="s">
        <v>102</v>
      </c>
      <c r="I141" s="90">
        <v>153319244.41999999</v>
      </c>
      <c r="J141" s="90">
        <v>0</v>
      </c>
      <c r="K141" s="90">
        <v>0</v>
      </c>
      <c r="L141" s="90">
        <v>0</v>
      </c>
      <c r="M141" s="90">
        <v>0</v>
      </c>
      <c r="N141" s="90">
        <v>153319244.41999999</v>
      </c>
      <c r="O141" s="547">
        <f t="shared" si="2"/>
        <v>0</v>
      </c>
      <c r="P141" s="262"/>
      <c r="Q141" s="262"/>
      <c r="R141" s="262"/>
    </row>
    <row r="142" spans="1:18" s="60" customFormat="1" ht="28.5" customHeight="1" x14ac:dyDescent="0.2">
      <c r="A142" s="236"/>
      <c r="B142" s="273"/>
      <c r="C142" s="493"/>
      <c r="D142" s="274"/>
      <c r="E142" s="492"/>
      <c r="F142" s="274"/>
      <c r="G142" s="493"/>
      <c r="H142" s="563"/>
      <c r="I142" s="90">
        <v>737538491</v>
      </c>
      <c r="J142" s="90">
        <v>0</v>
      </c>
      <c r="K142" s="90">
        <v>0</v>
      </c>
      <c r="L142" s="90">
        <v>0</v>
      </c>
      <c r="M142" s="90">
        <v>0</v>
      </c>
      <c r="N142" s="90">
        <v>737538491</v>
      </c>
      <c r="O142" s="547">
        <f t="shared" si="2"/>
        <v>0</v>
      </c>
      <c r="P142" s="262"/>
      <c r="Q142" s="262"/>
      <c r="R142" s="262"/>
    </row>
    <row r="143" spans="1:18" s="60" customFormat="1" ht="28.5" customHeight="1" x14ac:dyDescent="0.2">
      <c r="A143" s="236"/>
      <c r="B143" s="273"/>
      <c r="C143" s="493"/>
      <c r="D143" s="274"/>
      <c r="E143" s="492"/>
      <c r="F143" s="274"/>
      <c r="G143" s="493"/>
      <c r="H143" s="563"/>
      <c r="I143" s="90">
        <v>965100000</v>
      </c>
      <c r="J143" s="90">
        <v>951268167</v>
      </c>
      <c r="K143" s="90">
        <v>951268167</v>
      </c>
      <c r="L143" s="90">
        <v>951268167</v>
      </c>
      <c r="M143" s="90">
        <v>951268167</v>
      </c>
      <c r="N143" s="90">
        <v>13831833</v>
      </c>
      <c r="O143" s="547">
        <f t="shared" si="2"/>
        <v>0.98566797948399132</v>
      </c>
      <c r="P143" s="262"/>
      <c r="Q143" s="262"/>
      <c r="R143" s="262"/>
    </row>
    <row r="144" spans="1:18" s="60" customFormat="1" ht="28.5" customHeight="1" x14ac:dyDescent="0.2">
      <c r="A144" s="236"/>
      <c r="B144" s="273"/>
      <c r="C144" s="493"/>
      <c r="D144" s="274"/>
      <c r="E144" s="492"/>
      <c r="F144" s="274"/>
      <c r="G144" s="493"/>
      <c r="H144" s="563"/>
      <c r="I144" s="90">
        <v>766596222.00999999</v>
      </c>
      <c r="J144" s="90">
        <v>235611526.80000001</v>
      </c>
      <c r="K144" s="90">
        <v>235611526.80000001</v>
      </c>
      <c r="L144" s="90">
        <v>235611526.80000001</v>
      </c>
      <c r="M144" s="90">
        <v>235611526.80000001</v>
      </c>
      <c r="N144" s="90">
        <v>530984695.20999998</v>
      </c>
      <c r="O144" s="547">
        <f t="shared" si="2"/>
        <v>0.30734762321451481</v>
      </c>
      <c r="P144" s="262"/>
      <c r="Q144" s="262"/>
      <c r="R144" s="262"/>
    </row>
    <row r="145" spans="1:18" s="60" customFormat="1" ht="28.5" customHeight="1" x14ac:dyDescent="0.2">
      <c r="A145" s="236"/>
      <c r="B145" s="273"/>
      <c r="C145" s="493"/>
      <c r="D145" s="274"/>
      <c r="E145" s="492"/>
      <c r="F145" s="274"/>
      <c r="G145" s="493"/>
      <c r="H145" s="563"/>
      <c r="I145" s="90">
        <v>153319244.41</v>
      </c>
      <c r="J145" s="90">
        <v>29140000</v>
      </c>
      <c r="K145" s="90">
        <v>29140000</v>
      </c>
      <c r="L145" s="90">
        <v>29140000</v>
      </c>
      <c r="M145" s="90">
        <v>29140000</v>
      </c>
      <c r="N145" s="90">
        <v>124179244.41</v>
      </c>
      <c r="O145" s="547">
        <f t="shared" si="2"/>
        <v>0.19006094187416561</v>
      </c>
      <c r="P145" s="262"/>
      <c r="Q145" s="262"/>
      <c r="R145" s="262"/>
    </row>
    <row r="146" spans="1:18" s="60" customFormat="1" ht="28.5" customHeight="1" x14ac:dyDescent="0.2">
      <c r="A146" s="236"/>
      <c r="B146" s="273"/>
      <c r="C146" s="493"/>
      <c r="D146" s="274"/>
      <c r="E146" s="492"/>
      <c r="F146" s="274"/>
      <c r="G146" s="493"/>
      <c r="H146" s="563"/>
      <c r="I146" s="90">
        <v>724941905</v>
      </c>
      <c r="J146" s="90">
        <v>665148635</v>
      </c>
      <c r="K146" s="90">
        <v>665148635</v>
      </c>
      <c r="L146" s="90">
        <v>665148635</v>
      </c>
      <c r="M146" s="90">
        <v>665148635</v>
      </c>
      <c r="N146" s="90">
        <v>59793270</v>
      </c>
      <c r="O146" s="547">
        <f t="shared" si="2"/>
        <v>0.91751991492338958</v>
      </c>
      <c r="P146" s="262"/>
      <c r="Q146" s="262"/>
      <c r="R146" s="262"/>
    </row>
    <row r="147" spans="1:18" s="60" customFormat="1" ht="28.5" customHeight="1" x14ac:dyDescent="0.2">
      <c r="A147" s="236"/>
      <c r="B147" s="273"/>
      <c r="C147" s="493"/>
      <c r="D147" s="274"/>
      <c r="E147" s="492"/>
      <c r="F147" s="314"/>
      <c r="G147" s="334"/>
      <c r="H147" s="562"/>
      <c r="I147" s="90">
        <v>300000000</v>
      </c>
      <c r="J147" s="90">
        <v>300000000</v>
      </c>
      <c r="K147" s="90">
        <v>300000000</v>
      </c>
      <c r="L147" s="90">
        <v>300000000</v>
      </c>
      <c r="M147" s="90">
        <v>300000000</v>
      </c>
      <c r="N147" s="90">
        <v>0</v>
      </c>
      <c r="O147" s="547">
        <f t="shared" si="2"/>
        <v>1</v>
      </c>
      <c r="P147" s="262"/>
      <c r="Q147" s="262"/>
      <c r="R147" s="262"/>
    </row>
    <row r="148" spans="1:18" s="60" customFormat="1" ht="27.75" customHeight="1" x14ac:dyDescent="0.2">
      <c r="A148" s="236"/>
      <c r="B148" s="273"/>
      <c r="C148" s="493"/>
      <c r="D148" s="274"/>
      <c r="E148" s="493"/>
      <c r="F148" s="431">
        <v>30</v>
      </c>
      <c r="G148" s="432" t="s">
        <v>385</v>
      </c>
      <c r="H148" s="423"/>
      <c r="I148" s="424">
        <v>111943025</v>
      </c>
      <c r="J148" s="424">
        <v>96618125</v>
      </c>
      <c r="K148" s="424">
        <v>96618125</v>
      </c>
      <c r="L148" s="424">
        <v>96618125</v>
      </c>
      <c r="M148" s="424">
        <v>96618125</v>
      </c>
      <c r="N148" s="424">
        <v>15324900</v>
      </c>
      <c r="O148" s="546">
        <f t="shared" si="2"/>
        <v>0.86310089440588189</v>
      </c>
      <c r="P148" s="262"/>
      <c r="Q148" s="262"/>
      <c r="R148" s="262"/>
    </row>
    <row r="149" spans="1:18" s="60" customFormat="1" ht="45" customHeight="1" x14ac:dyDescent="0.2">
      <c r="A149" s="236"/>
      <c r="B149" s="273"/>
      <c r="C149" s="493"/>
      <c r="D149" s="274"/>
      <c r="E149" s="492"/>
      <c r="F149" s="302"/>
      <c r="G149" s="493"/>
      <c r="H149" s="561" t="s">
        <v>115</v>
      </c>
      <c r="I149" s="90">
        <v>111500000</v>
      </c>
      <c r="J149" s="90">
        <v>96175100</v>
      </c>
      <c r="K149" s="90">
        <v>96175100</v>
      </c>
      <c r="L149" s="90">
        <v>96175100</v>
      </c>
      <c r="M149" s="90">
        <v>96175100</v>
      </c>
      <c r="N149" s="90">
        <v>15324900</v>
      </c>
      <c r="O149" s="547">
        <f t="shared" si="2"/>
        <v>0.86255695067264571</v>
      </c>
      <c r="P149" s="262"/>
      <c r="Q149" s="262"/>
      <c r="R149" s="262"/>
    </row>
    <row r="150" spans="1:18" s="60" customFormat="1" ht="45" customHeight="1" x14ac:dyDescent="0.2">
      <c r="A150" s="236"/>
      <c r="B150" s="273"/>
      <c r="C150" s="493"/>
      <c r="D150" s="274"/>
      <c r="E150" s="492"/>
      <c r="F150" s="314"/>
      <c r="G150" s="334"/>
      <c r="H150" s="562"/>
      <c r="I150" s="93">
        <v>443025</v>
      </c>
      <c r="J150" s="93">
        <v>443025</v>
      </c>
      <c r="K150" s="93">
        <v>443025</v>
      </c>
      <c r="L150" s="93">
        <v>443025</v>
      </c>
      <c r="M150" s="93">
        <v>443025</v>
      </c>
      <c r="N150" s="90">
        <v>0</v>
      </c>
      <c r="O150" s="547">
        <f t="shared" si="2"/>
        <v>1</v>
      </c>
      <c r="P150" s="262"/>
      <c r="Q150" s="262"/>
      <c r="R150" s="262"/>
    </row>
    <row r="151" spans="1:18" s="60" customFormat="1" ht="27.75" customHeight="1" x14ac:dyDescent="0.2">
      <c r="A151" s="236"/>
      <c r="B151" s="273"/>
      <c r="C151" s="493"/>
      <c r="D151" s="274"/>
      <c r="E151" s="493"/>
      <c r="F151" s="431">
        <v>31</v>
      </c>
      <c r="G151" s="432" t="s">
        <v>386</v>
      </c>
      <c r="H151" s="423"/>
      <c r="I151" s="424">
        <v>254534733.41999999</v>
      </c>
      <c r="J151" s="424">
        <v>249244000</v>
      </c>
      <c r="K151" s="424">
        <v>249244000</v>
      </c>
      <c r="L151" s="424">
        <v>249244000</v>
      </c>
      <c r="M151" s="424">
        <v>239224000</v>
      </c>
      <c r="N151" s="424">
        <v>5290733.4199999869</v>
      </c>
      <c r="O151" s="546">
        <f t="shared" si="2"/>
        <v>0.97921410037478107</v>
      </c>
      <c r="P151" s="262"/>
      <c r="Q151" s="262"/>
      <c r="R151" s="262"/>
    </row>
    <row r="152" spans="1:18" s="60" customFormat="1" ht="43.5" customHeight="1" x14ac:dyDescent="0.2">
      <c r="A152" s="236"/>
      <c r="B152" s="273"/>
      <c r="C152" s="493"/>
      <c r="D152" s="274"/>
      <c r="E152" s="492"/>
      <c r="F152" s="302"/>
      <c r="G152" s="493"/>
      <c r="H152" s="567" t="s">
        <v>118</v>
      </c>
      <c r="I152" s="303">
        <v>153319244.41999999</v>
      </c>
      <c r="J152" s="303">
        <v>152988511</v>
      </c>
      <c r="K152" s="303">
        <v>152988511</v>
      </c>
      <c r="L152" s="303">
        <v>152988511</v>
      </c>
      <c r="M152" s="303">
        <v>152988511</v>
      </c>
      <c r="N152" s="90">
        <v>330733.41999998689</v>
      </c>
      <c r="O152" s="547">
        <f t="shared" si="2"/>
        <v>0.99784284470451745</v>
      </c>
      <c r="P152" s="262"/>
      <c r="Q152" s="262"/>
      <c r="R152" s="262"/>
    </row>
    <row r="153" spans="1:18" s="60" customFormat="1" ht="43.5" customHeight="1" x14ac:dyDescent="0.2">
      <c r="A153" s="401"/>
      <c r="B153" s="273"/>
      <c r="C153" s="493"/>
      <c r="D153" s="274"/>
      <c r="E153" s="492"/>
      <c r="F153" s="274"/>
      <c r="G153" s="493"/>
      <c r="H153" s="568"/>
      <c r="I153" s="303">
        <v>29000000</v>
      </c>
      <c r="J153" s="303">
        <v>24040000</v>
      </c>
      <c r="K153" s="303">
        <v>24040000</v>
      </c>
      <c r="L153" s="303">
        <v>24040000</v>
      </c>
      <c r="M153" s="303">
        <v>14020000</v>
      </c>
      <c r="N153" s="90">
        <v>4960000</v>
      </c>
      <c r="O153" s="547">
        <f t="shared" si="2"/>
        <v>0.82896551724137935</v>
      </c>
      <c r="P153" s="262"/>
      <c r="Q153" s="262"/>
      <c r="R153" s="262"/>
    </row>
    <row r="154" spans="1:18" s="60" customFormat="1" ht="43.5" customHeight="1" x14ac:dyDescent="0.2">
      <c r="A154" s="236"/>
      <c r="B154" s="273"/>
      <c r="C154" s="493"/>
      <c r="D154" s="314"/>
      <c r="E154" s="315"/>
      <c r="F154" s="314"/>
      <c r="G154" s="334"/>
      <c r="H154" s="569"/>
      <c r="I154" s="303">
        <v>72215489</v>
      </c>
      <c r="J154" s="303">
        <v>72215489</v>
      </c>
      <c r="K154" s="303">
        <v>72215489</v>
      </c>
      <c r="L154" s="303">
        <v>72215489</v>
      </c>
      <c r="M154" s="303">
        <v>72215489</v>
      </c>
      <c r="N154" s="90">
        <v>0</v>
      </c>
      <c r="O154" s="547">
        <f t="shared" si="2"/>
        <v>1</v>
      </c>
      <c r="P154" s="262"/>
      <c r="Q154" s="262"/>
      <c r="R154" s="262"/>
    </row>
    <row r="155" spans="1:18" s="60" customFormat="1" ht="27.75" customHeight="1" x14ac:dyDescent="0.2">
      <c r="A155" s="236"/>
      <c r="B155" s="273"/>
      <c r="C155" s="493"/>
      <c r="D155" s="321">
        <v>10</v>
      </c>
      <c r="E155" s="322" t="s">
        <v>387</v>
      </c>
      <c r="F155" s="323"/>
      <c r="G155" s="324"/>
      <c r="H155" s="256"/>
      <c r="I155" s="257">
        <v>686190727</v>
      </c>
      <c r="J155" s="257">
        <v>468324966</v>
      </c>
      <c r="K155" s="257">
        <v>468324966</v>
      </c>
      <c r="L155" s="257">
        <v>468324966</v>
      </c>
      <c r="M155" s="257">
        <v>468324966</v>
      </c>
      <c r="N155" s="257">
        <v>217865761</v>
      </c>
      <c r="O155" s="545">
        <f t="shared" si="2"/>
        <v>0.68249970099056734</v>
      </c>
      <c r="P155" s="262"/>
      <c r="Q155" s="262"/>
      <c r="R155" s="262"/>
    </row>
    <row r="156" spans="1:18" s="60" customFormat="1" ht="27.75" customHeight="1" x14ac:dyDescent="0.2">
      <c r="A156" s="236"/>
      <c r="B156" s="273"/>
      <c r="C156" s="493"/>
      <c r="D156" s="312"/>
      <c r="E156" s="313"/>
      <c r="F156" s="434">
        <v>32</v>
      </c>
      <c r="G156" s="432" t="s">
        <v>388</v>
      </c>
      <c r="H156" s="423"/>
      <c r="I156" s="424">
        <v>536190727</v>
      </c>
      <c r="J156" s="424">
        <v>341888966</v>
      </c>
      <c r="K156" s="424">
        <v>341888966</v>
      </c>
      <c r="L156" s="424">
        <v>341888966</v>
      </c>
      <c r="M156" s="424">
        <v>341888966</v>
      </c>
      <c r="N156" s="424">
        <v>194301761</v>
      </c>
      <c r="O156" s="546">
        <f t="shared" si="2"/>
        <v>0.63762565964703821</v>
      </c>
      <c r="P156" s="262"/>
      <c r="Q156" s="262"/>
      <c r="R156" s="262"/>
    </row>
    <row r="157" spans="1:18" s="60" customFormat="1" ht="39.75" customHeight="1" x14ac:dyDescent="0.2">
      <c r="A157" s="236"/>
      <c r="B157" s="273"/>
      <c r="C157" s="493"/>
      <c r="D157" s="274"/>
      <c r="E157" s="492"/>
      <c r="F157" s="302"/>
      <c r="G157" s="493"/>
      <c r="H157" s="561" t="s">
        <v>122</v>
      </c>
      <c r="I157" s="93">
        <v>193900000</v>
      </c>
      <c r="J157" s="93">
        <v>156055000</v>
      </c>
      <c r="K157" s="93">
        <v>156055000</v>
      </c>
      <c r="L157" s="93">
        <v>156055000</v>
      </c>
      <c r="M157" s="93">
        <v>156055000</v>
      </c>
      <c r="N157" s="90">
        <v>37845000</v>
      </c>
      <c r="O157" s="547">
        <f t="shared" si="2"/>
        <v>0.80482207323362553</v>
      </c>
      <c r="P157" s="262"/>
      <c r="Q157" s="262"/>
      <c r="R157" s="262"/>
    </row>
    <row r="158" spans="1:18" s="60" customFormat="1" ht="39.75" customHeight="1" x14ac:dyDescent="0.2">
      <c r="A158" s="236"/>
      <c r="B158" s="273"/>
      <c r="C158" s="493"/>
      <c r="D158" s="274"/>
      <c r="E158" s="492"/>
      <c r="F158" s="274"/>
      <c r="G158" s="493"/>
      <c r="H158" s="563"/>
      <c r="I158" s="93">
        <v>206677643</v>
      </c>
      <c r="J158" s="93">
        <v>118478866</v>
      </c>
      <c r="K158" s="93">
        <v>118478866</v>
      </c>
      <c r="L158" s="93">
        <v>118478866</v>
      </c>
      <c r="M158" s="93">
        <v>118478866</v>
      </c>
      <c r="N158" s="90">
        <v>88198777</v>
      </c>
      <c r="O158" s="547">
        <f t="shared" si="2"/>
        <v>0.5732543892035773</v>
      </c>
      <c r="P158" s="262"/>
      <c r="Q158" s="262"/>
      <c r="R158" s="262"/>
    </row>
    <row r="159" spans="1:18" s="60" customFormat="1" ht="39.75" customHeight="1" x14ac:dyDescent="0.2">
      <c r="A159" s="236"/>
      <c r="B159" s="273"/>
      <c r="C159" s="493"/>
      <c r="D159" s="274"/>
      <c r="E159" s="492"/>
      <c r="F159" s="314"/>
      <c r="G159" s="493"/>
      <c r="H159" s="562"/>
      <c r="I159" s="93">
        <v>135613084</v>
      </c>
      <c r="J159" s="93">
        <v>67355100</v>
      </c>
      <c r="K159" s="93">
        <v>67355100</v>
      </c>
      <c r="L159" s="93">
        <v>67355100</v>
      </c>
      <c r="M159" s="93">
        <v>67355100</v>
      </c>
      <c r="N159" s="90">
        <v>68257984</v>
      </c>
      <c r="O159" s="547">
        <f t="shared" si="2"/>
        <v>0.49667110291511402</v>
      </c>
      <c r="P159" s="262"/>
      <c r="Q159" s="262"/>
      <c r="R159" s="262"/>
    </row>
    <row r="160" spans="1:18" s="60" customFormat="1" ht="27.75" customHeight="1" x14ac:dyDescent="0.2">
      <c r="A160" s="236"/>
      <c r="B160" s="273"/>
      <c r="C160" s="493"/>
      <c r="D160" s="274"/>
      <c r="E160" s="493"/>
      <c r="F160" s="431">
        <v>33</v>
      </c>
      <c r="G160" s="432" t="s">
        <v>389</v>
      </c>
      <c r="H160" s="423"/>
      <c r="I160" s="424">
        <v>150000000</v>
      </c>
      <c r="J160" s="424">
        <v>126436000</v>
      </c>
      <c r="K160" s="424">
        <v>126436000</v>
      </c>
      <c r="L160" s="424">
        <v>126436000</v>
      </c>
      <c r="M160" s="424">
        <v>126436000</v>
      </c>
      <c r="N160" s="424">
        <v>23564000</v>
      </c>
      <c r="O160" s="546">
        <f t="shared" si="2"/>
        <v>0.84290666666666669</v>
      </c>
      <c r="P160" s="262"/>
      <c r="Q160" s="262"/>
      <c r="R160" s="262"/>
    </row>
    <row r="161" spans="1:18" s="60" customFormat="1" ht="42.75" customHeight="1" x14ac:dyDescent="0.2">
      <c r="A161" s="236"/>
      <c r="B161" s="273"/>
      <c r="C161" s="493"/>
      <c r="D161" s="274"/>
      <c r="E161" s="492"/>
      <c r="F161" s="302"/>
      <c r="G161" s="493"/>
      <c r="H161" s="144" t="s">
        <v>128</v>
      </c>
      <c r="I161" s="93">
        <v>100000000</v>
      </c>
      <c r="J161" s="93">
        <v>76436000</v>
      </c>
      <c r="K161" s="93">
        <v>76436000</v>
      </c>
      <c r="L161" s="93">
        <v>76436000</v>
      </c>
      <c r="M161" s="93">
        <v>76436000</v>
      </c>
      <c r="N161" s="90">
        <v>23564000</v>
      </c>
      <c r="O161" s="547">
        <f t="shared" si="2"/>
        <v>0.76436000000000004</v>
      </c>
      <c r="P161" s="262"/>
      <c r="Q161" s="262"/>
      <c r="R161" s="262"/>
    </row>
    <row r="162" spans="1:18" s="60" customFormat="1" ht="42.75" customHeight="1" x14ac:dyDescent="0.2">
      <c r="A162" s="236"/>
      <c r="B162" s="273"/>
      <c r="C162" s="493"/>
      <c r="D162" s="274"/>
      <c r="E162" s="492"/>
      <c r="F162" s="274"/>
      <c r="G162" s="493"/>
      <c r="H162" s="144" t="s">
        <v>128</v>
      </c>
      <c r="I162" s="93">
        <v>50000000</v>
      </c>
      <c r="J162" s="93">
        <v>50000000</v>
      </c>
      <c r="K162" s="93">
        <v>50000000</v>
      </c>
      <c r="L162" s="93">
        <v>50000000</v>
      </c>
      <c r="M162" s="93">
        <v>50000000</v>
      </c>
      <c r="N162" s="90">
        <v>0</v>
      </c>
      <c r="O162" s="547">
        <f t="shared" si="2"/>
        <v>1</v>
      </c>
      <c r="P162" s="262"/>
      <c r="Q162" s="262"/>
      <c r="R162" s="262"/>
    </row>
    <row r="163" spans="1:18" s="60" customFormat="1" ht="27.75" customHeight="1" x14ac:dyDescent="0.2">
      <c r="A163" s="236"/>
      <c r="B163" s="273"/>
      <c r="C163" s="493"/>
      <c r="D163" s="445">
        <v>11</v>
      </c>
      <c r="E163" s="363" t="s">
        <v>390</v>
      </c>
      <c r="F163" s="337"/>
      <c r="G163" s="411"/>
      <c r="H163" s="256"/>
      <c r="I163" s="257">
        <v>484400000</v>
      </c>
      <c r="J163" s="257">
        <v>337723093</v>
      </c>
      <c r="K163" s="257">
        <v>337723093</v>
      </c>
      <c r="L163" s="257">
        <v>323213093</v>
      </c>
      <c r="M163" s="257">
        <v>323213093</v>
      </c>
      <c r="N163" s="257">
        <v>146676907</v>
      </c>
      <c r="O163" s="545">
        <f t="shared" si="2"/>
        <v>0.69719878819157721</v>
      </c>
      <c r="P163" s="262"/>
      <c r="Q163" s="262"/>
      <c r="R163" s="262"/>
    </row>
    <row r="164" spans="1:18" s="60" customFormat="1" ht="27.75" customHeight="1" x14ac:dyDescent="0.2">
      <c r="A164" s="236"/>
      <c r="B164" s="273"/>
      <c r="C164" s="493"/>
      <c r="D164" s="312"/>
      <c r="E164" s="313"/>
      <c r="F164" s="434">
        <v>34</v>
      </c>
      <c r="G164" s="432" t="s">
        <v>391</v>
      </c>
      <c r="H164" s="423"/>
      <c r="I164" s="424">
        <v>295000000</v>
      </c>
      <c r="J164" s="424">
        <v>172408093</v>
      </c>
      <c r="K164" s="424">
        <v>172408093</v>
      </c>
      <c r="L164" s="424">
        <v>172408093</v>
      </c>
      <c r="M164" s="424">
        <v>172408093</v>
      </c>
      <c r="N164" s="424">
        <v>122591907</v>
      </c>
      <c r="O164" s="546">
        <f t="shared" si="2"/>
        <v>0.58443421355932201</v>
      </c>
      <c r="P164" s="262"/>
      <c r="Q164" s="262"/>
      <c r="R164" s="262"/>
    </row>
    <row r="165" spans="1:18" s="60" customFormat="1" ht="52.5" customHeight="1" x14ac:dyDescent="0.2">
      <c r="A165" s="236"/>
      <c r="B165" s="273"/>
      <c r="C165" s="493"/>
      <c r="D165" s="274"/>
      <c r="E165" s="492"/>
      <c r="F165" s="302"/>
      <c r="G165" s="493"/>
      <c r="H165" s="561" t="s">
        <v>34</v>
      </c>
      <c r="I165" s="23">
        <v>180000000</v>
      </c>
      <c r="J165" s="23">
        <v>78513332</v>
      </c>
      <c r="K165" s="23">
        <v>78513332</v>
      </c>
      <c r="L165" s="23">
        <v>78513332</v>
      </c>
      <c r="M165" s="23">
        <v>78513332</v>
      </c>
      <c r="N165" s="138">
        <v>101486668</v>
      </c>
      <c r="O165" s="547">
        <f t="shared" si="2"/>
        <v>0.43618517777777777</v>
      </c>
      <c r="P165" s="262"/>
      <c r="Q165" s="262"/>
      <c r="R165" s="262"/>
    </row>
    <row r="166" spans="1:18" s="60" customFormat="1" ht="52.5" customHeight="1" x14ac:dyDescent="0.2">
      <c r="A166" s="236"/>
      <c r="B166" s="273"/>
      <c r="C166" s="493"/>
      <c r="D166" s="274"/>
      <c r="E166" s="492"/>
      <c r="F166" s="314"/>
      <c r="G166" s="493"/>
      <c r="H166" s="562"/>
      <c r="I166" s="23">
        <v>115000000</v>
      </c>
      <c r="J166" s="23">
        <v>93894761</v>
      </c>
      <c r="K166" s="23">
        <v>93894761</v>
      </c>
      <c r="L166" s="23">
        <v>93894761</v>
      </c>
      <c r="M166" s="23">
        <v>93894761</v>
      </c>
      <c r="N166" s="138">
        <v>21105239</v>
      </c>
      <c r="O166" s="547">
        <f t="shared" si="2"/>
        <v>0.8164761826086957</v>
      </c>
      <c r="P166" s="262"/>
      <c r="Q166" s="262"/>
      <c r="R166" s="262"/>
    </row>
    <row r="167" spans="1:18" s="60" customFormat="1" ht="27.75" customHeight="1" x14ac:dyDescent="0.2">
      <c r="A167" s="236"/>
      <c r="B167" s="273"/>
      <c r="C167" s="493"/>
      <c r="D167" s="274"/>
      <c r="E167" s="493"/>
      <c r="F167" s="434">
        <v>35</v>
      </c>
      <c r="G167" s="432" t="s">
        <v>392</v>
      </c>
      <c r="H167" s="423"/>
      <c r="I167" s="424">
        <v>189400000</v>
      </c>
      <c r="J167" s="424">
        <v>165315000</v>
      </c>
      <c r="K167" s="424">
        <v>165315000</v>
      </c>
      <c r="L167" s="424">
        <v>150805000</v>
      </c>
      <c r="M167" s="424">
        <v>150805000</v>
      </c>
      <c r="N167" s="424">
        <v>24085000</v>
      </c>
      <c r="O167" s="546">
        <f t="shared" si="2"/>
        <v>0.87283526927138333</v>
      </c>
      <c r="P167" s="262"/>
      <c r="Q167" s="262"/>
      <c r="R167" s="262"/>
    </row>
    <row r="168" spans="1:18" s="60" customFormat="1" ht="45" customHeight="1" x14ac:dyDescent="0.2">
      <c r="A168" s="236"/>
      <c r="B168" s="273"/>
      <c r="C168" s="493"/>
      <c r="D168" s="274"/>
      <c r="E168" s="492"/>
      <c r="F168" s="302"/>
      <c r="G168" s="493"/>
      <c r="H168" s="564" t="s">
        <v>277</v>
      </c>
      <c r="I168" s="107">
        <v>103000000</v>
      </c>
      <c r="J168" s="107">
        <v>79035000</v>
      </c>
      <c r="K168" s="107">
        <v>79035000</v>
      </c>
      <c r="L168" s="107">
        <v>64525000</v>
      </c>
      <c r="M168" s="107">
        <v>64525000</v>
      </c>
      <c r="N168" s="107">
        <v>23965000</v>
      </c>
      <c r="O168" s="549">
        <f t="shared" si="2"/>
        <v>0.76733009708737865</v>
      </c>
      <c r="P168" s="262"/>
      <c r="Q168" s="262"/>
      <c r="R168" s="262"/>
    </row>
    <row r="169" spans="1:18" s="60" customFormat="1" ht="45" customHeight="1" x14ac:dyDescent="0.2">
      <c r="A169" s="236"/>
      <c r="B169" s="273"/>
      <c r="C169" s="493"/>
      <c r="D169" s="314"/>
      <c r="E169" s="315"/>
      <c r="F169" s="314"/>
      <c r="G169" s="334"/>
      <c r="H169" s="565"/>
      <c r="I169" s="107">
        <v>86400000</v>
      </c>
      <c r="J169" s="107">
        <v>86280000</v>
      </c>
      <c r="K169" s="107">
        <v>86280000</v>
      </c>
      <c r="L169" s="107">
        <v>86280000</v>
      </c>
      <c r="M169" s="107">
        <v>86280000</v>
      </c>
      <c r="N169" s="107">
        <v>120000</v>
      </c>
      <c r="O169" s="549">
        <f t="shared" si="2"/>
        <v>0.99861111111111112</v>
      </c>
      <c r="P169" s="262"/>
      <c r="Q169" s="262"/>
      <c r="R169" s="262"/>
    </row>
    <row r="170" spans="1:18" s="60" customFormat="1" ht="27.75" customHeight="1" x14ac:dyDescent="0.2">
      <c r="A170" s="236"/>
      <c r="B170" s="273"/>
      <c r="C170" s="493"/>
      <c r="D170" s="321">
        <v>12</v>
      </c>
      <c r="E170" s="322" t="s">
        <v>393</v>
      </c>
      <c r="F170" s="323"/>
      <c r="G170" s="324"/>
      <c r="H170" s="256"/>
      <c r="I170" s="257">
        <v>6644113461.1300001</v>
      </c>
      <c r="J170" s="257">
        <v>5554213959.3299999</v>
      </c>
      <c r="K170" s="257">
        <v>5554213959.3299999</v>
      </c>
      <c r="L170" s="257">
        <v>5176242559.3299999</v>
      </c>
      <c r="M170" s="257">
        <v>5176242559.3299999</v>
      </c>
      <c r="N170" s="257">
        <v>1089899501.8</v>
      </c>
      <c r="O170" s="545">
        <f t="shared" si="2"/>
        <v>0.83596013099772759</v>
      </c>
      <c r="P170" s="262"/>
      <c r="Q170" s="262"/>
      <c r="R170" s="262"/>
    </row>
    <row r="171" spans="1:18" s="60" customFormat="1" ht="27.75" customHeight="1" x14ac:dyDescent="0.2">
      <c r="A171" s="236"/>
      <c r="B171" s="273"/>
      <c r="C171" s="493"/>
      <c r="D171" s="312"/>
      <c r="E171" s="313"/>
      <c r="F171" s="436">
        <v>36</v>
      </c>
      <c r="G171" s="432" t="s">
        <v>394</v>
      </c>
      <c r="H171" s="423"/>
      <c r="I171" s="424">
        <v>154500000</v>
      </c>
      <c r="J171" s="424">
        <v>153695000</v>
      </c>
      <c r="K171" s="424">
        <v>153695000</v>
      </c>
      <c r="L171" s="424">
        <v>146440000</v>
      </c>
      <c r="M171" s="424">
        <v>146440000</v>
      </c>
      <c r="N171" s="424">
        <v>805000</v>
      </c>
      <c r="O171" s="546">
        <f t="shared" si="2"/>
        <v>0.99478964401294501</v>
      </c>
      <c r="P171" s="262"/>
      <c r="Q171" s="262"/>
      <c r="R171" s="262"/>
    </row>
    <row r="172" spans="1:18" s="60" customFormat="1" ht="40.5" customHeight="1" x14ac:dyDescent="0.2">
      <c r="A172" s="236"/>
      <c r="B172" s="273"/>
      <c r="C172" s="493"/>
      <c r="D172" s="274"/>
      <c r="E172" s="492"/>
      <c r="F172" s="274"/>
      <c r="G172" s="493"/>
      <c r="H172" s="287" t="s">
        <v>276</v>
      </c>
      <c r="I172" s="107">
        <v>154500000</v>
      </c>
      <c r="J172" s="107">
        <v>153695000</v>
      </c>
      <c r="K172" s="107">
        <v>153695000</v>
      </c>
      <c r="L172" s="107">
        <v>146440000</v>
      </c>
      <c r="M172" s="107">
        <v>146440000</v>
      </c>
      <c r="N172" s="107">
        <v>805000</v>
      </c>
      <c r="O172" s="549">
        <f t="shared" si="2"/>
        <v>0.99478964401294501</v>
      </c>
      <c r="P172" s="262"/>
      <c r="Q172" s="262"/>
      <c r="R172" s="262"/>
    </row>
    <row r="173" spans="1:18" s="60" customFormat="1" ht="27.75" customHeight="1" x14ac:dyDescent="0.2">
      <c r="A173" s="236"/>
      <c r="B173" s="273"/>
      <c r="C173" s="493"/>
      <c r="D173" s="274"/>
      <c r="E173" s="493"/>
      <c r="F173" s="436">
        <v>37</v>
      </c>
      <c r="G173" s="432" t="s">
        <v>395</v>
      </c>
      <c r="H173" s="423"/>
      <c r="I173" s="424">
        <v>148600000</v>
      </c>
      <c r="J173" s="424">
        <v>146408000</v>
      </c>
      <c r="K173" s="424">
        <v>146408000</v>
      </c>
      <c r="L173" s="424">
        <v>146408000</v>
      </c>
      <c r="M173" s="424">
        <v>146408000</v>
      </c>
      <c r="N173" s="424">
        <v>2192000</v>
      </c>
      <c r="O173" s="546">
        <f t="shared" si="2"/>
        <v>0.98524899057873483</v>
      </c>
      <c r="P173" s="262"/>
      <c r="Q173" s="262"/>
      <c r="R173" s="262"/>
    </row>
    <row r="174" spans="1:18" s="60" customFormat="1" ht="50.25" customHeight="1" x14ac:dyDescent="0.2">
      <c r="A174" s="236"/>
      <c r="B174" s="273"/>
      <c r="C174" s="493"/>
      <c r="D174" s="274"/>
      <c r="E174" s="492"/>
      <c r="F174" s="274"/>
      <c r="G174" s="493"/>
      <c r="H174" s="564" t="s">
        <v>275</v>
      </c>
      <c r="I174" s="107">
        <v>123600000</v>
      </c>
      <c r="J174" s="107">
        <v>121408000</v>
      </c>
      <c r="K174" s="107">
        <v>121408000</v>
      </c>
      <c r="L174" s="107">
        <v>121408000</v>
      </c>
      <c r="M174" s="107">
        <v>121408000</v>
      </c>
      <c r="N174" s="107">
        <v>2192000</v>
      </c>
      <c r="O174" s="549">
        <f t="shared" si="2"/>
        <v>0.9822653721682848</v>
      </c>
      <c r="P174" s="262"/>
      <c r="Q174" s="262"/>
      <c r="R174" s="262"/>
    </row>
    <row r="175" spans="1:18" s="60" customFormat="1" ht="50.25" customHeight="1" x14ac:dyDescent="0.2">
      <c r="A175" s="236"/>
      <c r="B175" s="273"/>
      <c r="C175" s="493"/>
      <c r="D175" s="274"/>
      <c r="E175" s="492"/>
      <c r="F175" s="274"/>
      <c r="G175" s="493"/>
      <c r="H175" s="565"/>
      <c r="I175" s="107">
        <v>25000000</v>
      </c>
      <c r="J175" s="107">
        <v>25000000</v>
      </c>
      <c r="K175" s="107">
        <v>25000000</v>
      </c>
      <c r="L175" s="107">
        <v>25000000</v>
      </c>
      <c r="M175" s="107">
        <v>25000000</v>
      </c>
      <c r="N175" s="107">
        <v>0</v>
      </c>
      <c r="O175" s="549">
        <f t="shared" si="2"/>
        <v>1</v>
      </c>
      <c r="P175" s="262"/>
      <c r="Q175" s="262"/>
      <c r="R175" s="262"/>
    </row>
    <row r="176" spans="1:18" s="60" customFormat="1" ht="27.75" customHeight="1" x14ac:dyDescent="0.2">
      <c r="A176" s="236"/>
      <c r="B176" s="273"/>
      <c r="C176" s="493"/>
      <c r="D176" s="274"/>
      <c r="E176" s="493"/>
      <c r="F176" s="436">
        <v>38</v>
      </c>
      <c r="G176" s="432" t="s">
        <v>396</v>
      </c>
      <c r="H176" s="423"/>
      <c r="I176" s="424">
        <v>122700000</v>
      </c>
      <c r="J176" s="424">
        <v>81028000</v>
      </c>
      <c r="K176" s="424">
        <v>81028000</v>
      </c>
      <c r="L176" s="424">
        <v>81028000</v>
      </c>
      <c r="M176" s="424">
        <v>81028000</v>
      </c>
      <c r="N176" s="424">
        <v>41672000</v>
      </c>
      <c r="O176" s="546">
        <f t="shared" si="2"/>
        <v>0.66037489812550942</v>
      </c>
      <c r="P176" s="262"/>
      <c r="Q176" s="262"/>
      <c r="R176" s="262"/>
    </row>
    <row r="177" spans="1:18" s="60" customFormat="1" ht="48.75" customHeight="1" x14ac:dyDescent="0.2">
      <c r="A177" s="236"/>
      <c r="B177" s="273"/>
      <c r="C177" s="493"/>
      <c r="D177" s="274"/>
      <c r="E177" s="492"/>
      <c r="F177" s="274"/>
      <c r="G177" s="493"/>
      <c r="H177" s="564" t="s">
        <v>274</v>
      </c>
      <c r="I177" s="107">
        <v>92700000</v>
      </c>
      <c r="J177" s="107">
        <v>81028000</v>
      </c>
      <c r="K177" s="107">
        <v>81028000</v>
      </c>
      <c r="L177" s="107">
        <v>81028000</v>
      </c>
      <c r="M177" s="107">
        <v>81028000</v>
      </c>
      <c r="N177" s="107">
        <v>11672000</v>
      </c>
      <c r="O177" s="551">
        <f>K177/I177</f>
        <v>0.87408845738942831</v>
      </c>
      <c r="P177" s="262"/>
      <c r="Q177" s="262"/>
      <c r="R177" s="262"/>
    </row>
    <row r="178" spans="1:18" s="60" customFormat="1" ht="36" customHeight="1" x14ac:dyDescent="0.2">
      <c r="A178" s="236"/>
      <c r="B178" s="273"/>
      <c r="C178" s="493"/>
      <c r="D178" s="274"/>
      <c r="E178" s="492"/>
      <c r="F178" s="274"/>
      <c r="G178" s="493"/>
      <c r="H178" s="565"/>
      <c r="I178" s="107">
        <v>30000000</v>
      </c>
      <c r="J178" s="107">
        <v>0</v>
      </c>
      <c r="K178" s="107">
        <v>0</v>
      </c>
      <c r="L178" s="107">
        <v>0</v>
      </c>
      <c r="M178" s="107">
        <v>0</v>
      </c>
      <c r="N178" s="107">
        <v>30000000</v>
      </c>
      <c r="O178" s="549">
        <f t="shared" ref="O178:O241" si="3">K178/I178</f>
        <v>0</v>
      </c>
      <c r="P178" s="262"/>
      <c r="Q178" s="262"/>
      <c r="R178" s="262"/>
    </row>
    <row r="179" spans="1:18" s="60" customFormat="1" ht="19.5" customHeight="1" x14ac:dyDescent="0.2">
      <c r="A179" s="236"/>
      <c r="B179" s="273"/>
      <c r="C179" s="493"/>
      <c r="D179" s="274"/>
      <c r="E179" s="493"/>
      <c r="F179" s="436">
        <v>39</v>
      </c>
      <c r="G179" s="432" t="s">
        <v>397</v>
      </c>
      <c r="H179" s="423"/>
      <c r="I179" s="424">
        <v>144200000</v>
      </c>
      <c r="J179" s="424">
        <v>144000000</v>
      </c>
      <c r="K179" s="424">
        <v>144000000</v>
      </c>
      <c r="L179" s="424">
        <v>144000000</v>
      </c>
      <c r="M179" s="424">
        <v>144000000</v>
      </c>
      <c r="N179" s="424">
        <v>200000</v>
      </c>
      <c r="O179" s="546">
        <f t="shared" si="3"/>
        <v>0.9986130374479889</v>
      </c>
      <c r="P179" s="262"/>
      <c r="Q179" s="262"/>
      <c r="R179" s="262"/>
    </row>
    <row r="180" spans="1:18" s="60" customFormat="1" ht="47.25" customHeight="1" x14ac:dyDescent="0.2">
      <c r="A180" s="236"/>
      <c r="B180" s="273"/>
      <c r="C180" s="493"/>
      <c r="D180" s="274"/>
      <c r="E180" s="492"/>
      <c r="F180" s="274"/>
      <c r="G180" s="493"/>
      <c r="H180" s="287" t="s">
        <v>273</v>
      </c>
      <c r="I180" s="107">
        <v>144200000</v>
      </c>
      <c r="J180" s="107">
        <v>144000000</v>
      </c>
      <c r="K180" s="107">
        <v>144000000</v>
      </c>
      <c r="L180" s="107">
        <v>144000000</v>
      </c>
      <c r="M180" s="107">
        <v>144000000</v>
      </c>
      <c r="N180" s="107">
        <v>200000</v>
      </c>
      <c r="O180" s="549">
        <f t="shared" si="3"/>
        <v>0.9986130374479889</v>
      </c>
      <c r="P180" s="262"/>
      <c r="Q180" s="262"/>
      <c r="R180" s="262"/>
    </row>
    <row r="181" spans="1:18" s="60" customFormat="1" ht="27.75" customHeight="1" x14ac:dyDescent="0.2">
      <c r="A181" s="236"/>
      <c r="B181" s="273"/>
      <c r="C181" s="493"/>
      <c r="D181" s="274"/>
      <c r="E181" s="493"/>
      <c r="F181" s="436">
        <v>40</v>
      </c>
      <c r="G181" s="432" t="s">
        <v>398</v>
      </c>
      <c r="H181" s="423"/>
      <c r="I181" s="424">
        <v>796666702</v>
      </c>
      <c r="J181" s="424">
        <v>501977073</v>
      </c>
      <c r="K181" s="424">
        <v>501977073</v>
      </c>
      <c r="L181" s="424">
        <v>494722073</v>
      </c>
      <c r="M181" s="424">
        <v>494722073</v>
      </c>
      <c r="N181" s="424">
        <v>294689629</v>
      </c>
      <c r="O181" s="546">
        <f t="shared" si="3"/>
        <v>0.63009671640575238</v>
      </c>
      <c r="P181" s="262"/>
      <c r="Q181" s="262"/>
      <c r="R181" s="262"/>
    </row>
    <row r="182" spans="1:18" s="60" customFormat="1" ht="48" customHeight="1" x14ac:dyDescent="0.2">
      <c r="A182" s="236"/>
      <c r="B182" s="273"/>
      <c r="C182" s="493"/>
      <c r="D182" s="274"/>
      <c r="E182" s="492"/>
      <c r="F182" s="274"/>
      <c r="G182" s="493"/>
      <c r="H182" s="564" t="s">
        <v>272</v>
      </c>
      <c r="I182" s="107">
        <v>6147580</v>
      </c>
      <c r="J182" s="107">
        <v>0</v>
      </c>
      <c r="K182" s="107">
        <v>0</v>
      </c>
      <c r="L182" s="107">
        <v>0</v>
      </c>
      <c r="M182" s="107">
        <v>0</v>
      </c>
      <c r="N182" s="107">
        <v>6147580</v>
      </c>
      <c r="O182" s="549">
        <f t="shared" si="3"/>
        <v>0</v>
      </c>
      <c r="P182" s="262"/>
      <c r="Q182" s="262"/>
      <c r="R182" s="262"/>
    </row>
    <row r="183" spans="1:18" s="60" customFormat="1" ht="48" customHeight="1" x14ac:dyDescent="0.2">
      <c r="A183" s="236"/>
      <c r="B183" s="273"/>
      <c r="C183" s="493"/>
      <c r="D183" s="274"/>
      <c r="E183" s="492"/>
      <c r="F183" s="274"/>
      <c r="G183" s="493"/>
      <c r="H183" s="565"/>
      <c r="I183" s="107">
        <v>76000000</v>
      </c>
      <c r="J183" s="107">
        <v>72170948</v>
      </c>
      <c r="K183" s="107">
        <v>72170948</v>
      </c>
      <c r="L183" s="107">
        <v>72170948</v>
      </c>
      <c r="M183" s="107">
        <v>72170948</v>
      </c>
      <c r="N183" s="107">
        <v>3829052</v>
      </c>
      <c r="O183" s="549">
        <f t="shared" si="3"/>
        <v>0.94961773684210526</v>
      </c>
      <c r="P183" s="262"/>
      <c r="Q183" s="262"/>
      <c r="R183" s="262"/>
    </row>
    <row r="184" spans="1:18" s="60" customFormat="1" ht="48" customHeight="1" x14ac:dyDescent="0.2">
      <c r="A184" s="236"/>
      <c r="B184" s="273"/>
      <c r="C184" s="493"/>
      <c r="D184" s="274"/>
      <c r="E184" s="492"/>
      <c r="F184" s="274"/>
      <c r="G184" s="493"/>
      <c r="H184" s="564" t="s">
        <v>271</v>
      </c>
      <c r="I184" s="107">
        <v>0</v>
      </c>
      <c r="J184" s="107">
        <v>0</v>
      </c>
      <c r="K184" s="107">
        <v>0</v>
      </c>
      <c r="L184" s="107">
        <v>0</v>
      </c>
      <c r="M184" s="107">
        <v>0</v>
      </c>
      <c r="N184" s="107">
        <v>0</v>
      </c>
      <c r="O184" s="549" t="e">
        <f t="shared" si="3"/>
        <v>#DIV/0!</v>
      </c>
      <c r="P184" s="262"/>
      <c r="Q184" s="262"/>
      <c r="R184" s="262"/>
    </row>
    <row r="185" spans="1:18" s="60" customFormat="1" ht="48" customHeight="1" x14ac:dyDescent="0.2">
      <c r="A185" s="236"/>
      <c r="B185" s="273"/>
      <c r="C185" s="493"/>
      <c r="D185" s="274"/>
      <c r="E185" s="492"/>
      <c r="F185" s="274"/>
      <c r="G185" s="493"/>
      <c r="H185" s="566"/>
      <c r="I185" s="107">
        <v>177676960</v>
      </c>
      <c r="J185" s="107">
        <v>12710390</v>
      </c>
      <c r="K185" s="107">
        <v>12710390</v>
      </c>
      <c r="L185" s="107">
        <v>12710390</v>
      </c>
      <c r="M185" s="107">
        <v>12710390</v>
      </c>
      <c r="N185" s="107">
        <v>164966570</v>
      </c>
      <c r="O185" s="549">
        <f t="shared" si="3"/>
        <v>7.1536512106015318E-2</v>
      </c>
      <c r="P185" s="262"/>
      <c r="Q185" s="262"/>
      <c r="R185" s="262"/>
    </row>
    <row r="186" spans="1:18" s="60" customFormat="1" ht="48" customHeight="1" x14ac:dyDescent="0.2">
      <c r="A186" s="236"/>
      <c r="B186" s="273"/>
      <c r="C186" s="493"/>
      <c r="D186" s="274"/>
      <c r="E186" s="492"/>
      <c r="F186" s="274"/>
      <c r="G186" s="493"/>
      <c r="H186" s="566"/>
      <c r="I186" s="107">
        <v>60459865</v>
      </c>
      <c r="J186" s="107">
        <v>0</v>
      </c>
      <c r="K186" s="107">
        <v>0</v>
      </c>
      <c r="L186" s="107">
        <v>0</v>
      </c>
      <c r="M186" s="107">
        <v>0</v>
      </c>
      <c r="N186" s="107">
        <v>60459865</v>
      </c>
      <c r="O186" s="549">
        <f t="shared" si="3"/>
        <v>0</v>
      </c>
      <c r="P186" s="262"/>
      <c r="Q186" s="262"/>
      <c r="R186" s="262"/>
    </row>
    <row r="187" spans="1:18" s="60" customFormat="1" ht="48" customHeight="1" x14ac:dyDescent="0.2">
      <c r="A187" s="236"/>
      <c r="B187" s="273"/>
      <c r="C187" s="493"/>
      <c r="D187" s="274"/>
      <c r="E187" s="492"/>
      <c r="F187" s="274"/>
      <c r="G187" s="493"/>
      <c r="H187" s="566"/>
      <c r="I187" s="107">
        <v>183496697</v>
      </c>
      <c r="J187" s="107">
        <v>153062135</v>
      </c>
      <c r="K187" s="107">
        <v>153062135</v>
      </c>
      <c r="L187" s="107">
        <v>150267000</v>
      </c>
      <c r="M187" s="107">
        <v>150267000</v>
      </c>
      <c r="N187" s="107">
        <v>30434562</v>
      </c>
      <c r="O187" s="549">
        <f t="shared" si="3"/>
        <v>0.83414109083391297</v>
      </c>
      <c r="P187" s="262"/>
      <c r="Q187" s="262"/>
      <c r="R187" s="262"/>
    </row>
    <row r="188" spans="1:18" s="60" customFormat="1" ht="48" customHeight="1" x14ac:dyDescent="0.2">
      <c r="A188" s="236"/>
      <c r="B188" s="273"/>
      <c r="C188" s="493"/>
      <c r="D188" s="274"/>
      <c r="E188" s="492"/>
      <c r="F188" s="274"/>
      <c r="G188" s="493"/>
      <c r="H188" s="566"/>
      <c r="I188" s="107">
        <v>24000000</v>
      </c>
      <c r="J188" s="107">
        <v>24000000</v>
      </c>
      <c r="K188" s="107">
        <v>24000000</v>
      </c>
      <c r="L188" s="107">
        <v>19540135</v>
      </c>
      <c r="M188" s="107">
        <v>19540135</v>
      </c>
      <c r="N188" s="107">
        <v>0</v>
      </c>
      <c r="O188" s="549">
        <f t="shared" si="3"/>
        <v>1</v>
      </c>
      <c r="P188" s="262"/>
      <c r="Q188" s="262"/>
      <c r="R188" s="262"/>
    </row>
    <row r="189" spans="1:18" s="60" customFormat="1" ht="48" customHeight="1" x14ac:dyDescent="0.2">
      <c r="A189" s="236"/>
      <c r="B189" s="273"/>
      <c r="C189" s="493"/>
      <c r="D189" s="274"/>
      <c r="E189" s="492"/>
      <c r="F189" s="274"/>
      <c r="G189" s="493"/>
      <c r="H189" s="566"/>
      <c r="I189" s="107">
        <v>75000000</v>
      </c>
      <c r="J189" s="107">
        <v>71600000</v>
      </c>
      <c r="K189" s="107">
        <v>71600000</v>
      </c>
      <c r="L189" s="107">
        <v>71600000</v>
      </c>
      <c r="M189" s="107">
        <v>71600000</v>
      </c>
      <c r="N189" s="107">
        <v>3400000</v>
      </c>
      <c r="O189" s="549">
        <f t="shared" si="3"/>
        <v>0.95466666666666666</v>
      </c>
      <c r="P189" s="262"/>
      <c r="Q189" s="262"/>
      <c r="R189" s="262"/>
    </row>
    <row r="190" spans="1:18" s="60" customFormat="1" ht="60" customHeight="1" x14ac:dyDescent="0.2">
      <c r="A190" s="236"/>
      <c r="B190" s="273"/>
      <c r="C190" s="493"/>
      <c r="D190" s="274"/>
      <c r="E190" s="492"/>
      <c r="F190" s="274"/>
      <c r="G190" s="493"/>
      <c r="H190" s="565"/>
      <c r="I190" s="107">
        <v>146961583</v>
      </c>
      <c r="J190" s="107">
        <v>127353600</v>
      </c>
      <c r="K190" s="107">
        <v>127353600</v>
      </c>
      <c r="L190" s="107">
        <v>127353600</v>
      </c>
      <c r="M190" s="107">
        <v>127353600</v>
      </c>
      <c r="N190" s="107">
        <v>19607983</v>
      </c>
      <c r="O190" s="549">
        <f t="shared" si="3"/>
        <v>0.86657749188779487</v>
      </c>
      <c r="P190" s="262"/>
      <c r="Q190" s="262"/>
      <c r="R190" s="262"/>
    </row>
    <row r="191" spans="1:18" s="60" customFormat="1" ht="61.5" customHeight="1" x14ac:dyDescent="0.2">
      <c r="A191" s="236"/>
      <c r="B191" s="273"/>
      <c r="C191" s="493"/>
      <c r="D191" s="274"/>
      <c r="E191" s="492"/>
      <c r="F191" s="274"/>
      <c r="G191" s="493"/>
      <c r="H191" s="564" t="s">
        <v>270</v>
      </c>
      <c r="I191" s="107">
        <v>22333697</v>
      </c>
      <c r="J191" s="107">
        <v>17320000</v>
      </c>
      <c r="K191" s="107">
        <v>17320000</v>
      </c>
      <c r="L191" s="107">
        <v>17320000</v>
      </c>
      <c r="M191" s="107">
        <v>17320000</v>
      </c>
      <c r="N191" s="107">
        <v>5013697</v>
      </c>
      <c r="O191" s="549">
        <f t="shared" si="3"/>
        <v>0.77550975998286353</v>
      </c>
      <c r="P191" s="262"/>
      <c r="Q191" s="262"/>
      <c r="R191" s="262"/>
    </row>
    <row r="192" spans="1:18" s="60" customFormat="1" ht="59.25" customHeight="1" x14ac:dyDescent="0.2">
      <c r="A192" s="236"/>
      <c r="B192" s="273"/>
      <c r="C192" s="493"/>
      <c r="D192" s="274"/>
      <c r="E192" s="492"/>
      <c r="F192" s="314"/>
      <c r="G192" s="493"/>
      <c r="H192" s="565"/>
      <c r="I192" s="107">
        <v>24590320</v>
      </c>
      <c r="J192" s="107">
        <v>23760000</v>
      </c>
      <c r="K192" s="107">
        <v>23760000</v>
      </c>
      <c r="L192" s="107">
        <v>23760000</v>
      </c>
      <c r="M192" s="107">
        <v>23760000</v>
      </c>
      <c r="N192" s="107">
        <v>830320</v>
      </c>
      <c r="O192" s="549">
        <f t="shared" si="3"/>
        <v>0.96623386763572006</v>
      </c>
      <c r="P192" s="262"/>
      <c r="Q192" s="262"/>
      <c r="R192" s="262"/>
    </row>
    <row r="193" spans="1:18" s="60" customFormat="1" ht="27.75" customHeight="1" x14ac:dyDescent="0.2">
      <c r="A193" s="236"/>
      <c r="B193" s="273"/>
      <c r="C193" s="493"/>
      <c r="D193" s="274"/>
      <c r="E193" s="493"/>
      <c r="F193" s="431">
        <v>41</v>
      </c>
      <c r="G193" s="432" t="s">
        <v>399</v>
      </c>
      <c r="H193" s="423"/>
      <c r="I193" s="424">
        <v>10300000</v>
      </c>
      <c r="J193" s="424">
        <v>0</v>
      </c>
      <c r="K193" s="424">
        <v>0</v>
      </c>
      <c r="L193" s="424">
        <v>0</v>
      </c>
      <c r="M193" s="424">
        <v>0</v>
      </c>
      <c r="N193" s="424">
        <v>10300000</v>
      </c>
      <c r="O193" s="546">
        <f t="shared" si="3"/>
        <v>0</v>
      </c>
      <c r="P193" s="262"/>
      <c r="Q193" s="262"/>
      <c r="R193" s="262"/>
    </row>
    <row r="194" spans="1:18" s="60" customFormat="1" ht="41.25" customHeight="1" x14ac:dyDescent="0.2">
      <c r="A194" s="236"/>
      <c r="B194" s="273"/>
      <c r="C194" s="493"/>
      <c r="D194" s="274"/>
      <c r="E194" s="492"/>
      <c r="F194" s="335"/>
      <c r="G194" s="493"/>
      <c r="H194" s="141" t="s">
        <v>269</v>
      </c>
      <c r="I194" s="107">
        <v>10300000</v>
      </c>
      <c r="J194" s="107">
        <v>0</v>
      </c>
      <c r="K194" s="107">
        <v>0</v>
      </c>
      <c r="L194" s="107">
        <v>0</v>
      </c>
      <c r="M194" s="107">
        <v>0</v>
      </c>
      <c r="N194" s="107">
        <v>10300000</v>
      </c>
      <c r="O194" s="549">
        <f t="shared" si="3"/>
        <v>0</v>
      </c>
      <c r="P194" s="262"/>
      <c r="Q194" s="262"/>
      <c r="R194" s="262"/>
    </row>
    <row r="195" spans="1:18" s="60" customFormat="1" ht="27.75" customHeight="1" x14ac:dyDescent="0.2">
      <c r="A195" s="236"/>
      <c r="B195" s="273"/>
      <c r="C195" s="493"/>
      <c r="D195" s="274"/>
      <c r="E195" s="493"/>
      <c r="F195" s="434">
        <v>42</v>
      </c>
      <c r="G195" s="432" t="s">
        <v>400</v>
      </c>
      <c r="H195" s="423"/>
      <c r="I195" s="424">
        <v>51500000</v>
      </c>
      <c r="J195" s="424">
        <v>51448000</v>
      </c>
      <c r="K195" s="424">
        <v>51448000</v>
      </c>
      <c r="L195" s="424">
        <v>51448000</v>
      </c>
      <c r="M195" s="424">
        <v>51448000</v>
      </c>
      <c r="N195" s="424">
        <v>52000</v>
      </c>
      <c r="O195" s="546">
        <f t="shared" si="3"/>
        <v>0.9989902912621359</v>
      </c>
      <c r="P195" s="262"/>
      <c r="Q195" s="262"/>
      <c r="R195" s="262"/>
    </row>
    <row r="196" spans="1:18" s="60" customFormat="1" ht="46.5" customHeight="1" x14ac:dyDescent="0.2">
      <c r="A196" s="236"/>
      <c r="B196" s="273"/>
      <c r="C196" s="493"/>
      <c r="D196" s="274"/>
      <c r="E196" s="492"/>
      <c r="F196" s="335"/>
      <c r="G196" s="493"/>
      <c r="H196" s="141" t="s">
        <v>268</v>
      </c>
      <c r="I196" s="107">
        <v>51500000</v>
      </c>
      <c r="J196" s="107">
        <v>51448000</v>
      </c>
      <c r="K196" s="107">
        <v>51448000</v>
      </c>
      <c r="L196" s="107">
        <v>51448000</v>
      </c>
      <c r="M196" s="107">
        <v>51448000</v>
      </c>
      <c r="N196" s="107">
        <v>52000</v>
      </c>
      <c r="O196" s="549">
        <f t="shared" si="3"/>
        <v>0.9989902912621359</v>
      </c>
      <c r="P196" s="262"/>
      <c r="Q196" s="262"/>
      <c r="R196" s="262"/>
    </row>
    <row r="197" spans="1:18" s="60" customFormat="1" ht="27.75" customHeight="1" x14ac:dyDescent="0.2">
      <c r="A197" s="236"/>
      <c r="B197" s="273"/>
      <c r="C197" s="493"/>
      <c r="D197" s="274"/>
      <c r="E197" s="493"/>
      <c r="F197" s="431">
        <v>43</v>
      </c>
      <c r="G197" s="432" t="s">
        <v>401</v>
      </c>
      <c r="H197" s="423"/>
      <c r="I197" s="424">
        <v>1684983496.1300001</v>
      </c>
      <c r="J197" s="424">
        <v>1261399262.3299999</v>
      </c>
      <c r="K197" s="424">
        <v>1261399262.3299999</v>
      </c>
      <c r="L197" s="424">
        <v>1201399262.3299999</v>
      </c>
      <c r="M197" s="424">
        <v>1201399262.3299999</v>
      </c>
      <c r="N197" s="424">
        <v>423584233.79999995</v>
      </c>
      <c r="O197" s="546">
        <f t="shared" si="3"/>
        <v>0.74861223580357272</v>
      </c>
      <c r="P197" s="262"/>
      <c r="Q197" s="262"/>
      <c r="R197" s="262"/>
    </row>
    <row r="198" spans="1:18" s="60" customFormat="1" ht="36.75" customHeight="1" x14ac:dyDescent="0.2">
      <c r="A198" s="236"/>
      <c r="B198" s="273"/>
      <c r="C198" s="493"/>
      <c r="D198" s="274"/>
      <c r="E198" s="492"/>
      <c r="F198" s="302"/>
      <c r="G198" s="493"/>
      <c r="H198" s="564" t="s">
        <v>267</v>
      </c>
      <c r="I198" s="107">
        <v>184258044</v>
      </c>
      <c r="J198" s="107">
        <v>175933333.33000001</v>
      </c>
      <c r="K198" s="107">
        <v>175933333.33000001</v>
      </c>
      <c r="L198" s="107">
        <v>175933333.33000001</v>
      </c>
      <c r="M198" s="107">
        <v>175933333.33000001</v>
      </c>
      <c r="N198" s="107">
        <v>8324710.6699999869</v>
      </c>
      <c r="O198" s="549">
        <f t="shared" si="3"/>
        <v>0.95482036773385059</v>
      </c>
      <c r="P198" s="262"/>
      <c r="Q198" s="262"/>
      <c r="R198" s="262"/>
    </row>
    <row r="199" spans="1:18" s="60" customFormat="1" ht="36.75" customHeight="1" x14ac:dyDescent="0.2">
      <c r="A199" s="236"/>
      <c r="B199" s="273"/>
      <c r="C199" s="493"/>
      <c r="D199" s="274"/>
      <c r="E199" s="492"/>
      <c r="F199" s="274"/>
      <c r="G199" s="493"/>
      <c r="H199" s="566"/>
      <c r="I199" s="107">
        <v>719782544.13</v>
      </c>
      <c r="J199" s="107">
        <v>338985315</v>
      </c>
      <c r="K199" s="107">
        <v>338985315</v>
      </c>
      <c r="L199" s="107">
        <v>278985315</v>
      </c>
      <c r="M199" s="107">
        <v>278985315</v>
      </c>
      <c r="N199" s="107">
        <v>380797229.13</v>
      </c>
      <c r="O199" s="549">
        <f t="shared" si="3"/>
        <v>0.47095517634389289</v>
      </c>
      <c r="P199" s="262"/>
      <c r="Q199" s="262"/>
      <c r="R199" s="262"/>
    </row>
    <row r="200" spans="1:18" s="60" customFormat="1" ht="36.75" customHeight="1" x14ac:dyDescent="0.2">
      <c r="A200" s="236"/>
      <c r="B200" s="273"/>
      <c r="C200" s="493"/>
      <c r="D200" s="274"/>
      <c r="E200" s="492"/>
      <c r="F200" s="274"/>
      <c r="G200" s="493"/>
      <c r="H200" s="566"/>
      <c r="I200" s="107">
        <v>25600000</v>
      </c>
      <c r="J200" s="107">
        <v>25600000</v>
      </c>
      <c r="K200" s="107">
        <v>25600000</v>
      </c>
      <c r="L200" s="107">
        <v>25600000</v>
      </c>
      <c r="M200" s="107">
        <v>25600000</v>
      </c>
      <c r="N200" s="107">
        <v>0</v>
      </c>
      <c r="O200" s="549">
        <f t="shared" si="3"/>
        <v>1</v>
      </c>
      <c r="P200" s="262"/>
      <c r="Q200" s="262"/>
      <c r="R200" s="262"/>
    </row>
    <row r="201" spans="1:18" s="60" customFormat="1" ht="36.75" customHeight="1" x14ac:dyDescent="0.2">
      <c r="A201" s="236"/>
      <c r="B201" s="273"/>
      <c r="C201" s="493"/>
      <c r="D201" s="274"/>
      <c r="E201" s="492"/>
      <c r="F201" s="274"/>
      <c r="G201" s="493"/>
      <c r="H201" s="566"/>
      <c r="I201" s="107">
        <v>655342908</v>
      </c>
      <c r="J201" s="107">
        <v>630480000</v>
      </c>
      <c r="K201" s="107">
        <v>630480000</v>
      </c>
      <c r="L201" s="107">
        <v>630480000</v>
      </c>
      <c r="M201" s="107">
        <v>630480000</v>
      </c>
      <c r="N201" s="107">
        <v>24862908</v>
      </c>
      <c r="O201" s="549">
        <f t="shared" si="3"/>
        <v>0.96206122367925284</v>
      </c>
      <c r="P201" s="262"/>
      <c r="Q201" s="262"/>
      <c r="R201" s="262"/>
    </row>
    <row r="202" spans="1:18" s="60" customFormat="1" ht="36.75" customHeight="1" x14ac:dyDescent="0.2">
      <c r="A202" s="236"/>
      <c r="B202" s="273"/>
      <c r="C202" s="493"/>
      <c r="D202" s="274"/>
      <c r="E202" s="492"/>
      <c r="F202" s="314"/>
      <c r="G202" s="493"/>
      <c r="H202" s="565"/>
      <c r="I202" s="107">
        <v>100000000</v>
      </c>
      <c r="J202" s="107">
        <v>90400614</v>
      </c>
      <c r="K202" s="107">
        <v>90400614</v>
      </c>
      <c r="L202" s="107">
        <v>90400614</v>
      </c>
      <c r="M202" s="107">
        <v>90400614</v>
      </c>
      <c r="N202" s="107">
        <v>9599386</v>
      </c>
      <c r="O202" s="549">
        <f t="shared" si="3"/>
        <v>0.90400614000000001</v>
      </c>
      <c r="P202" s="262"/>
      <c r="Q202" s="262"/>
      <c r="R202" s="262"/>
    </row>
    <row r="203" spans="1:18" s="60" customFormat="1" ht="27.75" customHeight="1" x14ac:dyDescent="0.2">
      <c r="A203" s="236"/>
      <c r="B203" s="273"/>
      <c r="C203" s="493"/>
      <c r="D203" s="274"/>
      <c r="E203" s="493"/>
      <c r="F203" s="431">
        <v>44</v>
      </c>
      <c r="G203" s="432" t="s">
        <v>402</v>
      </c>
      <c r="H203" s="423"/>
      <c r="I203" s="424">
        <v>404307604</v>
      </c>
      <c r="J203" s="424">
        <v>384422333</v>
      </c>
      <c r="K203" s="424">
        <v>384422333</v>
      </c>
      <c r="L203" s="424">
        <v>369912333</v>
      </c>
      <c r="M203" s="424">
        <v>369912333</v>
      </c>
      <c r="N203" s="424">
        <v>19885270.999999985</v>
      </c>
      <c r="O203" s="546">
        <f t="shared" si="3"/>
        <v>0.95081648031531951</v>
      </c>
      <c r="P203" s="262"/>
      <c r="Q203" s="262"/>
      <c r="R203" s="262"/>
    </row>
    <row r="204" spans="1:18" s="60" customFormat="1" ht="46.5" customHeight="1" x14ac:dyDescent="0.2">
      <c r="A204" s="236"/>
      <c r="B204" s="273"/>
      <c r="C204" s="493"/>
      <c r="D204" s="274"/>
      <c r="E204" s="492"/>
      <c r="F204" s="302"/>
      <c r="G204" s="493"/>
      <c r="H204" s="561" t="s">
        <v>266</v>
      </c>
      <c r="I204" s="93">
        <v>216307604</v>
      </c>
      <c r="J204" s="93">
        <v>202438333.33000001</v>
      </c>
      <c r="K204" s="93">
        <v>202438333.33000001</v>
      </c>
      <c r="L204" s="93">
        <v>195955000</v>
      </c>
      <c r="M204" s="93">
        <v>195955000</v>
      </c>
      <c r="N204" s="139">
        <v>13869270.669999987</v>
      </c>
      <c r="O204" s="548">
        <f t="shared" si="3"/>
        <v>0.93588172392682045</v>
      </c>
      <c r="P204" s="262"/>
      <c r="Q204" s="262"/>
      <c r="R204" s="262"/>
    </row>
    <row r="205" spans="1:18" s="60" customFormat="1" ht="46.5" customHeight="1" x14ac:dyDescent="0.2">
      <c r="A205" s="236"/>
      <c r="B205" s="273"/>
      <c r="C205" s="493"/>
      <c r="D205" s="274"/>
      <c r="E205" s="492"/>
      <c r="F205" s="274"/>
      <c r="G205" s="493"/>
      <c r="H205" s="563"/>
      <c r="I205" s="93">
        <v>58000000</v>
      </c>
      <c r="J205" s="93">
        <v>51984000</v>
      </c>
      <c r="K205" s="93">
        <v>51984000</v>
      </c>
      <c r="L205" s="93">
        <v>51984000</v>
      </c>
      <c r="M205" s="93">
        <v>51984000</v>
      </c>
      <c r="N205" s="139">
        <v>6016000</v>
      </c>
      <c r="O205" s="548">
        <f t="shared" si="3"/>
        <v>0.89627586206896548</v>
      </c>
      <c r="P205" s="262"/>
      <c r="Q205" s="262"/>
      <c r="R205" s="262"/>
    </row>
    <row r="206" spans="1:18" s="60" customFormat="1" ht="46.5" customHeight="1" x14ac:dyDescent="0.2">
      <c r="A206" s="236"/>
      <c r="B206" s="273"/>
      <c r="C206" s="493"/>
      <c r="D206" s="274"/>
      <c r="E206" s="492"/>
      <c r="F206" s="274"/>
      <c r="G206" s="493"/>
      <c r="H206" s="563"/>
      <c r="I206" s="93">
        <v>30000000</v>
      </c>
      <c r="J206" s="93">
        <v>29999999.670000002</v>
      </c>
      <c r="K206" s="93">
        <v>29999999.670000002</v>
      </c>
      <c r="L206" s="93">
        <v>21973333</v>
      </c>
      <c r="M206" s="93">
        <v>21973333</v>
      </c>
      <c r="N206" s="139">
        <v>0.32999999821186066</v>
      </c>
      <c r="O206" s="548">
        <f t="shared" si="3"/>
        <v>0.99999998900000009</v>
      </c>
      <c r="P206" s="262"/>
      <c r="Q206" s="262"/>
      <c r="R206" s="262"/>
    </row>
    <row r="207" spans="1:18" s="60" customFormat="1" ht="46.5" customHeight="1" x14ac:dyDescent="0.2">
      <c r="A207" s="236"/>
      <c r="B207" s="273"/>
      <c r="C207" s="493"/>
      <c r="D207" s="274"/>
      <c r="E207" s="492"/>
      <c r="F207" s="314"/>
      <c r="G207" s="493"/>
      <c r="H207" s="562"/>
      <c r="I207" s="93">
        <v>100000000</v>
      </c>
      <c r="J207" s="93">
        <v>100000000</v>
      </c>
      <c r="K207" s="93">
        <v>100000000</v>
      </c>
      <c r="L207" s="93">
        <v>100000000</v>
      </c>
      <c r="M207" s="93">
        <v>100000000</v>
      </c>
      <c r="N207" s="139">
        <v>0</v>
      </c>
      <c r="O207" s="548">
        <f t="shared" si="3"/>
        <v>1</v>
      </c>
      <c r="P207" s="262"/>
      <c r="Q207" s="262"/>
      <c r="R207" s="262"/>
    </row>
    <row r="208" spans="1:18" s="60" customFormat="1" ht="27.75" customHeight="1" x14ac:dyDescent="0.2">
      <c r="A208" s="236"/>
      <c r="B208" s="273"/>
      <c r="C208" s="493"/>
      <c r="D208" s="274"/>
      <c r="E208" s="493"/>
      <c r="F208" s="431">
        <v>45</v>
      </c>
      <c r="G208" s="432" t="s">
        <v>403</v>
      </c>
      <c r="H208" s="423"/>
      <c r="I208" s="424">
        <v>1500230607</v>
      </c>
      <c r="J208" s="424">
        <v>1391132066</v>
      </c>
      <c r="K208" s="424">
        <v>1391132066</v>
      </c>
      <c r="L208" s="424">
        <v>1123945666</v>
      </c>
      <c r="M208" s="424">
        <v>1123945666</v>
      </c>
      <c r="N208" s="424">
        <v>109098541</v>
      </c>
      <c r="O208" s="546">
        <f t="shared" si="3"/>
        <v>0.92727881934220535</v>
      </c>
      <c r="P208" s="262"/>
      <c r="Q208" s="262"/>
      <c r="R208" s="262"/>
    </row>
    <row r="209" spans="1:18" s="60" customFormat="1" ht="40.5" customHeight="1" x14ac:dyDescent="0.2">
      <c r="A209" s="236"/>
      <c r="B209" s="273"/>
      <c r="C209" s="493"/>
      <c r="D209" s="274"/>
      <c r="E209" s="492"/>
      <c r="F209" s="302"/>
      <c r="G209" s="493"/>
      <c r="H209" s="564" t="s">
        <v>265</v>
      </c>
      <c r="I209" s="107">
        <v>1135161907</v>
      </c>
      <c r="J209" s="107">
        <v>1065451366</v>
      </c>
      <c r="K209" s="107">
        <v>1065451366</v>
      </c>
      <c r="L209" s="107">
        <v>872395566</v>
      </c>
      <c r="M209" s="107">
        <v>872395566</v>
      </c>
      <c r="N209" s="107">
        <v>69710541</v>
      </c>
      <c r="O209" s="549">
        <f t="shared" si="3"/>
        <v>0.93858978127249648</v>
      </c>
      <c r="P209" s="262"/>
      <c r="Q209" s="262"/>
      <c r="R209" s="262"/>
    </row>
    <row r="210" spans="1:18" s="60" customFormat="1" ht="40.5" customHeight="1" x14ac:dyDescent="0.2">
      <c r="A210" s="236"/>
      <c r="B210" s="273"/>
      <c r="C210" s="493"/>
      <c r="D210" s="274"/>
      <c r="E210" s="492"/>
      <c r="F210" s="314"/>
      <c r="G210" s="493"/>
      <c r="H210" s="565"/>
      <c r="I210" s="107">
        <v>365068700</v>
      </c>
      <c r="J210" s="107">
        <v>325680700</v>
      </c>
      <c r="K210" s="107">
        <v>325680700</v>
      </c>
      <c r="L210" s="107">
        <v>251550100</v>
      </c>
      <c r="M210" s="107">
        <v>251550100</v>
      </c>
      <c r="N210" s="107">
        <v>39388000</v>
      </c>
      <c r="O210" s="549">
        <f t="shared" si="3"/>
        <v>0.89210797858046997</v>
      </c>
      <c r="P210" s="262"/>
      <c r="Q210" s="262"/>
      <c r="R210" s="262"/>
    </row>
    <row r="211" spans="1:18" s="60" customFormat="1" ht="27.75" customHeight="1" x14ac:dyDescent="0.2">
      <c r="A211" s="236"/>
      <c r="B211" s="273"/>
      <c r="C211" s="493"/>
      <c r="D211" s="274"/>
      <c r="E211" s="493"/>
      <c r="F211" s="431">
        <v>46</v>
      </c>
      <c r="G211" s="432" t="s">
        <v>404</v>
      </c>
      <c r="H211" s="423"/>
      <c r="I211" s="424">
        <v>1626125052</v>
      </c>
      <c r="J211" s="424">
        <v>1438704225</v>
      </c>
      <c r="K211" s="424">
        <v>1438704225</v>
      </c>
      <c r="L211" s="424">
        <v>1416939225</v>
      </c>
      <c r="M211" s="424">
        <v>1416939225</v>
      </c>
      <c r="N211" s="424">
        <v>187420827</v>
      </c>
      <c r="O211" s="546">
        <f t="shared" si="3"/>
        <v>0.88474390283238802</v>
      </c>
      <c r="P211" s="262"/>
      <c r="Q211" s="262"/>
      <c r="R211" s="262"/>
    </row>
    <row r="212" spans="1:18" s="60" customFormat="1" ht="40.5" customHeight="1" x14ac:dyDescent="0.2">
      <c r="A212" s="236"/>
      <c r="B212" s="273"/>
      <c r="C212" s="493"/>
      <c r="D212" s="274"/>
      <c r="E212" s="492"/>
      <c r="F212" s="302"/>
      <c r="G212" s="493"/>
      <c r="H212" s="564" t="s">
        <v>264</v>
      </c>
      <c r="I212" s="107">
        <v>1097488277</v>
      </c>
      <c r="J212" s="107">
        <v>964961599</v>
      </c>
      <c r="K212" s="107">
        <v>964961599</v>
      </c>
      <c r="L212" s="107">
        <v>943196599</v>
      </c>
      <c r="M212" s="107">
        <v>943196599</v>
      </c>
      <c r="N212" s="107">
        <v>132526678</v>
      </c>
      <c r="O212" s="549">
        <f t="shared" si="3"/>
        <v>0.87924547279697274</v>
      </c>
      <c r="P212" s="262"/>
      <c r="Q212" s="262"/>
      <c r="R212" s="262"/>
    </row>
    <row r="213" spans="1:18" s="60" customFormat="1" ht="40.5" customHeight="1" x14ac:dyDescent="0.2">
      <c r="A213" s="236"/>
      <c r="B213" s="273"/>
      <c r="C213" s="493"/>
      <c r="D213" s="274"/>
      <c r="E213" s="492"/>
      <c r="F213" s="274"/>
      <c r="G213" s="493"/>
      <c r="H213" s="565"/>
      <c r="I213" s="107">
        <v>161826931</v>
      </c>
      <c r="J213" s="107">
        <v>134517626</v>
      </c>
      <c r="K213" s="107">
        <v>134517626</v>
      </c>
      <c r="L213" s="107">
        <v>134517626</v>
      </c>
      <c r="M213" s="107">
        <v>134517626</v>
      </c>
      <c r="N213" s="107">
        <v>27309305</v>
      </c>
      <c r="O213" s="549">
        <f t="shared" si="3"/>
        <v>0.83124375633126235</v>
      </c>
      <c r="P213" s="262"/>
      <c r="Q213" s="262"/>
      <c r="R213" s="262"/>
    </row>
    <row r="214" spans="1:18" s="60" customFormat="1" ht="40.5" customHeight="1" x14ac:dyDescent="0.2">
      <c r="A214" s="236"/>
      <c r="B214" s="273"/>
      <c r="C214" s="493"/>
      <c r="D214" s="274"/>
      <c r="E214" s="492"/>
      <c r="F214" s="274"/>
      <c r="G214" s="493"/>
      <c r="H214" s="564" t="s">
        <v>263</v>
      </c>
      <c r="I214" s="107">
        <v>276809844</v>
      </c>
      <c r="J214" s="107">
        <v>274905000</v>
      </c>
      <c r="K214" s="107">
        <v>274905000</v>
      </c>
      <c r="L214" s="107">
        <v>274905000</v>
      </c>
      <c r="M214" s="107">
        <v>274905000</v>
      </c>
      <c r="N214" s="107">
        <v>1904844</v>
      </c>
      <c r="O214" s="549">
        <f t="shared" si="3"/>
        <v>0.99311858287814359</v>
      </c>
      <c r="P214" s="262"/>
      <c r="Q214" s="262"/>
      <c r="R214" s="262"/>
    </row>
    <row r="215" spans="1:18" s="60" customFormat="1" ht="40.5" customHeight="1" x14ac:dyDescent="0.2">
      <c r="A215" s="236"/>
      <c r="B215" s="273"/>
      <c r="C215" s="493"/>
      <c r="D215" s="274"/>
      <c r="E215" s="492"/>
      <c r="F215" s="314"/>
      <c r="G215" s="334"/>
      <c r="H215" s="565"/>
      <c r="I215" s="107">
        <v>90000000</v>
      </c>
      <c r="J215" s="107">
        <v>64320000</v>
      </c>
      <c r="K215" s="107">
        <v>64320000</v>
      </c>
      <c r="L215" s="107">
        <v>64320000</v>
      </c>
      <c r="M215" s="107">
        <v>64320000</v>
      </c>
      <c r="N215" s="107">
        <v>25680000</v>
      </c>
      <c r="O215" s="549">
        <f t="shared" si="3"/>
        <v>0.71466666666666667</v>
      </c>
      <c r="P215" s="262"/>
      <c r="Q215" s="262"/>
      <c r="R215" s="262"/>
    </row>
    <row r="216" spans="1:18" s="60" customFormat="1" ht="27.75" customHeight="1" x14ac:dyDescent="0.2">
      <c r="A216" s="236"/>
      <c r="B216" s="273"/>
      <c r="C216" s="493"/>
      <c r="D216" s="445">
        <v>13</v>
      </c>
      <c r="E216" s="363" t="s">
        <v>405</v>
      </c>
      <c r="F216" s="323"/>
      <c r="G216" s="324"/>
      <c r="H216" s="256"/>
      <c r="I216" s="257">
        <v>15894556589</v>
      </c>
      <c r="J216" s="257">
        <v>15516775294.75</v>
      </c>
      <c r="K216" s="257">
        <v>15516775294.75</v>
      </c>
      <c r="L216" s="257">
        <v>15516775294.75</v>
      </c>
      <c r="M216" s="257">
        <v>15516775294.75</v>
      </c>
      <c r="N216" s="257">
        <v>377781294.25</v>
      </c>
      <c r="O216" s="545">
        <f t="shared" si="3"/>
        <v>0.97623203314073903</v>
      </c>
      <c r="P216" s="262"/>
      <c r="Q216" s="262"/>
      <c r="R216" s="262"/>
    </row>
    <row r="217" spans="1:18" s="60" customFormat="1" ht="27.75" customHeight="1" x14ac:dyDescent="0.2">
      <c r="A217" s="236"/>
      <c r="B217" s="273"/>
      <c r="C217" s="493"/>
      <c r="D217" s="312"/>
      <c r="E217" s="313"/>
      <c r="F217" s="435">
        <v>47</v>
      </c>
      <c r="G217" s="432" t="s">
        <v>406</v>
      </c>
      <c r="H217" s="423"/>
      <c r="I217" s="424">
        <v>29046000</v>
      </c>
      <c r="J217" s="424">
        <v>0</v>
      </c>
      <c r="K217" s="424">
        <v>0</v>
      </c>
      <c r="L217" s="424">
        <v>0</v>
      </c>
      <c r="M217" s="424">
        <v>0</v>
      </c>
      <c r="N217" s="424">
        <v>29046000</v>
      </c>
      <c r="O217" s="546">
        <f t="shared" si="3"/>
        <v>0</v>
      </c>
      <c r="P217" s="262"/>
      <c r="Q217" s="262"/>
      <c r="R217" s="262"/>
    </row>
    <row r="218" spans="1:18" s="60" customFormat="1" ht="40.5" customHeight="1" x14ac:dyDescent="0.2">
      <c r="A218" s="478"/>
      <c r="B218" s="273"/>
      <c r="C218" s="493"/>
      <c r="D218" s="326"/>
      <c r="E218" s="327"/>
      <c r="F218" s="338"/>
      <c r="G218" s="332"/>
      <c r="H218" s="141" t="s">
        <v>262</v>
      </c>
      <c r="I218" s="107">
        <v>29046000</v>
      </c>
      <c r="J218" s="107">
        <v>0</v>
      </c>
      <c r="K218" s="107">
        <v>0</v>
      </c>
      <c r="L218" s="107">
        <v>0</v>
      </c>
      <c r="M218" s="107">
        <v>0</v>
      </c>
      <c r="N218" s="107">
        <v>29046000</v>
      </c>
      <c r="O218" s="549">
        <f t="shared" si="3"/>
        <v>0</v>
      </c>
      <c r="P218" s="262"/>
      <c r="Q218" s="262"/>
      <c r="R218" s="262"/>
    </row>
    <row r="219" spans="1:18" s="60" customFormat="1" ht="27.75" customHeight="1" x14ac:dyDescent="0.2">
      <c r="A219" s="236"/>
      <c r="B219" s="273"/>
      <c r="C219" s="493"/>
      <c r="D219" s="326"/>
      <c r="E219" s="327"/>
      <c r="F219" s="434">
        <v>48</v>
      </c>
      <c r="G219" s="432" t="s">
        <v>407</v>
      </c>
      <c r="H219" s="423"/>
      <c r="I219" s="424">
        <v>15844597469</v>
      </c>
      <c r="J219" s="424">
        <v>15516775294.75</v>
      </c>
      <c r="K219" s="424">
        <v>15516775294.75</v>
      </c>
      <c r="L219" s="424">
        <v>15516775294.75</v>
      </c>
      <c r="M219" s="424">
        <v>15516775294.75</v>
      </c>
      <c r="N219" s="424">
        <v>327822174.25</v>
      </c>
      <c r="O219" s="546">
        <f t="shared" si="3"/>
        <v>0.97931016077300892</v>
      </c>
      <c r="P219" s="262"/>
      <c r="Q219" s="262"/>
      <c r="R219" s="262"/>
    </row>
    <row r="220" spans="1:18" s="60" customFormat="1" ht="50.25" customHeight="1" x14ac:dyDescent="0.2">
      <c r="A220" s="236"/>
      <c r="B220" s="273"/>
      <c r="C220" s="493"/>
      <c r="D220" s="326"/>
      <c r="E220" s="333"/>
      <c r="F220" s="316"/>
      <c r="G220" s="317"/>
      <c r="H220" s="564" t="s">
        <v>262</v>
      </c>
      <c r="I220" s="107">
        <v>5158342835</v>
      </c>
      <c r="J220" s="107">
        <v>4831035878</v>
      </c>
      <c r="K220" s="107">
        <v>4831035878</v>
      </c>
      <c r="L220" s="107">
        <v>4831035878</v>
      </c>
      <c r="M220" s="107">
        <v>4831035878</v>
      </c>
      <c r="N220" s="107">
        <v>327306957</v>
      </c>
      <c r="O220" s="549">
        <f t="shared" si="3"/>
        <v>0.93654804120827695</v>
      </c>
      <c r="P220" s="262"/>
      <c r="Q220" s="262"/>
      <c r="R220" s="262"/>
    </row>
    <row r="221" spans="1:18" s="60" customFormat="1" ht="50.25" customHeight="1" x14ac:dyDescent="0.2">
      <c r="A221" s="401"/>
      <c r="B221" s="273"/>
      <c r="C221" s="493"/>
      <c r="D221" s="326"/>
      <c r="E221" s="333"/>
      <c r="F221" s="318"/>
      <c r="G221" s="317"/>
      <c r="H221" s="566"/>
      <c r="I221" s="303">
        <v>10685739425</v>
      </c>
      <c r="J221" s="303">
        <v>10685739416.75</v>
      </c>
      <c r="K221" s="303">
        <v>10685739416.75</v>
      </c>
      <c r="L221" s="303">
        <v>10685739416.75</v>
      </c>
      <c r="M221" s="303">
        <v>10685739416.75</v>
      </c>
      <c r="N221" s="107">
        <v>8.25</v>
      </c>
      <c r="O221" s="549">
        <f t="shared" si="3"/>
        <v>0.99999999922794303</v>
      </c>
      <c r="P221" s="262"/>
      <c r="Q221" s="262"/>
      <c r="R221" s="262"/>
    </row>
    <row r="222" spans="1:18" s="60" customFormat="1" ht="50.25" customHeight="1" x14ac:dyDescent="0.2">
      <c r="A222" s="236"/>
      <c r="B222" s="273"/>
      <c r="C222" s="493"/>
      <c r="D222" s="326"/>
      <c r="E222" s="333"/>
      <c r="F222" s="319"/>
      <c r="G222" s="317"/>
      <c r="H222" s="565"/>
      <c r="I222" s="107">
        <v>515209</v>
      </c>
      <c r="J222" s="107">
        <v>0</v>
      </c>
      <c r="K222" s="107">
        <v>0</v>
      </c>
      <c r="L222" s="107">
        <v>0</v>
      </c>
      <c r="M222" s="107">
        <v>0</v>
      </c>
      <c r="N222" s="107">
        <v>515209</v>
      </c>
      <c r="O222" s="549">
        <f t="shared" si="3"/>
        <v>0</v>
      </c>
      <c r="P222" s="262"/>
      <c r="Q222" s="262"/>
      <c r="R222" s="262"/>
    </row>
    <row r="223" spans="1:18" s="60" customFormat="1" ht="27.75" customHeight="1" x14ac:dyDescent="0.2">
      <c r="A223" s="236"/>
      <c r="B223" s="273"/>
      <c r="C223" s="493"/>
      <c r="D223" s="326"/>
      <c r="E223" s="327"/>
      <c r="F223" s="433">
        <v>49</v>
      </c>
      <c r="G223" s="432" t="s">
        <v>408</v>
      </c>
      <c r="H223" s="423"/>
      <c r="I223" s="424">
        <v>20913120</v>
      </c>
      <c r="J223" s="424">
        <v>0</v>
      </c>
      <c r="K223" s="424">
        <v>0</v>
      </c>
      <c r="L223" s="424">
        <v>0</v>
      </c>
      <c r="M223" s="424">
        <v>0</v>
      </c>
      <c r="N223" s="424">
        <v>20913120</v>
      </c>
      <c r="O223" s="546">
        <f t="shared" si="3"/>
        <v>0</v>
      </c>
      <c r="P223" s="262"/>
      <c r="Q223" s="262"/>
      <c r="R223" s="262"/>
    </row>
    <row r="224" spans="1:18" s="60" customFormat="1" ht="55.5" customHeight="1" x14ac:dyDescent="0.2">
      <c r="A224" s="478"/>
      <c r="B224" s="273"/>
      <c r="C224" s="493"/>
      <c r="D224" s="326"/>
      <c r="E224" s="333"/>
      <c r="F224" s="319"/>
      <c r="G224" s="320"/>
      <c r="H224" s="141" t="s">
        <v>262</v>
      </c>
      <c r="I224" s="108">
        <v>20913120</v>
      </c>
      <c r="J224" s="108">
        <v>0</v>
      </c>
      <c r="K224" s="108">
        <v>0</v>
      </c>
      <c r="L224" s="108">
        <v>0</v>
      </c>
      <c r="M224" s="108">
        <v>0</v>
      </c>
      <c r="N224" s="108">
        <v>20913120</v>
      </c>
      <c r="O224" s="550">
        <f t="shared" si="3"/>
        <v>0</v>
      </c>
      <c r="P224" s="262"/>
      <c r="Q224" s="262"/>
      <c r="R224" s="262"/>
    </row>
    <row r="225" spans="1:18" s="60" customFormat="1" ht="27.75" customHeight="1" x14ac:dyDescent="0.2">
      <c r="A225" s="236"/>
      <c r="B225" s="273"/>
      <c r="C225" s="493"/>
      <c r="D225" s="445">
        <v>14</v>
      </c>
      <c r="E225" s="363" t="s">
        <v>409</v>
      </c>
      <c r="F225" s="337"/>
      <c r="G225" s="325"/>
      <c r="H225" s="256"/>
      <c r="I225" s="257">
        <v>24881914809</v>
      </c>
      <c r="J225" s="257">
        <v>22644692844</v>
      </c>
      <c r="K225" s="257">
        <v>22644692844</v>
      </c>
      <c r="L225" s="257">
        <v>21902999754</v>
      </c>
      <c r="M225" s="257">
        <v>21902999754</v>
      </c>
      <c r="N225" s="257">
        <v>2237221965</v>
      </c>
      <c r="O225" s="545">
        <f t="shared" si="3"/>
        <v>0.91008642292309527</v>
      </c>
      <c r="P225" s="262"/>
      <c r="Q225" s="262"/>
      <c r="R225" s="262"/>
    </row>
    <row r="226" spans="1:18" s="60" customFormat="1" ht="29.25" customHeight="1" x14ac:dyDescent="0.2">
      <c r="A226" s="236"/>
      <c r="B226" s="273"/>
      <c r="C226" s="493"/>
      <c r="D226" s="312"/>
      <c r="E226" s="313"/>
      <c r="F226" s="434">
        <v>50</v>
      </c>
      <c r="G226" s="432" t="s">
        <v>410</v>
      </c>
      <c r="H226" s="423"/>
      <c r="I226" s="424">
        <v>23934311049</v>
      </c>
      <c r="J226" s="424">
        <v>22333581053</v>
      </c>
      <c r="K226" s="424">
        <v>22333581053</v>
      </c>
      <c r="L226" s="424">
        <v>21618888053</v>
      </c>
      <c r="M226" s="424">
        <v>21618888053</v>
      </c>
      <c r="N226" s="424">
        <v>1600729996</v>
      </c>
      <c r="O226" s="546">
        <f t="shared" si="3"/>
        <v>0.93311986324892016</v>
      </c>
      <c r="P226" s="262"/>
      <c r="Q226" s="262"/>
      <c r="R226" s="262"/>
    </row>
    <row r="227" spans="1:18" s="60" customFormat="1" ht="55.5" customHeight="1" x14ac:dyDescent="0.2">
      <c r="A227" s="236"/>
      <c r="B227" s="273"/>
      <c r="C227" s="493"/>
      <c r="D227" s="326"/>
      <c r="E227" s="327"/>
      <c r="F227" s="338"/>
      <c r="G227" s="317"/>
      <c r="H227" s="564" t="s">
        <v>261</v>
      </c>
      <c r="I227" s="107">
        <v>2846900107</v>
      </c>
      <c r="J227" s="107">
        <v>2846899607</v>
      </c>
      <c r="K227" s="107">
        <v>2846899607</v>
      </c>
      <c r="L227" s="107">
        <v>2846899607</v>
      </c>
      <c r="M227" s="107">
        <v>2846899607</v>
      </c>
      <c r="N227" s="107">
        <v>500</v>
      </c>
      <c r="O227" s="549">
        <f t="shared" si="3"/>
        <v>0.99999982437037438</v>
      </c>
      <c r="P227" s="262"/>
      <c r="Q227" s="262"/>
      <c r="R227" s="262"/>
    </row>
    <row r="228" spans="1:18" s="60" customFormat="1" ht="55.5" customHeight="1" x14ac:dyDescent="0.2">
      <c r="A228" s="236"/>
      <c r="B228" s="273"/>
      <c r="C228" s="493"/>
      <c r="D228" s="326"/>
      <c r="E228" s="327"/>
      <c r="F228" s="339"/>
      <c r="G228" s="317"/>
      <c r="H228" s="566"/>
      <c r="I228" s="107">
        <v>68256639</v>
      </c>
      <c r="J228" s="107">
        <v>0</v>
      </c>
      <c r="K228" s="107">
        <v>0</v>
      </c>
      <c r="L228" s="107">
        <v>0</v>
      </c>
      <c r="M228" s="107">
        <v>0</v>
      </c>
      <c r="N228" s="107">
        <v>68256639</v>
      </c>
      <c r="O228" s="549">
        <f t="shared" si="3"/>
        <v>0</v>
      </c>
      <c r="P228" s="262"/>
      <c r="Q228" s="262"/>
      <c r="R228" s="262"/>
    </row>
    <row r="229" spans="1:18" s="60" customFormat="1" ht="65.25" customHeight="1" x14ac:dyDescent="0.2">
      <c r="A229" s="236"/>
      <c r="B229" s="273"/>
      <c r="C229" s="493"/>
      <c r="D229" s="326"/>
      <c r="E229" s="327"/>
      <c r="F229" s="339"/>
      <c r="G229" s="317"/>
      <c r="H229" s="566"/>
      <c r="I229" s="107">
        <v>230152900</v>
      </c>
      <c r="J229" s="107">
        <v>230152900</v>
      </c>
      <c r="K229" s="107">
        <v>230152900</v>
      </c>
      <c r="L229" s="107">
        <v>230152900</v>
      </c>
      <c r="M229" s="107">
        <v>230152900</v>
      </c>
      <c r="N229" s="107">
        <v>0</v>
      </c>
      <c r="O229" s="549">
        <f t="shared" si="3"/>
        <v>1</v>
      </c>
      <c r="P229" s="262"/>
      <c r="Q229" s="262"/>
      <c r="R229" s="262"/>
    </row>
    <row r="230" spans="1:18" s="60" customFormat="1" ht="65.25" customHeight="1" x14ac:dyDescent="0.2">
      <c r="A230" s="236"/>
      <c r="B230" s="273"/>
      <c r="C230" s="493"/>
      <c r="D230" s="326"/>
      <c r="E230" s="327"/>
      <c r="F230" s="339"/>
      <c r="G230" s="317"/>
      <c r="H230" s="566"/>
      <c r="I230" s="107">
        <v>1041292626</v>
      </c>
      <c r="J230" s="107">
        <v>658816635</v>
      </c>
      <c r="K230" s="107">
        <v>658816635</v>
      </c>
      <c r="L230" s="107">
        <v>601773635</v>
      </c>
      <c r="M230" s="107">
        <v>601773635</v>
      </c>
      <c r="N230" s="107">
        <v>382475991</v>
      </c>
      <c r="O230" s="549">
        <f t="shared" si="3"/>
        <v>0.63269115573281698</v>
      </c>
      <c r="P230" s="262"/>
      <c r="Q230" s="262"/>
      <c r="R230" s="262"/>
    </row>
    <row r="231" spans="1:18" s="60" customFormat="1" ht="65.25" customHeight="1" x14ac:dyDescent="0.2">
      <c r="A231" s="236"/>
      <c r="B231" s="273"/>
      <c r="C231" s="493"/>
      <c r="D231" s="326"/>
      <c r="E231" s="327"/>
      <c r="F231" s="339"/>
      <c r="G231" s="317"/>
      <c r="H231" s="566"/>
      <c r="I231" s="107">
        <v>709767</v>
      </c>
      <c r="J231" s="107">
        <v>709767</v>
      </c>
      <c r="K231" s="107">
        <v>709767</v>
      </c>
      <c r="L231" s="107">
        <v>709767</v>
      </c>
      <c r="M231" s="107">
        <v>709767</v>
      </c>
      <c r="N231" s="107">
        <v>0</v>
      </c>
      <c r="O231" s="549">
        <f t="shared" si="3"/>
        <v>1</v>
      </c>
      <c r="P231" s="262"/>
      <c r="Q231" s="262"/>
      <c r="R231" s="262"/>
    </row>
    <row r="232" spans="1:18" s="60" customFormat="1" ht="65.25" customHeight="1" x14ac:dyDescent="0.2">
      <c r="A232" s="236"/>
      <c r="B232" s="273"/>
      <c r="C232" s="493"/>
      <c r="D232" s="326"/>
      <c r="E232" s="327"/>
      <c r="F232" s="339"/>
      <c r="G232" s="317"/>
      <c r="H232" s="566"/>
      <c r="I232" s="107">
        <v>472655337</v>
      </c>
      <c r="J232" s="107">
        <v>472655337</v>
      </c>
      <c r="K232" s="107">
        <v>472655337</v>
      </c>
      <c r="L232" s="107">
        <v>472655337</v>
      </c>
      <c r="M232" s="107">
        <v>472655337</v>
      </c>
      <c r="N232" s="107">
        <v>0</v>
      </c>
      <c r="O232" s="549">
        <f t="shared" si="3"/>
        <v>1</v>
      </c>
      <c r="P232" s="262"/>
      <c r="Q232" s="262"/>
      <c r="R232" s="262"/>
    </row>
    <row r="233" spans="1:18" s="60" customFormat="1" ht="65.25" customHeight="1" x14ac:dyDescent="0.2">
      <c r="A233" s="236"/>
      <c r="B233" s="273"/>
      <c r="C233" s="493"/>
      <c r="D233" s="326"/>
      <c r="E233" s="327"/>
      <c r="F233" s="339"/>
      <c r="G233" s="317"/>
      <c r="H233" s="566"/>
      <c r="I233" s="107">
        <v>2723748736</v>
      </c>
      <c r="J233" s="107">
        <v>2274102009</v>
      </c>
      <c r="K233" s="107">
        <v>2274102009</v>
      </c>
      <c r="L233" s="107">
        <v>2274102009</v>
      </c>
      <c r="M233" s="107">
        <v>2274102009</v>
      </c>
      <c r="N233" s="107">
        <v>449646727</v>
      </c>
      <c r="O233" s="549">
        <f t="shared" si="3"/>
        <v>0.83491622371146645</v>
      </c>
      <c r="P233" s="262"/>
      <c r="Q233" s="262"/>
      <c r="R233" s="262"/>
    </row>
    <row r="234" spans="1:18" s="60" customFormat="1" ht="65.25" customHeight="1" x14ac:dyDescent="0.2">
      <c r="A234" s="236"/>
      <c r="B234" s="273"/>
      <c r="C234" s="493"/>
      <c r="D234" s="326"/>
      <c r="E234" s="327"/>
      <c r="F234" s="339"/>
      <c r="G234" s="317"/>
      <c r="H234" s="566"/>
      <c r="I234" s="107">
        <v>4083329333</v>
      </c>
      <c r="J234" s="107">
        <v>3555168752</v>
      </c>
      <c r="K234" s="107">
        <v>3555168752</v>
      </c>
      <c r="L234" s="107">
        <v>2897518752</v>
      </c>
      <c r="M234" s="107">
        <v>2897518752</v>
      </c>
      <c r="N234" s="107">
        <v>528160581</v>
      </c>
      <c r="O234" s="549">
        <f t="shared" si="3"/>
        <v>0.87065442487540845</v>
      </c>
      <c r="P234" s="262"/>
      <c r="Q234" s="262"/>
      <c r="R234" s="262"/>
    </row>
    <row r="235" spans="1:18" s="60" customFormat="1" ht="65.25" customHeight="1" x14ac:dyDescent="0.2">
      <c r="A235" s="236"/>
      <c r="B235" s="273"/>
      <c r="C235" s="493"/>
      <c r="D235" s="326"/>
      <c r="E235" s="327"/>
      <c r="F235" s="339"/>
      <c r="G235" s="317"/>
      <c r="H235" s="566"/>
      <c r="I235" s="107">
        <v>3775114443</v>
      </c>
      <c r="J235" s="107">
        <v>3775114443</v>
      </c>
      <c r="K235" s="107">
        <v>3775114443</v>
      </c>
      <c r="L235" s="107">
        <v>3775114443</v>
      </c>
      <c r="M235" s="107">
        <v>3775114443</v>
      </c>
      <c r="N235" s="107">
        <v>0</v>
      </c>
      <c r="O235" s="549">
        <f t="shared" si="3"/>
        <v>1</v>
      </c>
      <c r="P235" s="262"/>
      <c r="Q235" s="262"/>
      <c r="R235" s="262"/>
    </row>
    <row r="236" spans="1:18" s="60" customFormat="1" ht="65.25" customHeight="1" x14ac:dyDescent="0.2">
      <c r="A236" s="236"/>
      <c r="B236" s="273"/>
      <c r="C236" s="493"/>
      <c r="D236" s="326"/>
      <c r="E236" s="327"/>
      <c r="F236" s="339"/>
      <c r="G236" s="317"/>
      <c r="H236" s="566"/>
      <c r="I236" s="107">
        <v>2292876</v>
      </c>
      <c r="J236" s="107">
        <v>0</v>
      </c>
      <c r="K236" s="107">
        <v>0</v>
      </c>
      <c r="L236" s="107">
        <v>0</v>
      </c>
      <c r="M236" s="107">
        <v>0</v>
      </c>
      <c r="N236" s="107">
        <v>2292876</v>
      </c>
      <c r="O236" s="549">
        <f t="shared" si="3"/>
        <v>0</v>
      </c>
      <c r="P236" s="262"/>
      <c r="Q236" s="262"/>
      <c r="R236" s="262"/>
    </row>
    <row r="237" spans="1:18" s="60" customFormat="1" ht="65.25" customHeight="1" x14ac:dyDescent="0.2">
      <c r="A237" s="236"/>
      <c r="B237" s="273"/>
      <c r="C237" s="493"/>
      <c r="D237" s="326"/>
      <c r="E237" s="327"/>
      <c r="F237" s="339"/>
      <c r="G237" s="317"/>
      <c r="H237" s="566"/>
      <c r="I237" s="107">
        <v>4059288097</v>
      </c>
      <c r="J237" s="107">
        <v>4059288097</v>
      </c>
      <c r="K237" s="107">
        <v>4059288097</v>
      </c>
      <c r="L237" s="107">
        <v>4059288097</v>
      </c>
      <c r="M237" s="107">
        <v>4059288097</v>
      </c>
      <c r="N237" s="107">
        <v>0</v>
      </c>
      <c r="O237" s="549">
        <f t="shared" si="3"/>
        <v>1</v>
      </c>
      <c r="P237" s="262"/>
      <c r="Q237" s="262"/>
      <c r="R237" s="262"/>
    </row>
    <row r="238" spans="1:18" s="60" customFormat="1" ht="65.25" customHeight="1" x14ac:dyDescent="0.2">
      <c r="A238" s="236"/>
      <c r="B238" s="273"/>
      <c r="C238" s="493"/>
      <c r="D238" s="326"/>
      <c r="E238" s="327"/>
      <c r="F238" s="339"/>
      <c r="G238" s="317"/>
      <c r="H238" s="566"/>
      <c r="I238" s="107">
        <v>1891570188</v>
      </c>
      <c r="J238" s="107">
        <v>1891570188</v>
      </c>
      <c r="K238" s="107">
        <v>1891570188</v>
      </c>
      <c r="L238" s="107">
        <v>1891570188</v>
      </c>
      <c r="M238" s="107">
        <v>1891570188</v>
      </c>
      <c r="N238" s="107">
        <v>0</v>
      </c>
      <c r="O238" s="549">
        <f t="shared" si="3"/>
        <v>1</v>
      </c>
      <c r="P238" s="262"/>
      <c r="Q238" s="262"/>
      <c r="R238" s="262"/>
    </row>
    <row r="239" spans="1:18" s="60" customFormat="1" ht="65.25" customHeight="1" x14ac:dyDescent="0.2">
      <c r="A239" s="236"/>
      <c r="B239" s="273"/>
      <c r="C239" s="493"/>
      <c r="D239" s="326"/>
      <c r="E239" s="327"/>
      <c r="F239" s="339"/>
      <c r="G239" s="317"/>
      <c r="H239" s="566"/>
      <c r="I239" s="107">
        <v>300000000</v>
      </c>
      <c r="J239" s="107">
        <v>300000000</v>
      </c>
      <c r="K239" s="107">
        <v>300000000</v>
      </c>
      <c r="L239" s="107">
        <v>300000000</v>
      </c>
      <c r="M239" s="107">
        <v>300000000</v>
      </c>
      <c r="N239" s="107">
        <v>0</v>
      </c>
      <c r="O239" s="549">
        <f t="shared" si="3"/>
        <v>1</v>
      </c>
      <c r="P239" s="262"/>
      <c r="Q239" s="262"/>
      <c r="R239" s="262"/>
    </row>
    <row r="240" spans="1:18" s="60" customFormat="1" ht="65.25" customHeight="1" x14ac:dyDescent="0.2">
      <c r="A240" s="478"/>
      <c r="B240" s="273"/>
      <c r="C240" s="493"/>
      <c r="D240" s="326"/>
      <c r="E240" s="327"/>
      <c r="F240" s="339"/>
      <c r="G240" s="317"/>
      <c r="H240" s="566"/>
      <c r="I240" s="107">
        <v>600000000</v>
      </c>
      <c r="J240" s="107">
        <v>600000000</v>
      </c>
      <c r="K240" s="107">
        <v>600000000</v>
      </c>
      <c r="L240" s="107">
        <v>600000000</v>
      </c>
      <c r="M240" s="107">
        <v>600000000</v>
      </c>
      <c r="N240" s="107"/>
      <c r="O240" s="549">
        <f t="shared" si="3"/>
        <v>1</v>
      </c>
      <c r="P240" s="262"/>
      <c r="Q240" s="262"/>
      <c r="R240" s="262"/>
    </row>
    <row r="241" spans="1:18" s="60" customFormat="1" ht="65.25" customHeight="1" x14ac:dyDescent="0.2">
      <c r="A241" s="236"/>
      <c r="B241" s="273"/>
      <c r="C241" s="493"/>
      <c r="D241" s="326"/>
      <c r="E241" s="327"/>
      <c r="F241" s="339"/>
      <c r="G241" s="317"/>
      <c r="H241" s="566"/>
      <c r="I241" s="107">
        <v>1339000000</v>
      </c>
      <c r="J241" s="107">
        <v>1169103318</v>
      </c>
      <c r="K241" s="107">
        <v>1169103318</v>
      </c>
      <c r="L241" s="107">
        <v>1169103318</v>
      </c>
      <c r="M241" s="107">
        <v>1169103318</v>
      </c>
      <c r="N241" s="107">
        <v>169896682</v>
      </c>
      <c r="O241" s="549">
        <f t="shared" si="3"/>
        <v>0.87311674234503356</v>
      </c>
      <c r="P241" s="262"/>
      <c r="Q241" s="262"/>
      <c r="R241" s="262"/>
    </row>
    <row r="242" spans="1:18" s="60" customFormat="1" ht="65.25" customHeight="1" x14ac:dyDescent="0.2">
      <c r="A242" s="236"/>
      <c r="B242" s="273"/>
      <c r="C242" s="493"/>
      <c r="D242" s="326"/>
      <c r="E242" s="327"/>
      <c r="F242" s="340"/>
      <c r="G242" s="317"/>
      <c r="H242" s="565"/>
      <c r="I242" s="107">
        <v>500000000</v>
      </c>
      <c r="J242" s="107">
        <v>500000000</v>
      </c>
      <c r="K242" s="107">
        <v>500000000</v>
      </c>
      <c r="L242" s="107">
        <v>500000000</v>
      </c>
      <c r="M242" s="107">
        <v>500000000</v>
      </c>
      <c r="N242" s="107">
        <v>0</v>
      </c>
      <c r="O242" s="549">
        <f t="shared" ref="O242:O305" si="4">K242/I242</f>
        <v>1</v>
      </c>
      <c r="P242" s="262"/>
      <c r="Q242" s="262"/>
      <c r="R242" s="262"/>
    </row>
    <row r="243" spans="1:18" s="60" customFormat="1" ht="27.75" customHeight="1" x14ac:dyDescent="0.2">
      <c r="A243" s="236"/>
      <c r="B243" s="273"/>
      <c r="C243" s="493"/>
      <c r="D243" s="326"/>
      <c r="E243" s="327"/>
      <c r="F243" s="435">
        <v>51</v>
      </c>
      <c r="G243" s="432" t="s">
        <v>411</v>
      </c>
      <c r="H243" s="423"/>
      <c r="I243" s="424">
        <v>44149920</v>
      </c>
      <c r="J243" s="424">
        <v>43560000</v>
      </c>
      <c r="K243" s="424">
        <v>43560000</v>
      </c>
      <c r="L243" s="424">
        <v>43560000</v>
      </c>
      <c r="M243" s="424">
        <v>43560000</v>
      </c>
      <c r="N243" s="424">
        <v>589920</v>
      </c>
      <c r="O243" s="546">
        <f t="shared" si="4"/>
        <v>0.98663825438415287</v>
      </c>
      <c r="P243" s="262"/>
      <c r="Q243" s="262"/>
      <c r="R243" s="262"/>
    </row>
    <row r="244" spans="1:18" s="60" customFormat="1" ht="48" customHeight="1" x14ac:dyDescent="0.2">
      <c r="A244" s="236"/>
      <c r="B244" s="273"/>
      <c r="C244" s="493"/>
      <c r="D244" s="326"/>
      <c r="E244" s="327"/>
      <c r="F244" s="331"/>
      <c r="G244" s="332"/>
      <c r="H244" s="141" t="s">
        <v>260</v>
      </c>
      <c r="I244" s="107">
        <v>44149920</v>
      </c>
      <c r="J244" s="107">
        <v>43560000</v>
      </c>
      <c r="K244" s="107">
        <v>43560000</v>
      </c>
      <c r="L244" s="107">
        <v>43560000</v>
      </c>
      <c r="M244" s="107">
        <v>43560000</v>
      </c>
      <c r="N244" s="107">
        <v>589920</v>
      </c>
      <c r="O244" s="549">
        <f t="shared" si="4"/>
        <v>0.98663825438415287</v>
      </c>
      <c r="P244" s="262"/>
      <c r="Q244" s="262"/>
      <c r="R244" s="262"/>
    </row>
    <row r="245" spans="1:18" s="60" customFormat="1" ht="27.75" customHeight="1" x14ac:dyDescent="0.2">
      <c r="A245" s="236"/>
      <c r="B245" s="273"/>
      <c r="C245" s="493"/>
      <c r="D245" s="326"/>
      <c r="E245" s="327"/>
      <c r="F245" s="434">
        <v>52</v>
      </c>
      <c r="G245" s="432" t="s">
        <v>412</v>
      </c>
      <c r="H245" s="423"/>
      <c r="I245" s="424">
        <v>844200000</v>
      </c>
      <c r="J245" s="424">
        <v>226985124</v>
      </c>
      <c r="K245" s="424">
        <v>226985124</v>
      </c>
      <c r="L245" s="424">
        <v>199985034</v>
      </c>
      <c r="M245" s="424">
        <v>199985034</v>
      </c>
      <c r="N245" s="424">
        <v>617214876</v>
      </c>
      <c r="O245" s="546">
        <f t="shared" si="4"/>
        <v>0.26887600568585646</v>
      </c>
      <c r="P245" s="262"/>
      <c r="Q245" s="262"/>
      <c r="R245" s="262"/>
    </row>
    <row r="246" spans="1:18" s="60" customFormat="1" ht="41.25" customHeight="1" x14ac:dyDescent="0.2">
      <c r="A246" s="236"/>
      <c r="B246" s="273"/>
      <c r="C246" s="493"/>
      <c r="D246" s="326"/>
      <c r="E246" s="333"/>
      <c r="F246" s="316"/>
      <c r="G246" s="317"/>
      <c r="H246" s="141" t="s">
        <v>259</v>
      </c>
      <c r="I246" s="107">
        <v>138195556</v>
      </c>
      <c r="J246" s="107">
        <v>1900000</v>
      </c>
      <c r="K246" s="107">
        <v>1900000</v>
      </c>
      <c r="L246" s="107">
        <v>1900000</v>
      </c>
      <c r="M246" s="107">
        <v>1900000</v>
      </c>
      <c r="N246" s="107">
        <v>136295556</v>
      </c>
      <c r="O246" s="549">
        <f t="shared" si="4"/>
        <v>1.3748633132602325E-2</v>
      </c>
      <c r="P246" s="262"/>
      <c r="Q246" s="262"/>
      <c r="R246" s="262"/>
    </row>
    <row r="247" spans="1:18" s="60" customFormat="1" ht="41.25" customHeight="1" x14ac:dyDescent="0.2">
      <c r="A247" s="236"/>
      <c r="B247" s="273"/>
      <c r="C247" s="493"/>
      <c r="D247" s="326"/>
      <c r="E247" s="333"/>
      <c r="F247" s="318"/>
      <c r="G247" s="317"/>
      <c r="H247" s="564" t="s">
        <v>258</v>
      </c>
      <c r="I247" s="107">
        <v>6004444</v>
      </c>
      <c r="J247" s="107">
        <v>0</v>
      </c>
      <c r="K247" s="107">
        <v>0</v>
      </c>
      <c r="L247" s="107">
        <v>0</v>
      </c>
      <c r="M247" s="107">
        <v>0</v>
      </c>
      <c r="N247" s="107">
        <v>6004444</v>
      </c>
      <c r="O247" s="549">
        <f t="shared" si="4"/>
        <v>0</v>
      </c>
      <c r="P247" s="262"/>
      <c r="Q247" s="262"/>
      <c r="R247" s="262"/>
    </row>
    <row r="248" spans="1:18" s="60" customFormat="1" ht="41.25" customHeight="1" x14ac:dyDescent="0.2">
      <c r="A248" s="236"/>
      <c r="B248" s="273"/>
      <c r="C248" s="493"/>
      <c r="D248" s="326"/>
      <c r="E248" s="333"/>
      <c r="F248" s="318"/>
      <c r="G248" s="317"/>
      <c r="H248" s="566"/>
      <c r="I248" s="107">
        <v>300000000</v>
      </c>
      <c r="J248" s="107">
        <v>108085124</v>
      </c>
      <c r="K248" s="107">
        <v>108085124</v>
      </c>
      <c r="L248" s="107">
        <v>93085034</v>
      </c>
      <c r="M248" s="107">
        <v>93085034</v>
      </c>
      <c r="N248" s="107">
        <v>191914876</v>
      </c>
      <c r="O248" s="549">
        <f t="shared" si="4"/>
        <v>0.36028374666666668</v>
      </c>
      <c r="P248" s="262"/>
      <c r="Q248" s="262"/>
      <c r="R248" s="262"/>
    </row>
    <row r="249" spans="1:18" s="60" customFormat="1" ht="41.25" customHeight="1" x14ac:dyDescent="0.2">
      <c r="A249" s="236"/>
      <c r="B249" s="273"/>
      <c r="C249" s="493"/>
      <c r="D249" s="326"/>
      <c r="E249" s="333"/>
      <c r="F249" s="318"/>
      <c r="G249" s="317"/>
      <c r="H249" s="565"/>
      <c r="I249" s="107">
        <v>400000000</v>
      </c>
      <c r="J249" s="107">
        <v>117000000</v>
      </c>
      <c r="K249" s="107">
        <v>117000000</v>
      </c>
      <c r="L249" s="107">
        <v>105000000</v>
      </c>
      <c r="M249" s="107">
        <v>105000000</v>
      </c>
      <c r="N249" s="107">
        <v>283000000</v>
      </c>
      <c r="O249" s="549">
        <f t="shared" si="4"/>
        <v>0.29249999999999998</v>
      </c>
      <c r="P249" s="262"/>
      <c r="Q249" s="262"/>
      <c r="R249" s="262"/>
    </row>
    <row r="250" spans="1:18" s="60" customFormat="1" ht="27.75" customHeight="1" x14ac:dyDescent="0.2">
      <c r="A250" s="236"/>
      <c r="B250" s="273"/>
      <c r="C250" s="493"/>
      <c r="D250" s="326"/>
      <c r="E250" s="327"/>
      <c r="F250" s="436">
        <v>53</v>
      </c>
      <c r="G250" s="432" t="s">
        <v>413</v>
      </c>
      <c r="H250" s="423"/>
      <c r="I250" s="424">
        <v>35436120</v>
      </c>
      <c r="J250" s="424">
        <v>19566667</v>
      </c>
      <c r="K250" s="424">
        <v>19566667</v>
      </c>
      <c r="L250" s="424">
        <v>19566667</v>
      </c>
      <c r="M250" s="424">
        <v>19566667</v>
      </c>
      <c r="N250" s="424">
        <v>15869453</v>
      </c>
      <c r="O250" s="546">
        <f t="shared" si="4"/>
        <v>0.55216730838477801</v>
      </c>
      <c r="P250" s="262"/>
      <c r="Q250" s="262"/>
      <c r="R250" s="262"/>
    </row>
    <row r="251" spans="1:18" s="60" customFormat="1" ht="48.75" customHeight="1" x14ac:dyDescent="0.2">
      <c r="A251" s="236"/>
      <c r="B251" s="273"/>
      <c r="C251" s="493"/>
      <c r="D251" s="326"/>
      <c r="E251" s="327"/>
      <c r="F251" s="331"/>
      <c r="G251" s="332"/>
      <c r="H251" s="141" t="s">
        <v>257</v>
      </c>
      <c r="I251" s="107">
        <v>35436120</v>
      </c>
      <c r="J251" s="107">
        <v>19566667</v>
      </c>
      <c r="K251" s="107">
        <v>19566667</v>
      </c>
      <c r="L251" s="107">
        <v>19566667</v>
      </c>
      <c r="M251" s="107">
        <v>19566667</v>
      </c>
      <c r="N251" s="107">
        <v>15869453</v>
      </c>
      <c r="O251" s="549">
        <f t="shared" si="4"/>
        <v>0.55216730838477801</v>
      </c>
      <c r="P251" s="262"/>
      <c r="Q251" s="262"/>
      <c r="R251" s="262"/>
    </row>
    <row r="252" spans="1:18" s="60" customFormat="1" ht="27.75" customHeight="1" x14ac:dyDescent="0.2">
      <c r="A252" s="236"/>
      <c r="B252" s="273"/>
      <c r="C252" s="493"/>
      <c r="D252" s="326"/>
      <c r="E252" s="327"/>
      <c r="F252" s="435">
        <v>54</v>
      </c>
      <c r="G252" s="432" t="s">
        <v>414</v>
      </c>
      <c r="H252" s="423"/>
      <c r="I252" s="424">
        <v>23817720</v>
      </c>
      <c r="J252" s="424">
        <v>21000000</v>
      </c>
      <c r="K252" s="424">
        <v>21000000</v>
      </c>
      <c r="L252" s="424">
        <v>21000000</v>
      </c>
      <c r="M252" s="424">
        <v>21000000</v>
      </c>
      <c r="N252" s="424">
        <v>2817720</v>
      </c>
      <c r="O252" s="546">
        <f t="shared" si="4"/>
        <v>0.88169648480207174</v>
      </c>
      <c r="P252" s="262"/>
      <c r="Q252" s="262"/>
      <c r="R252" s="262"/>
    </row>
    <row r="253" spans="1:18" s="60" customFormat="1" ht="50.25" customHeight="1" x14ac:dyDescent="0.2">
      <c r="A253" s="236"/>
      <c r="B253" s="273"/>
      <c r="C253" s="493"/>
      <c r="D253" s="326"/>
      <c r="E253" s="327"/>
      <c r="F253" s="331"/>
      <c r="G253" s="336"/>
      <c r="H253" s="141" t="s">
        <v>256</v>
      </c>
      <c r="I253" s="107">
        <v>23817720</v>
      </c>
      <c r="J253" s="107">
        <v>21000000</v>
      </c>
      <c r="K253" s="107">
        <v>21000000</v>
      </c>
      <c r="L253" s="107">
        <v>21000000</v>
      </c>
      <c r="M253" s="107">
        <v>21000000</v>
      </c>
      <c r="N253" s="107">
        <v>2817720</v>
      </c>
      <c r="O253" s="549">
        <f t="shared" si="4"/>
        <v>0.88169648480207174</v>
      </c>
      <c r="P253" s="262"/>
      <c r="Q253" s="262"/>
      <c r="R253" s="262"/>
    </row>
    <row r="254" spans="1:18" s="60" customFormat="1" ht="27.75" customHeight="1" x14ac:dyDescent="0.2">
      <c r="A254" s="236"/>
      <c r="B254" s="273"/>
      <c r="C254" s="493"/>
      <c r="D254" s="445">
        <v>15</v>
      </c>
      <c r="E254" s="446" t="s">
        <v>415</v>
      </c>
      <c r="F254" s="337"/>
      <c r="G254" s="325"/>
      <c r="H254" s="256"/>
      <c r="I254" s="257">
        <v>129545160</v>
      </c>
      <c r="J254" s="257">
        <v>119632000</v>
      </c>
      <c r="K254" s="257">
        <v>119632000</v>
      </c>
      <c r="L254" s="257">
        <v>119632000</v>
      </c>
      <c r="M254" s="257">
        <v>119632000</v>
      </c>
      <c r="N254" s="257">
        <v>9913160</v>
      </c>
      <c r="O254" s="545">
        <f t="shared" si="4"/>
        <v>0.92347718741479801</v>
      </c>
      <c r="P254" s="262"/>
      <c r="Q254" s="262"/>
      <c r="R254" s="262"/>
    </row>
    <row r="255" spans="1:18" s="60" customFormat="1" ht="27.75" customHeight="1" x14ac:dyDescent="0.2">
      <c r="A255" s="236"/>
      <c r="B255" s="273"/>
      <c r="C255" s="493"/>
      <c r="D255" s="312"/>
      <c r="E255" s="313"/>
      <c r="F255" s="435">
        <v>55</v>
      </c>
      <c r="G255" s="432" t="s">
        <v>416</v>
      </c>
      <c r="H255" s="423"/>
      <c r="I255" s="424">
        <v>129545160</v>
      </c>
      <c r="J255" s="424">
        <v>119632000</v>
      </c>
      <c r="K255" s="424">
        <v>119632000</v>
      </c>
      <c r="L255" s="424">
        <v>119632000</v>
      </c>
      <c r="M255" s="424">
        <v>119632000</v>
      </c>
      <c r="N255" s="424">
        <v>9913160</v>
      </c>
      <c r="O255" s="546">
        <f t="shared" si="4"/>
        <v>0.92347718741479801</v>
      </c>
      <c r="P255" s="262"/>
      <c r="Q255" s="262"/>
      <c r="R255" s="262"/>
    </row>
    <row r="256" spans="1:18" s="60" customFormat="1" ht="51.75" customHeight="1" x14ac:dyDescent="0.2">
      <c r="A256" s="236"/>
      <c r="B256" s="273"/>
      <c r="C256" s="493"/>
      <c r="D256" s="314"/>
      <c r="E256" s="334"/>
      <c r="F256" s="492"/>
      <c r="G256" s="492"/>
      <c r="H256" s="141" t="s">
        <v>255</v>
      </c>
      <c r="I256" s="107">
        <v>129545160</v>
      </c>
      <c r="J256" s="107">
        <v>119632000</v>
      </c>
      <c r="K256" s="107">
        <v>119632000</v>
      </c>
      <c r="L256" s="107">
        <v>119632000</v>
      </c>
      <c r="M256" s="107">
        <v>119632000</v>
      </c>
      <c r="N256" s="107">
        <v>9913160</v>
      </c>
      <c r="O256" s="549">
        <f t="shared" si="4"/>
        <v>0.92347718741479801</v>
      </c>
      <c r="P256" s="262"/>
      <c r="Q256" s="262"/>
      <c r="R256" s="262"/>
    </row>
    <row r="257" spans="1:18" s="60" customFormat="1" ht="27.75" customHeight="1" x14ac:dyDescent="0.2">
      <c r="A257" s="236"/>
      <c r="B257" s="273"/>
      <c r="C257" s="493"/>
      <c r="D257" s="341">
        <v>16</v>
      </c>
      <c r="E257" s="342" t="s">
        <v>417</v>
      </c>
      <c r="F257" s="447"/>
      <c r="G257" s="411"/>
      <c r="H257" s="256"/>
      <c r="I257" s="257">
        <v>300000000</v>
      </c>
      <c r="J257" s="257">
        <v>249546000</v>
      </c>
      <c r="K257" s="257">
        <v>249546000</v>
      </c>
      <c r="L257" s="257">
        <v>249209000</v>
      </c>
      <c r="M257" s="257">
        <v>249209000</v>
      </c>
      <c r="N257" s="257">
        <v>50454000</v>
      </c>
      <c r="O257" s="545">
        <f t="shared" si="4"/>
        <v>0.83182</v>
      </c>
      <c r="P257" s="262"/>
      <c r="Q257" s="262"/>
      <c r="R257" s="262"/>
    </row>
    <row r="258" spans="1:18" s="60" customFormat="1" ht="27.75" customHeight="1" x14ac:dyDescent="0.2">
      <c r="A258" s="236"/>
      <c r="B258" s="273"/>
      <c r="C258" s="493"/>
      <c r="D258" s="344"/>
      <c r="E258" s="345"/>
      <c r="F258" s="436">
        <v>56</v>
      </c>
      <c r="G258" s="432" t="s">
        <v>418</v>
      </c>
      <c r="H258" s="423"/>
      <c r="I258" s="424">
        <v>260000000</v>
      </c>
      <c r="J258" s="424">
        <v>249546000</v>
      </c>
      <c r="K258" s="424">
        <v>249546000</v>
      </c>
      <c r="L258" s="424">
        <v>249209000</v>
      </c>
      <c r="M258" s="424">
        <v>249209000</v>
      </c>
      <c r="N258" s="424">
        <v>10454000</v>
      </c>
      <c r="O258" s="546">
        <f t="shared" si="4"/>
        <v>0.95979230769230772</v>
      </c>
      <c r="P258" s="262"/>
      <c r="Q258" s="262"/>
      <c r="R258" s="262"/>
    </row>
    <row r="259" spans="1:18" s="60" customFormat="1" ht="50.25" customHeight="1" x14ac:dyDescent="0.2">
      <c r="A259" s="236"/>
      <c r="B259" s="273"/>
      <c r="C259" s="493"/>
      <c r="D259" s="346"/>
      <c r="E259" s="347"/>
      <c r="F259" s="348"/>
      <c r="G259" s="317"/>
      <c r="H259" s="561" t="s">
        <v>135</v>
      </c>
      <c r="I259" s="138">
        <v>60000000</v>
      </c>
      <c r="J259" s="138">
        <v>49796000</v>
      </c>
      <c r="K259" s="138">
        <v>49796000</v>
      </c>
      <c r="L259" s="138">
        <v>49459000</v>
      </c>
      <c r="M259" s="138">
        <v>49459000</v>
      </c>
      <c r="N259" s="139">
        <v>10204000</v>
      </c>
      <c r="O259" s="548">
        <f t="shared" si="4"/>
        <v>0.8299333333333333</v>
      </c>
      <c r="P259" s="262"/>
      <c r="Q259" s="262"/>
      <c r="R259" s="262"/>
    </row>
    <row r="260" spans="1:18" s="60" customFormat="1" ht="50.25" customHeight="1" x14ac:dyDescent="0.2">
      <c r="A260" s="236"/>
      <c r="B260" s="273"/>
      <c r="C260" s="493"/>
      <c r="D260" s="346"/>
      <c r="E260" s="347"/>
      <c r="F260" s="349"/>
      <c r="G260" s="317"/>
      <c r="H260" s="562"/>
      <c r="I260" s="138">
        <v>200000000</v>
      </c>
      <c r="J260" s="138">
        <v>199750000</v>
      </c>
      <c r="K260" s="138">
        <v>199750000</v>
      </c>
      <c r="L260" s="138">
        <v>199750000</v>
      </c>
      <c r="M260" s="138">
        <v>199750000</v>
      </c>
      <c r="N260" s="139">
        <v>250000</v>
      </c>
      <c r="O260" s="548">
        <f t="shared" si="4"/>
        <v>0.99875000000000003</v>
      </c>
      <c r="P260" s="262"/>
      <c r="Q260" s="262"/>
      <c r="R260" s="262"/>
    </row>
    <row r="261" spans="1:18" s="60" customFormat="1" ht="27.75" customHeight="1" x14ac:dyDescent="0.2">
      <c r="A261" s="236"/>
      <c r="B261" s="273"/>
      <c r="C261" s="493"/>
      <c r="D261" s="326"/>
      <c r="E261" s="327"/>
      <c r="F261" s="436">
        <v>57</v>
      </c>
      <c r="G261" s="432" t="s">
        <v>419</v>
      </c>
      <c r="H261" s="423"/>
      <c r="I261" s="424">
        <v>40000000</v>
      </c>
      <c r="J261" s="424">
        <v>0</v>
      </c>
      <c r="K261" s="424">
        <v>0</v>
      </c>
      <c r="L261" s="424">
        <v>0</v>
      </c>
      <c r="M261" s="424">
        <v>0</v>
      </c>
      <c r="N261" s="424">
        <v>40000000</v>
      </c>
      <c r="O261" s="546">
        <f t="shared" si="4"/>
        <v>0</v>
      </c>
      <c r="P261" s="262"/>
      <c r="Q261" s="262"/>
      <c r="R261" s="262"/>
    </row>
    <row r="262" spans="1:18" s="60" customFormat="1" ht="44.25" customHeight="1" x14ac:dyDescent="0.2">
      <c r="A262" s="236"/>
      <c r="B262" s="273"/>
      <c r="C262" s="493"/>
      <c r="D262" s="274"/>
      <c r="E262" s="492"/>
      <c r="F262" s="335"/>
      <c r="G262" s="334"/>
      <c r="H262" s="141" t="s">
        <v>293</v>
      </c>
      <c r="I262" s="23">
        <v>40000000</v>
      </c>
      <c r="J262" s="23">
        <v>0</v>
      </c>
      <c r="K262" s="23">
        <v>0</v>
      </c>
      <c r="L262" s="23">
        <v>0</v>
      </c>
      <c r="M262" s="23">
        <v>0</v>
      </c>
      <c r="N262" s="23">
        <v>40000000</v>
      </c>
      <c r="O262" s="549">
        <f t="shared" si="4"/>
        <v>0</v>
      </c>
      <c r="P262" s="262"/>
      <c r="Q262" s="262"/>
      <c r="R262" s="262"/>
    </row>
    <row r="263" spans="1:18" s="60" customFormat="1" ht="27.75" customHeight="1" x14ac:dyDescent="0.2">
      <c r="A263" s="236"/>
      <c r="B263" s="273"/>
      <c r="C263" s="493"/>
      <c r="D263" s="445">
        <v>17</v>
      </c>
      <c r="E263" s="446" t="s">
        <v>420</v>
      </c>
      <c r="F263" s="323"/>
      <c r="G263" s="324"/>
      <c r="H263" s="256"/>
      <c r="I263" s="257">
        <v>1000000000</v>
      </c>
      <c r="J263" s="257">
        <v>979506086.88</v>
      </c>
      <c r="K263" s="257">
        <v>979506086.88</v>
      </c>
      <c r="L263" s="257">
        <v>869922409.88</v>
      </c>
      <c r="M263" s="257">
        <v>869922409.88</v>
      </c>
      <c r="N263" s="257">
        <v>20493913.120000005</v>
      </c>
      <c r="O263" s="545">
        <f t="shared" si="4"/>
        <v>0.97950608687999996</v>
      </c>
      <c r="P263" s="262"/>
      <c r="Q263" s="262"/>
      <c r="R263" s="262"/>
    </row>
    <row r="264" spans="1:18" s="60" customFormat="1" ht="27.75" customHeight="1" x14ac:dyDescent="0.2">
      <c r="A264" s="236"/>
      <c r="B264" s="273"/>
      <c r="C264" s="493"/>
      <c r="D264" s="302"/>
      <c r="E264" s="309"/>
      <c r="F264" s="431">
        <v>58</v>
      </c>
      <c r="G264" s="432" t="s">
        <v>421</v>
      </c>
      <c r="H264" s="423"/>
      <c r="I264" s="424">
        <v>180000000</v>
      </c>
      <c r="J264" s="424">
        <v>180000000</v>
      </c>
      <c r="K264" s="424">
        <v>180000000</v>
      </c>
      <c r="L264" s="424">
        <v>74000000</v>
      </c>
      <c r="M264" s="424">
        <v>74000000</v>
      </c>
      <c r="N264" s="424">
        <v>0</v>
      </c>
      <c r="O264" s="546">
        <f t="shared" si="4"/>
        <v>1</v>
      </c>
      <c r="P264" s="262"/>
      <c r="Q264" s="262"/>
      <c r="R264" s="262"/>
    </row>
    <row r="265" spans="1:18" s="60" customFormat="1" ht="48" customHeight="1" x14ac:dyDescent="0.2">
      <c r="A265" s="236"/>
      <c r="B265" s="273"/>
      <c r="C265" s="493"/>
      <c r="D265" s="274"/>
      <c r="E265" s="492"/>
      <c r="F265" s="335"/>
      <c r="G265" s="493"/>
      <c r="H265" s="141" t="s">
        <v>136</v>
      </c>
      <c r="I265" s="23">
        <v>180000000</v>
      </c>
      <c r="J265" s="23">
        <v>180000000</v>
      </c>
      <c r="K265" s="23">
        <v>180000000</v>
      </c>
      <c r="L265" s="23">
        <v>74000000</v>
      </c>
      <c r="M265" s="23">
        <v>74000000</v>
      </c>
      <c r="N265" s="139">
        <v>0</v>
      </c>
      <c r="O265" s="548">
        <f t="shared" si="4"/>
        <v>1</v>
      </c>
      <c r="P265" s="262"/>
      <c r="Q265" s="262"/>
      <c r="R265" s="262"/>
    </row>
    <row r="266" spans="1:18" s="60" customFormat="1" ht="27.75" customHeight="1" x14ac:dyDescent="0.2">
      <c r="A266" s="236"/>
      <c r="B266" s="273"/>
      <c r="C266" s="493"/>
      <c r="D266" s="274"/>
      <c r="E266" s="493"/>
      <c r="F266" s="431">
        <v>59</v>
      </c>
      <c r="G266" s="432" t="s">
        <v>422</v>
      </c>
      <c r="H266" s="423"/>
      <c r="I266" s="424">
        <v>470000000</v>
      </c>
      <c r="J266" s="424">
        <v>464725452.88</v>
      </c>
      <c r="K266" s="424">
        <v>464725452.88</v>
      </c>
      <c r="L266" s="424">
        <v>464724652.88</v>
      </c>
      <c r="M266" s="424">
        <v>464724652.88</v>
      </c>
      <c r="N266" s="424">
        <v>5274547.1200000048</v>
      </c>
      <c r="O266" s="546">
        <f t="shared" si="4"/>
        <v>0.9887775593191489</v>
      </c>
      <c r="P266" s="262"/>
      <c r="Q266" s="262"/>
      <c r="R266" s="262"/>
    </row>
    <row r="267" spans="1:18" s="60" customFormat="1" ht="44.25" customHeight="1" x14ac:dyDescent="0.2">
      <c r="A267" s="236"/>
      <c r="B267" s="273"/>
      <c r="C267" s="493"/>
      <c r="D267" s="274"/>
      <c r="E267" s="492"/>
      <c r="F267" s="302"/>
      <c r="G267" s="493"/>
      <c r="H267" s="561" t="s">
        <v>137</v>
      </c>
      <c r="I267" s="138">
        <v>170000000</v>
      </c>
      <c r="J267" s="138">
        <v>164734663</v>
      </c>
      <c r="K267" s="138">
        <v>164734663</v>
      </c>
      <c r="L267" s="138">
        <v>164733863</v>
      </c>
      <c r="M267" s="138">
        <v>164733863</v>
      </c>
      <c r="N267" s="139">
        <v>5265337</v>
      </c>
      <c r="O267" s="548">
        <f t="shared" si="4"/>
        <v>0.96902742941176467</v>
      </c>
      <c r="P267" s="262"/>
      <c r="Q267" s="262"/>
      <c r="R267" s="262"/>
    </row>
    <row r="268" spans="1:18" s="60" customFormat="1" ht="44.25" customHeight="1" x14ac:dyDescent="0.2">
      <c r="A268" s="236"/>
      <c r="B268" s="273"/>
      <c r="C268" s="493"/>
      <c r="D268" s="274"/>
      <c r="E268" s="492"/>
      <c r="F268" s="314"/>
      <c r="G268" s="493"/>
      <c r="H268" s="562"/>
      <c r="I268" s="138">
        <v>300000000</v>
      </c>
      <c r="J268" s="138">
        <v>299990789.88</v>
      </c>
      <c r="K268" s="138">
        <v>299990789.88</v>
      </c>
      <c r="L268" s="138">
        <v>299990789.88</v>
      </c>
      <c r="M268" s="138">
        <v>299990789.88</v>
      </c>
      <c r="N268" s="139">
        <v>9210.1200000047684</v>
      </c>
      <c r="O268" s="548">
        <f t="shared" si="4"/>
        <v>0.99996929960000003</v>
      </c>
      <c r="P268" s="262"/>
      <c r="Q268" s="262"/>
      <c r="R268" s="262"/>
    </row>
    <row r="269" spans="1:18" s="60" customFormat="1" ht="27.75" customHeight="1" x14ac:dyDescent="0.2">
      <c r="A269" s="236"/>
      <c r="B269" s="273"/>
      <c r="C269" s="493"/>
      <c r="D269" s="274"/>
      <c r="E269" s="493"/>
      <c r="F269" s="431">
        <v>60</v>
      </c>
      <c r="G269" s="432" t="s">
        <v>423</v>
      </c>
      <c r="H269" s="423"/>
      <c r="I269" s="424">
        <v>160000000</v>
      </c>
      <c r="J269" s="424">
        <v>151573916</v>
      </c>
      <c r="K269" s="424">
        <v>151573916</v>
      </c>
      <c r="L269" s="424">
        <v>148673906</v>
      </c>
      <c r="M269" s="424">
        <v>148673906</v>
      </c>
      <c r="N269" s="424">
        <v>8426084</v>
      </c>
      <c r="O269" s="546">
        <f t="shared" si="4"/>
        <v>0.94733697500000003</v>
      </c>
      <c r="P269" s="262"/>
      <c r="Q269" s="262"/>
      <c r="R269" s="262"/>
    </row>
    <row r="270" spans="1:18" s="60" customFormat="1" ht="42.75" customHeight="1" x14ac:dyDescent="0.2">
      <c r="A270" s="236"/>
      <c r="B270" s="273"/>
      <c r="C270" s="493"/>
      <c r="D270" s="274"/>
      <c r="E270" s="492"/>
      <c r="F270" s="302"/>
      <c r="G270" s="493"/>
      <c r="H270" s="561" t="s">
        <v>138</v>
      </c>
      <c r="I270" s="138">
        <v>100000000</v>
      </c>
      <c r="J270" s="138">
        <v>91573916</v>
      </c>
      <c r="K270" s="138">
        <v>91573916</v>
      </c>
      <c r="L270" s="138">
        <v>88673906</v>
      </c>
      <c r="M270" s="138">
        <v>88673906</v>
      </c>
      <c r="N270" s="139">
        <v>8426084</v>
      </c>
      <c r="O270" s="548">
        <f t="shared" si="4"/>
        <v>0.91573916</v>
      </c>
      <c r="P270" s="262"/>
      <c r="Q270" s="262"/>
      <c r="R270" s="262"/>
    </row>
    <row r="271" spans="1:18" s="60" customFormat="1" ht="42.75" customHeight="1" x14ac:dyDescent="0.2">
      <c r="A271" s="236"/>
      <c r="B271" s="273"/>
      <c r="C271" s="493"/>
      <c r="D271" s="274"/>
      <c r="E271" s="492"/>
      <c r="F271" s="314"/>
      <c r="G271" s="493"/>
      <c r="H271" s="562"/>
      <c r="I271" s="138">
        <v>60000000</v>
      </c>
      <c r="J271" s="138">
        <v>60000000</v>
      </c>
      <c r="K271" s="138">
        <v>60000000</v>
      </c>
      <c r="L271" s="138">
        <v>60000000</v>
      </c>
      <c r="M271" s="138">
        <v>60000000</v>
      </c>
      <c r="N271" s="139">
        <v>0</v>
      </c>
      <c r="O271" s="548">
        <f t="shared" si="4"/>
        <v>1</v>
      </c>
      <c r="P271" s="262"/>
      <c r="Q271" s="262"/>
      <c r="R271" s="262"/>
    </row>
    <row r="272" spans="1:18" s="60" customFormat="1" ht="27.75" customHeight="1" x14ac:dyDescent="0.2">
      <c r="A272" s="236"/>
      <c r="B272" s="273"/>
      <c r="C272" s="493"/>
      <c r="D272" s="274"/>
      <c r="E272" s="493"/>
      <c r="F272" s="431">
        <v>61</v>
      </c>
      <c r="G272" s="432" t="s">
        <v>424</v>
      </c>
      <c r="H272" s="423"/>
      <c r="I272" s="424">
        <v>190000000</v>
      </c>
      <c r="J272" s="424">
        <v>183206718</v>
      </c>
      <c r="K272" s="424">
        <v>183206718</v>
      </c>
      <c r="L272" s="424">
        <v>182523851</v>
      </c>
      <c r="M272" s="424">
        <v>182523851</v>
      </c>
      <c r="N272" s="424">
        <v>6793282</v>
      </c>
      <c r="O272" s="546">
        <f t="shared" si="4"/>
        <v>0.96424588421052626</v>
      </c>
      <c r="P272" s="262"/>
      <c r="Q272" s="262"/>
      <c r="R272" s="262"/>
    </row>
    <row r="273" spans="1:18" s="60" customFormat="1" ht="48.75" customHeight="1" x14ac:dyDescent="0.2">
      <c r="A273" s="236"/>
      <c r="B273" s="273"/>
      <c r="C273" s="493"/>
      <c r="D273" s="274"/>
      <c r="E273" s="492"/>
      <c r="F273" s="335"/>
      <c r="G273" s="334"/>
      <c r="H273" s="144" t="s">
        <v>139</v>
      </c>
      <c r="I273" s="138">
        <v>190000000</v>
      </c>
      <c r="J273" s="138">
        <v>183206718</v>
      </c>
      <c r="K273" s="138">
        <v>183206718</v>
      </c>
      <c r="L273" s="138">
        <v>182523851</v>
      </c>
      <c r="M273" s="138">
        <v>182523851</v>
      </c>
      <c r="N273" s="139">
        <v>6793282</v>
      </c>
      <c r="O273" s="548">
        <f t="shared" si="4"/>
        <v>0.96424588421052626</v>
      </c>
      <c r="P273" s="262"/>
      <c r="Q273" s="262"/>
      <c r="R273" s="262"/>
    </row>
    <row r="274" spans="1:18" s="60" customFormat="1" ht="27.75" customHeight="1" x14ac:dyDescent="0.2">
      <c r="A274" s="236"/>
      <c r="B274" s="273"/>
      <c r="C274" s="493"/>
      <c r="D274" s="445">
        <v>18</v>
      </c>
      <c r="E274" s="446" t="s">
        <v>425</v>
      </c>
      <c r="F274" s="323"/>
      <c r="G274" s="324"/>
      <c r="H274" s="256"/>
      <c r="I274" s="257">
        <v>1629000000</v>
      </c>
      <c r="J274" s="257">
        <v>1427379228</v>
      </c>
      <c r="K274" s="257">
        <v>1427379228</v>
      </c>
      <c r="L274" s="257">
        <v>1128271280</v>
      </c>
      <c r="M274" s="257">
        <v>1128271280</v>
      </c>
      <c r="N274" s="257">
        <v>201620772</v>
      </c>
      <c r="O274" s="545">
        <f t="shared" si="4"/>
        <v>0.8762303425414365</v>
      </c>
      <c r="P274" s="262"/>
      <c r="Q274" s="262"/>
      <c r="R274" s="262"/>
    </row>
    <row r="275" spans="1:18" s="60" customFormat="1" ht="27.75" customHeight="1" x14ac:dyDescent="0.2">
      <c r="A275" s="236"/>
      <c r="B275" s="273"/>
      <c r="C275" s="493"/>
      <c r="D275" s="302"/>
      <c r="E275" s="309"/>
      <c r="F275" s="431">
        <v>62</v>
      </c>
      <c r="G275" s="432" t="s">
        <v>426</v>
      </c>
      <c r="H275" s="423"/>
      <c r="I275" s="424">
        <v>1182000000</v>
      </c>
      <c r="J275" s="424">
        <v>1033445612</v>
      </c>
      <c r="K275" s="424">
        <v>1033445612</v>
      </c>
      <c r="L275" s="424">
        <v>734443664</v>
      </c>
      <c r="M275" s="424">
        <v>734443664</v>
      </c>
      <c r="N275" s="424">
        <v>148554388</v>
      </c>
      <c r="O275" s="546">
        <f t="shared" si="4"/>
        <v>0.87431946869712351</v>
      </c>
      <c r="P275" s="262"/>
      <c r="Q275" s="262"/>
      <c r="R275" s="262"/>
    </row>
    <row r="276" spans="1:18" s="60" customFormat="1" ht="50.25" customHeight="1" x14ac:dyDescent="0.2">
      <c r="A276" s="236"/>
      <c r="B276" s="273"/>
      <c r="C276" s="493"/>
      <c r="D276" s="274"/>
      <c r="E276" s="492"/>
      <c r="F276" s="302"/>
      <c r="G276" s="493"/>
      <c r="H276" s="144" t="s">
        <v>140</v>
      </c>
      <c r="I276" s="138">
        <v>1100000000</v>
      </c>
      <c r="J276" s="138">
        <v>956439613</v>
      </c>
      <c r="K276" s="138">
        <v>956439613</v>
      </c>
      <c r="L276" s="138">
        <v>657437665</v>
      </c>
      <c r="M276" s="138">
        <v>657437665</v>
      </c>
      <c r="N276" s="139">
        <v>143560387</v>
      </c>
      <c r="O276" s="552">
        <f t="shared" si="4"/>
        <v>0.86949055727272728</v>
      </c>
      <c r="P276" s="262"/>
      <c r="Q276" s="262"/>
      <c r="R276" s="262"/>
    </row>
    <row r="277" spans="1:18" s="60" customFormat="1" ht="50.25" customHeight="1" x14ac:dyDescent="0.2">
      <c r="A277" s="236"/>
      <c r="B277" s="273"/>
      <c r="C277" s="493"/>
      <c r="D277" s="274"/>
      <c r="E277" s="492"/>
      <c r="F277" s="274"/>
      <c r="G277" s="493"/>
      <c r="H277" s="561" t="s">
        <v>141</v>
      </c>
      <c r="I277" s="138">
        <v>67000000</v>
      </c>
      <c r="J277" s="138">
        <v>62005999</v>
      </c>
      <c r="K277" s="138">
        <v>62005999</v>
      </c>
      <c r="L277" s="138">
        <v>62005999</v>
      </c>
      <c r="M277" s="138">
        <v>62005999</v>
      </c>
      <c r="N277" s="139">
        <v>4994001</v>
      </c>
      <c r="O277" s="552">
        <f t="shared" si="4"/>
        <v>0.92546267164179108</v>
      </c>
      <c r="P277" s="262"/>
      <c r="Q277" s="262"/>
      <c r="R277" s="262"/>
    </row>
    <row r="278" spans="1:18" s="60" customFormat="1" ht="50.25" customHeight="1" x14ac:dyDescent="0.2">
      <c r="A278" s="236"/>
      <c r="B278" s="273"/>
      <c r="C278" s="493"/>
      <c r="D278" s="274"/>
      <c r="E278" s="492"/>
      <c r="F278" s="314"/>
      <c r="G278" s="493"/>
      <c r="H278" s="562"/>
      <c r="I278" s="138">
        <v>15000000</v>
      </c>
      <c r="J278" s="138">
        <v>15000000</v>
      </c>
      <c r="K278" s="138">
        <v>15000000</v>
      </c>
      <c r="L278" s="138">
        <v>15000000</v>
      </c>
      <c r="M278" s="138">
        <v>15000000</v>
      </c>
      <c r="N278" s="138">
        <v>0</v>
      </c>
      <c r="O278" s="553">
        <f t="shared" si="4"/>
        <v>1</v>
      </c>
      <c r="P278" s="262"/>
      <c r="Q278" s="262"/>
      <c r="R278" s="262"/>
    </row>
    <row r="279" spans="1:18" s="60" customFormat="1" ht="27.75" customHeight="1" x14ac:dyDescent="0.2">
      <c r="A279" s="236"/>
      <c r="B279" s="273"/>
      <c r="C279" s="493"/>
      <c r="D279" s="274"/>
      <c r="E279" s="493"/>
      <c r="F279" s="431">
        <v>63</v>
      </c>
      <c r="G279" s="432" t="s">
        <v>427</v>
      </c>
      <c r="H279" s="423"/>
      <c r="I279" s="424">
        <v>175000000</v>
      </c>
      <c r="J279" s="424">
        <v>149348950</v>
      </c>
      <c r="K279" s="424">
        <v>149348950</v>
      </c>
      <c r="L279" s="424">
        <v>149348950</v>
      </c>
      <c r="M279" s="424">
        <v>149348950</v>
      </c>
      <c r="N279" s="424">
        <v>25651050</v>
      </c>
      <c r="O279" s="554">
        <f t="shared" si="4"/>
        <v>0.85342257142857147</v>
      </c>
      <c r="P279" s="262"/>
      <c r="Q279" s="262"/>
      <c r="R279" s="262"/>
    </row>
    <row r="280" spans="1:18" s="60" customFormat="1" ht="46.5" customHeight="1" x14ac:dyDescent="0.2">
      <c r="A280" s="236"/>
      <c r="B280" s="273"/>
      <c r="C280" s="493"/>
      <c r="D280" s="274"/>
      <c r="E280" s="492"/>
      <c r="F280" s="302"/>
      <c r="G280" s="493"/>
      <c r="H280" s="144" t="s">
        <v>142</v>
      </c>
      <c r="I280" s="23">
        <v>75000000</v>
      </c>
      <c r="J280" s="23">
        <v>75000000</v>
      </c>
      <c r="K280" s="23">
        <v>75000000</v>
      </c>
      <c r="L280" s="23">
        <v>75000000</v>
      </c>
      <c r="M280" s="23">
        <v>75000000</v>
      </c>
      <c r="N280" s="139">
        <v>0</v>
      </c>
      <c r="O280" s="548">
        <f t="shared" si="4"/>
        <v>1</v>
      </c>
      <c r="P280" s="262"/>
      <c r="Q280" s="262"/>
      <c r="R280" s="262"/>
    </row>
    <row r="281" spans="1:18" s="60" customFormat="1" ht="46.5" customHeight="1" x14ac:dyDescent="0.2">
      <c r="A281" s="236"/>
      <c r="B281" s="273"/>
      <c r="C281" s="493"/>
      <c r="D281" s="274"/>
      <c r="E281" s="492"/>
      <c r="F281" s="274"/>
      <c r="G281" s="493"/>
      <c r="H281" s="561" t="s">
        <v>143</v>
      </c>
      <c r="I281" s="23">
        <v>45000000</v>
      </c>
      <c r="J281" s="23">
        <v>40932400</v>
      </c>
      <c r="K281" s="23">
        <v>40932400</v>
      </c>
      <c r="L281" s="23">
        <v>40932400</v>
      </c>
      <c r="M281" s="23">
        <v>40932400</v>
      </c>
      <c r="N281" s="139">
        <v>4067600</v>
      </c>
      <c r="O281" s="548">
        <f t="shared" si="4"/>
        <v>0.90960888888888891</v>
      </c>
      <c r="P281" s="262"/>
      <c r="Q281" s="262"/>
      <c r="R281" s="262"/>
    </row>
    <row r="282" spans="1:18" s="60" customFormat="1" ht="46.5" customHeight="1" x14ac:dyDescent="0.2">
      <c r="A282" s="236"/>
      <c r="B282" s="273"/>
      <c r="C282" s="493"/>
      <c r="D282" s="274"/>
      <c r="E282" s="492"/>
      <c r="F282" s="314"/>
      <c r="G282" s="493"/>
      <c r="H282" s="562"/>
      <c r="I282" s="23">
        <v>55000000</v>
      </c>
      <c r="J282" s="23">
        <v>33416550</v>
      </c>
      <c r="K282" s="23">
        <v>33416550</v>
      </c>
      <c r="L282" s="23">
        <v>33416550</v>
      </c>
      <c r="M282" s="23">
        <v>33416550</v>
      </c>
      <c r="N282" s="139">
        <v>21583450</v>
      </c>
      <c r="O282" s="548">
        <f t="shared" si="4"/>
        <v>0.60757363636363637</v>
      </c>
      <c r="P282" s="262"/>
      <c r="Q282" s="262"/>
      <c r="R282" s="262"/>
    </row>
    <row r="283" spans="1:18" s="60" customFormat="1" ht="27.75" customHeight="1" x14ac:dyDescent="0.2">
      <c r="A283" s="236"/>
      <c r="B283" s="273"/>
      <c r="C283" s="493"/>
      <c r="D283" s="274"/>
      <c r="E283" s="493"/>
      <c r="F283" s="430">
        <v>64</v>
      </c>
      <c r="G283" s="427" t="s">
        <v>428</v>
      </c>
      <c r="H283" s="423"/>
      <c r="I283" s="424">
        <v>100000000</v>
      </c>
      <c r="J283" s="424">
        <v>88800000</v>
      </c>
      <c r="K283" s="424">
        <v>88800000</v>
      </c>
      <c r="L283" s="424">
        <v>88800000</v>
      </c>
      <c r="M283" s="424">
        <v>88800000</v>
      </c>
      <c r="N283" s="424">
        <v>11200000</v>
      </c>
      <c r="O283" s="546">
        <f t="shared" si="4"/>
        <v>0.88800000000000001</v>
      </c>
      <c r="P283" s="262"/>
      <c r="Q283" s="262"/>
      <c r="R283" s="262"/>
    </row>
    <row r="284" spans="1:18" s="60" customFormat="1" ht="41.25" customHeight="1" x14ac:dyDescent="0.2">
      <c r="A284" s="236"/>
      <c r="B284" s="273"/>
      <c r="C284" s="493"/>
      <c r="D284" s="274"/>
      <c r="E284" s="492"/>
      <c r="F284" s="302"/>
      <c r="G284" s="493"/>
      <c r="H284" s="561" t="s">
        <v>144</v>
      </c>
      <c r="I284" s="23">
        <v>60000000</v>
      </c>
      <c r="J284" s="23">
        <v>53000000</v>
      </c>
      <c r="K284" s="23">
        <v>53000000</v>
      </c>
      <c r="L284" s="23">
        <v>53000000</v>
      </c>
      <c r="M284" s="23">
        <v>53000000</v>
      </c>
      <c r="N284" s="139">
        <v>7000000</v>
      </c>
      <c r="O284" s="548">
        <f t="shared" si="4"/>
        <v>0.8833333333333333</v>
      </c>
      <c r="P284" s="262"/>
      <c r="Q284" s="262"/>
      <c r="R284" s="262"/>
    </row>
    <row r="285" spans="1:18" s="60" customFormat="1" ht="41.25" customHeight="1" x14ac:dyDescent="0.2">
      <c r="A285" s="236"/>
      <c r="B285" s="273"/>
      <c r="C285" s="493"/>
      <c r="D285" s="274"/>
      <c r="E285" s="492"/>
      <c r="F285" s="314"/>
      <c r="G285" s="493"/>
      <c r="H285" s="562"/>
      <c r="I285" s="23">
        <v>40000000</v>
      </c>
      <c r="J285" s="23">
        <v>35800000</v>
      </c>
      <c r="K285" s="23">
        <v>35800000</v>
      </c>
      <c r="L285" s="23">
        <v>35800000</v>
      </c>
      <c r="M285" s="23">
        <v>35800000</v>
      </c>
      <c r="N285" s="139">
        <v>4200000</v>
      </c>
      <c r="O285" s="548">
        <f t="shared" si="4"/>
        <v>0.89500000000000002</v>
      </c>
      <c r="P285" s="262"/>
      <c r="Q285" s="262"/>
      <c r="R285" s="262"/>
    </row>
    <row r="286" spans="1:18" s="60" customFormat="1" ht="27.75" customHeight="1" x14ac:dyDescent="0.2">
      <c r="A286" s="236"/>
      <c r="B286" s="273"/>
      <c r="C286" s="493"/>
      <c r="D286" s="274"/>
      <c r="E286" s="493"/>
      <c r="F286" s="430">
        <v>65</v>
      </c>
      <c r="G286" s="427" t="s">
        <v>429</v>
      </c>
      <c r="H286" s="423"/>
      <c r="I286" s="424">
        <v>90000000</v>
      </c>
      <c r="J286" s="424">
        <v>77284666</v>
      </c>
      <c r="K286" s="424">
        <v>77284666</v>
      </c>
      <c r="L286" s="424">
        <v>77284666</v>
      </c>
      <c r="M286" s="424">
        <v>77284666</v>
      </c>
      <c r="N286" s="424">
        <v>12715334</v>
      </c>
      <c r="O286" s="546">
        <f t="shared" si="4"/>
        <v>0.85871851111111108</v>
      </c>
      <c r="P286" s="262"/>
      <c r="Q286" s="262"/>
      <c r="R286" s="262"/>
    </row>
    <row r="287" spans="1:18" s="60" customFormat="1" ht="42.75" customHeight="1" x14ac:dyDescent="0.2">
      <c r="A287" s="236"/>
      <c r="B287" s="273"/>
      <c r="C287" s="493"/>
      <c r="D287" s="274"/>
      <c r="E287" s="492"/>
      <c r="F287" s="302"/>
      <c r="G287" s="493"/>
      <c r="H287" s="561" t="s">
        <v>145</v>
      </c>
      <c r="I287" s="23">
        <v>41000000</v>
      </c>
      <c r="J287" s="23">
        <v>28284666</v>
      </c>
      <c r="K287" s="23">
        <v>28284666</v>
      </c>
      <c r="L287" s="23">
        <v>28284666</v>
      </c>
      <c r="M287" s="23">
        <v>28284666</v>
      </c>
      <c r="N287" s="139">
        <v>12715334</v>
      </c>
      <c r="O287" s="548">
        <f t="shared" si="4"/>
        <v>0.68986990243902435</v>
      </c>
      <c r="P287" s="262"/>
      <c r="Q287" s="262"/>
      <c r="R287" s="262"/>
    </row>
    <row r="288" spans="1:18" s="60" customFormat="1" ht="42.75" customHeight="1" x14ac:dyDescent="0.2">
      <c r="A288" s="236"/>
      <c r="B288" s="273"/>
      <c r="C288" s="493"/>
      <c r="D288" s="274"/>
      <c r="E288" s="492"/>
      <c r="F288" s="314"/>
      <c r="G288" s="493"/>
      <c r="H288" s="562"/>
      <c r="I288" s="23">
        <v>49000000</v>
      </c>
      <c r="J288" s="23">
        <v>49000000</v>
      </c>
      <c r="K288" s="23">
        <v>49000000</v>
      </c>
      <c r="L288" s="23">
        <v>49000000</v>
      </c>
      <c r="M288" s="23">
        <v>49000000</v>
      </c>
      <c r="N288" s="139">
        <v>0</v>
      </c>
      <c r="O288" s="548">
        <f t="shared" si="4"/>
        <v>1</v>
      </c>
      <c r="P288" s="262"/>
      <c r="Q288" s="262"/>
      <c r="R288" s="262"/>
    </row>
    <row r="289" spans="1:18" s="60" customFormat="1" ht="27.75" customHeight="1" x14ac:dyDescent="0.2">
      <c r="A289" s="236"/>
      <c r="B289" s="273"/>
      <c r="C289" s="493"/>
      <c r="D289" s="274"/>
      <c r="E289" s="493"/>
      <c r="F289" s="430">
        <v>66</v>
      </c>
      <c r="G289" s="427" t="s">
        <v>430</v>
      </c>
      <c r="H289" s="423"/>
      <c r="I289" s="424">
        <v>82000000</v>
      </c>
      <c r="J289" s="424">
        <v>78500000</v>
      </c>
      <c r="K289" s="424">
        <v>78500000</v>
      </c>
      <c r="L289" s="424">
        <v>78394000</v>
      </c>
      <c r="M289" s="424">
        <v>78394000</v>
      </c>
      <c r="N289" s="424">
        <v>3500000</v>
      </c>
      <c r="O289" s="546">
        <f t="shared" si="4"/>
        <v>0.95731707317073167</v>
      </c>
      <c r="P289" s="262"/>
      <c r="Q289" s="262"/>
      <c r="R289" s="262"/>
    </row>
    <row r="290" spans="1:18" s="60" customFormat="1" ht="42.75" customHeight="1" x14ac:dyDescent="0.2">
      <c r="A290" s="236"/>
      <c r="B290" s="273"/>
      <c r="C290" s="493"/>
      <c r="D290" s="274"/>
      <c r="E290" s="492"/>
      <c r="F290" s="302"/>
      <c r="G290" s="493"/>
      <c r="H290" s="561" t="s">
        <v>146</v>
      </c>
      <c r="I290" s="23">
        <v>42000000</v>
      </c>
      <c r="J290" s="23">
        <v>42000000</v>
      </c>
      <c r="K290" s="23">
        <v>42000000</v>
      </c>
      <c r="L290" s="23">
        <v>41894000</v>
      </c>
      <c r="M290" s="23">
        <v>41894000</v>
      </c>
      <c r="N290" s="139">
        <v>0</v>
      </c>
      <c r="O290" s="548">
        <f t="shared" si="4"/>
        <v>1</v>
      </c>
      <c r="P290" s="262"/>
      <c r="Q290" s="262"/>
      <c r="R290" s="262"/>
    </row>
    <row r="291" spans="1:18" s="60" customFormat="1" ht="42.75" customHeight="1" x14ac:dyDescent="0.2">
      <c r="A291" s="236"/>
      <c r="B291" s="273"/>
      <c r="C291" s="493"/>
      <c r="D291" s="274"/>
      <c r="E291" s="492"/>
      <c r="F291" s="314"/>
      <c r="G291" s="334"/>
      <c r="H291" s="562"/>
      <c r="I291" s="23">
        <v>40000000</v>
      </c>
      <c r="J291" s="23">
        <v>36500000</v>
      </c>
      <c r="K291" s="23">
        <v>36500000</v>
      </c>
      <c r="L291" s="23">
        <v>36500000</v>
      </c>
      <c r="M291" s="23">
        <v>36500000</v>
      </c>
      <c r="N291" s="139">
        <v>3500000</v>
      </c>
      <c r="O291" s="548">
        <f t="shared" si="4"/>
        <v>0.91249999999999998</v>
      </c>
      <c r="P291" s="262"/>
      <c r="Q291" s="262"/>
      <c r="R291" s="262"/>
    </row>
    <row r="292" spans="1:18" s="60" customFormat="1" ht="27.75" customHeight="1" x14ac:dyDescent="0.2">
      <c r="A292" s="236"/>
      <c r="B292" s="273"/>
      <c r="C292" s="493"/>
      <c r="D292" s="445">
        <v>19</v>
      </c>
      <c r="E292" s="363" t="s">
        <v>431</v>
      </c>
      <c r="F292" s="323"/>
      <c r="G292" s="324"/>
      <c r="H292" s="256"/>
      <c r="I292" s="257">
        <v>4226001782.29</v>
      </c>
      <c r="J292" s="257">
        <v>4058597485.9899998</v>
      </c>
      <c r="K292" s="257">
        <v>4058597485.9899998</v>
      </c>
      <c r="L292" s="257">
        <v>4058595135.9899998</v>
      </c>
      <c r="M292" s="257">
        <v>4058595135.9899998</v>
      </c>
      <c r="N292" s="257">
        <v>167404296.30000019</v>
      </c>
      <c r="O292" s="545">
        <f t="shared" si="4"/>
        <v>0.96038707390007616</v>
      </c>
      <c r="P292" s="262"/>
      <c r="Q292" s="262"/>
      <c r="R292" s="262"/>
    </row>
    <row r="293" spans="1:18" s="60" customFormat="1" ht="27.75" customHeight="1" x14ac:dyDescent="0.2">
      <c r="A293" s="236"/>
      <c r="B293" s="273"/>
      <c r="C293" s="493"/>
      <c r="D293" s="302"/>
      <c r="E293" s="309"/>
      <c r="F293" s="431">
        <v>67</v>
      </c>
      <c r="G293" s="432" t="s">
        <v>432</v>
      </c>
      <c r="H293" s="423"/>
      <c r="I293" s="424">
        <v>4226001782.29</v>
      </c>
      <c r="J293" s="424">
        <v>4058597485.9899998</v>
      </c>
      <c r="K293" s="424">
        <v>4058597485.9899998</v>
      </c>
      <c r="L293" s="424">
        <v>4058595135.9899998</v>
      </c>
      <c r="M293" s="424">
        <v>4058595135.9899998</v>
      </c>
      <c r="N293" s="424">
        <v>167404296.30000019</v>
      </c>
      <c r="O293" s="546">
        <f t="shared" si="4"/>
        <v>0.96038707390007616</v>
      </c>
      <c r="P293" s="262"/>
      <c r="Q293" s="262"/>
      <c r="R293" s="262"/>
    </row>
    <row r="294" spans="1:18" s="60" customFormat="1" ht="27.75" customHeight="1" x14ac:dyDescent="0.2">
      <c r="A294" s="236"/>
      <c r="B294" s="273"/>
      <c r="C294" s="493"/>
      <c r="D294" s="274"/>
      <c r="E294" s="493"/>
      <c r="F294" s="302"/>
      <c r="G294" s="493"/>
      <c r="H294" s="561" t="s">
        <v>147</v>
      </c>
      <c r="I294" s="23">
        <v>2798727976.29</v>
      </c>
      <c r="J294" s="23">
        <v>2647055679.9899998</v>
      </c>
      <c r="K294" s="23">
        <v>2647055679.9899998</v>
      </c>
      <c r="L294" s="23">
        <v>2647055679.9899998</v>
      </c>
      <c r="M294" s="23">
        <v>2647055679.9899998</v>
      </c>
      <c r="N294" s="139">
        <v>151672296.30000019</v>
      </c>
      <c r="O294" s="548">
        <f t="shared" si="4"/>
        <v>0.94580670305048464</v>
      </c>
      <c r="P294" s="262"/>
      <c r="Q294" s="262"/>
      <c r="R294" s="262"/>
    </row>
    <row r="295" spans="1:18" s="60" customFormat="1" ht="27.75" customHeight="1" x14ac:dyDescent="0.2">
      <c r="A295" s="236"/>
      <c r="B295" s="273"/>
      <c r="C295" s="493"/>
      <c r="D295" s="274"/>
      <c r="E295" s="493"/>
      <c r="F295" s="274"/>
      <c r="G295" s="493"/>
      <c r="H295" s="563"/>
      <c r="I295" s="23">
        <v>80000000</v>
      </c>
      <c r="J295" s="23">
        <v>79268000</v>
      </c>
      <c r="K295" s="23">
        <v>79268000</v>
      </c>
      <c r="L295" s="23">
        <v>79265650</v>
      </c>
      <c r="M295" s="23">
        <v>79265650</v>
      </c>
      <c r="N295" s="139">
        <v>732000</v>
      </c>
      <c r="O295" s="548">
        <f t="shared" si="4"/>
        <v>0.99085000000000001</v>
      </c>
      <c r="P295" s="262"/>
      <c r="Q295" s="262"/>
      <c r="R295" s="262"/>
    </row>
    <row r="296" spans="1:18" s="60" customFormat="1" ht="27.75" customHeight="1" x14ac:dyDescent="0.2">
      <c r="A296" s="236"/>
      <c r="B296" s="273"/>
      <c r="C296" s="493"/>
      <c r="D296" s="274"/>
      <c r="E296" s="493"/>
      <c r="F296" s="274"/>
      <c r="G296" s="493"/>
      <c r="H296" s="563"/>
      <c r="I296" s="23">
        <v>1307273806</v>
      </c>
      <c r="J296" s="23">
        <v>1307273806</v>
      </c>
      <c r="K296" s="23">
        <v>1307273806</v>
      </c>
      <c r="L296" s="23">
        <v>1307273806</v>
      </c>
      <c r="M296" s="23">
        <v>1307273806</v>
      </c>
      <c r="N296" s="139">
        <v>0</v>
      </c>
      <c r="O296" s="548">
        <f t="shared" si="4"/>
        <v>1</v>
      </c>
      <c r="P296" s="262"/>
      <c r="Q296" s="262"/>
      <c r="R296" s="262"/>
    </row>
    <row r="297" spans="1:18" s="60" customFormat="1" ht="27.75" customHeight="1" x14ac:dyDescent="0.2">
      <c r="A297" s="236"/>
      <c r="B297" s="273"/>
      <c r="C297" s="493"/>
      <c r="D297" s="274"/>
      <c r="E297" s="493"/>
      <c r="F297" s="314"/>
      <c r="G297" s="334"/>
      <c r="H297" s="562"/>
      <c r="I297" s="23">
        <v>40000000</v>
      </c>
      <c r="J297" s="23">
        <v>25000000</v>
      </c>
      <c r="K297" s="23">
        <v>25000000</v>
      </c>
      <c r="L297" s="23">
        <v>25000000</v>
      </c>
      <c r="M297" s="23">
        <v>25000000</v>
      </c>
      <c r="N297" s="139">
        <v>15000000</v>
      </c>
      <c r="O297" s="548">
        <f t="shared" si="4"/>
        <v>0.625</v>
      </c>
      <c r="P297" s="262"/>
      <c r="Q297" s="262"/>
      <c r="R297" s="262"/>
    </row>
    <row r="298" spans="1:18" s="60" customFormat="1" ht="27.75" customHeight="1" x14ac:dyDescent="0.2">
      <c r="A298" s="236"/>
      <c r="B298" s="273"/>
      <c r="C298" s="493"/>
      <c r="D298" s="445">
        <v>20</v>
      </c>
      <c r="E298" s="363" t="s">
        <v>433</v>
      </c>
      <c r="F298" s="343"/>
      <c r="G298" s="324"/>
      <c r="H298" s="256"/>
      <c r="I298" s="257">
        <v>1915638293.8099999</v>
      </c>
      <c r="J298" s="257">
        <v>1806759026</v>
      </c>
      <c r="K298" s="257">
        <v>1806759026</v>
      </c>
      <c r="L298" s="257">
        <v>1800234385.8099999</v>
      </c>
      <c r="M298" s="257">
        <v>1800234385.8099999</v>
      </c>
      <c r="N298" s="257">
        <v>1800234385.8099999</v>
      </c>
      <c r="O298" s="545">
        <f t="shared" si="4"/>
        <v>0.9431629299947587</v>
      </c>
      <c r="P298" s="262"/>
      <c r="Q298" s="262"/>
      <c r="R298" s="262"/>
    </row>
    <row r="299" spans="1:18" s="60" customFormat="1" ht="27.75" customHeight="1" x14ac:dyDescent="0.2">
      <c r="A299" s="236"/>
      <c r="B299" s="273"/>
      <c r="C299" s="493"/>
      <c r="D299" s="302"/>
      <c r="E299" s="309"/>
      <c r="F299" s="436">
        <v>68</v>
      </c>
      <c r="G299" s="432" t="s">
        <v>434</v>
      </c>
      <c r="H299" s="423"/>
      <c r="I299" s="424">
        <v>788589783</v>
      </c>
      <c r="J299" s="424">
        <v>739157959</v>
      </c>
      <c r="K299" s="424">
        <v>739157959</v>
      </c>
      <c r="L299" s="424">
        <v>737357959</v>
      </c>
      <c r="M299" s="424">
        <v>737357959</v>
      </c>
      <c r="N299" s="424">
        <v>737357959</v>
      </c>
      <c r="O299" s="546">
        <f t="shared" si="4"/>
        <v>0.93731617494212449</v>
      </c>
      <c r="P299" s="262"/>
      <c r="Q299" s="262"/>
      <c r="R299" s="262"/>
    </row>
    <row r="300" spans="1:18" s="60" customFormat="1" ht="35.25" customHeight="1" x14ac:dyDescent="0.2">
      <c r="A300" s="236"/>
      <c r="B300" s="273"/>
      <c r="C300" s="493"/>
      <c r="D300" s="274"/>
      <c r="E300" s="493"/>
      <c r="F300" s="302"/>
      <c r="G300" s="493"/>
      <c r="H300" s="144" t="s">
        <v>435</v>
      </c>
      <c r="I300" s="483">
        <v>788589783</v>
      </c>
      <c r="J300" s="483">
        <v>739157959</v>
      </c>
      <c r="K300" s="483">
        <v>739157959</v>
      </c>
      <c r="L300" s="483">
        <v>737357959</v>
      </c>
      <c r="M300" s="483">
        <v>737357959</v>
      </c>
      <c r="N300" s="483">
        <v>737357959</v>
      </c>
      <c r="O300" s="555">
        <f t="shared" si="4"/>
        <v>0.93731617494212449</v>
      </c>
      <c r="P300" s="262"/>
      <c r="Q300" s="262"/>
      <c r="R300" s="262"/>
    </row>
    <row r="301" spans="1:18" s="60" customFormat="1" ht="27.75" customHeight="1" x14ac:dyDescent="0.2">
      <c r="A301" s="236"/>
      <c r="B301" s="273"/>
      <c r="C301" s="493"/>
      <c r="D301" s="274"/>
      <c r="E301" s="493"/>
      <c r="F301" s="431">
        <v>69</v>
      </c>
      <c r="G301" s="432" t="s">
        <v>436</v>
      </c>
      <c r="H301" s="423"/>
      <c r="I301" s="424">
        <v>231288679.81</v>
      </c>
      <c r="J301" s="424">
        <v>207953663.81</v>
      </c>
      <c r="K301" s="424">
        <v>207953663.81</v>
      </c>
      <c r="L301" s="424">
        <v>203229023.62</v>
      </c>
      <c r="M301" s="424">
        <v>203229023.62</v>
      </c>
      <c r="N301" s="424">
        <v>203229023.62</v>
      </c>
      <c r="O301" s="546">
        <f t="shared" si="4"/>
        <v>0.89910869818977157</v>
      </c>
      <c r="P301" s="262"/>
      <c r="Q301" s="262"/>
      <c r="R301" s="262"/>
    </row>
    <row r="302" spans="1:18" s="60" customFormat="1" ht="39" customHeight="1" x14ac:dyDescent="0.2">
      <c r="A302" s="236"/>
      <c r="B302" s="273"/>
      <c r="C302" s="493"/>
      <c r="D302" s="274"/>
      <c r="E302" s="493"/>
      <c r="F302" s="302"/>
      <c r="G302" s="493"/>
      <c r="H302" s="144" t="s">
        <v>435</v>
      </c>
      <c r="I302" s="483">
        <v>231288679.81</v>
      </c>
      <c r="J302" s="483">
        <v>207953663.81</v>
      </c>
      <c r="K302" s="483">
        <v>207953663.81</v>
      </c>
      <c r="L302" s="483">
        <v>203229023.62</v>
      </c>
      <c r="M302" s="483">
        <v>203229023.62</v>
      </c>
      <c r="N302" s="483">
        <v>203229023.62</v>
      </c>
      <c r="O302" s="555">
        <f t="shared" si="4"/>
        <v>0.89910869818977157</v>
      </c>
      <c r="P302" s="262"/>
      <c r="Q302" s="262"/>
      <c r="R302" s="262"/>
    </row>
    <row r="303" spans="1:18" s="60" customFormat="1" ht="27.75" customHeight="1" x14ac:dyDescent="0.2">
      <c r="A303" s="236"/>
      <c r="B303" s="273"/>
      <c r="C303" s="493"/>
      <c r="D303" s="274"/>
      <c r="E303" s="493"/>
      <c r="F303" s="431">
        <v>70</v>
      </c>
      <c r="G303" s="432" t="s">
        <v>437</v>
      </c>
      <c r="H303" s="423"/>
      <c r="I303" s="424">
        <v>405652384</v>
      </c>
      <c r="J303" s="424">
        <v>384167978</v>
      </c>
      <c r="K303" s="424">
        <v>384167978</v>
      </c>
      <c r="L303" s="424">
        <v>384167978</v>
      </c>
      <c r="M303" s="424">
        <v>384167978</v>
      </c>
      <c r="N303" s="424">
        <v>384167978</v>
      </c>
      <c r="O303" s="546">
        <f t="shared" si="4"/>
        <v>0.94703739741857407</v>
      </c>
      <c r="P303" s="262"/>
      <c r="Q303" s="262"/>
      <c r="R303" s="262"/>
    </row>
    <row r="304" spans="1:18" s="60" customFormat="1" ht="39" customHeight="1" x14ac:dyDescent="0.2">
      <c r="A304" s="236"/>
      <c r="B304" s="273"/>
      <c r="C304" s="493"/>
      <c r="D304" s="274"/>
      <c r="E304" s="493"/>
      <c r="F304" s="302"/>
      <c r="G304" s="493"/>
      <c r="H304" s="351" t="s">
        <v>334</v>
      </c>
      <c r="I304" s="483">
        <v>405652384</v>
      </c>
      <c r="J304" s="483">
        <v>384167978</v>
      </c>
      <c r="K304" s="483">
        <v>384167978</v>
      </c>
      <c r="L304" s="483">
        <v>384167978</v>
      </c>
      <c r="M304" s="483">
        <v>384167978</v>
      </c>
      <c r="N304" s="483">
        <v>384167978</v>
      </c>
      <c r="O304" s="555">
        <f t="shared" si="4"/>
        <v>0.94703739741857407</v>
      </c>
      <c r="P304" s="262"/>
      <c r="Q304" s="262"/>
      <c r="R304" s="262"/>
    </row>
    <row r="305" spans="1:18" s="60" customFormat="1" ht="27.75" customHeight="1" x14ac:dyDescent="0.2">
      <c r="A305" s="236"/>
      <c r="B305" s="273"/>
      <c r="C305" s="493"/>
      <c r="D305" s="274"/>
      <c r="E305" s="493"/>
      <c r="F305" s="431">
        <v>71</v>
      </c>
      <c r="G305" s="432" t="s">
        <v>438</v>
      </c>
      <c r="H305" s="423"/>
      <c r="I305" s="424">
        <v>490107447</v>
      </c>
      <c r="J305" s="424">
        <v>475479425.19</v>
      </c>
      <c r="K305" s="424">
        <v>475479425.19</v>
      </c>
      <c r="L305" s="424">
        <v>475479425.19</v>
      </c>
      <c r="M305" s="424">
        <v>475479425.19</v>
      </c>
      <c r="N305" s="424">
        <v>475479425.19</v>
      </c>
      <c r="O305" s="546">
        <f t="shared" si="4"/>
        <v>0.97015343900701834</v>
      </c>
      <c r="P305" s="262"/>
      <c r="Q305" s="262"/>
      <c r="R305" s="262"/>
    </row>
    <row r="306" spans="1:18" s="60" customFormat="1" ht="44.25" customHeight="1" x14ac:dyDescent="0.2">
      <c r="A306" s="236"/>
      <c r="B306" s="273"/>
      <c r="C306" s="493"/>
      <c r="D306" s="274"/>
      <c r="E306" s="493"/>
      <c r="F306" s="302"/>
      <c r="G306" s="493"/>
      <c r="H306" s="351" t="s">
        <v>335</v>
      </c>
      <c r="I306" s="350">
        <v>490107447</v>
      </c>
      <c r="J306" s="350">
        <v>475479425.19</v>
      </c>
      <c r="K306" s="350">
        <v>475479425.19</v>
      </c>
      <c r="L306" s="350">
        <v>475479425.19</v>
      </c>
      <c r="M306" s="350">
        <v>475479425.19</v>
      </c>
      <c r="N306" s="350">
        <v>475479425.19</v>
      </c>
      <c r="O306" s="555">
        <f t="shared" ref="O306:O369" si="5">K306/I306</f>
        <v>0.97015343900701834</v>
      </c>
      <c r="P306" s="262"/>
      <c r="Q306" s="262"/>
      <c r="R306" s="262"/>
    </row>
    <row r="307" spans="1:18" s="60" customFormat="1" ht="27.75" customHeight="1" x14ac:dyDescent="0.2">
      <c r="A307" s="236"/>
      <c r="B307" s="273"/>
      <c r="C307" s="493"/>
      <c r="D307" s="321">
        <v>21</v>
      </c>
      <c r="E307" s="322" t="s">
        <v>439</v>
      </c>
      <c r="F307" s="343"/>
      <c r="G307" s="324"/>
      <c r="H307" s="256"/>
      <c r="I307" s="257">
        <v>314871960</v>
      </c>
      <c r="J307" s="257">
        <v>235510192</v>
      </c>
      <c r="K307" s="257">
        <v>235510192</v>
      </c>
      <c r="L307" s="257">
        <v>235510192</v>
      </c>
      <c r="M307" s="257">
        <v>235510192</v>
      </c>
      <c r="N307" s="257">
        <v>235510192</v>
      </c>
      <c r="O307" s="545">
        <f t="shared" si="5"/>
        <v>0.74795542924812997</v>
      </c>
      <c r="P307" s="262"/>
      <c r="Q307" s="262"/>
      <c r="R307" s="262"/>
    </row>
    <row r="308" spans="1:18" s="60" customFormat="1" ht="27.75" customHeight="1" x14ac:dyDescent="0.2">
      <c r="A308" s="236"/>
      <c r="B308" s="273"/>
      <c r="C308" s="493"/>
      <c r="D308" s="312"/>
      <c r="E308" s="313"/>
      <c r="F308" s="436">
        <v>72</v>
      </c>
      <c r="G308" s="432" t="s">
        <v>440</v>
      </c>
      <c r="H308" s="423"/>
      <c r="I308" s="424">
        <v>160171960</v>
      </c>
      <c r="J308" s="424">
        <v>127300193</v>
      </c>
      <c r="K308" s="424">
        <v>127300193</v>
      </c>
      <c r="L308" s="424">
        <v>127300193</v>
      </c>
      <c r="M308" s="424">
        <v>127300193</v>
      </c>
      <c r="N308" s="424">
        <v>127300193</v>
      </c>
      <c r="O308" s="546">
        <f t="shared" si="5"/>
        <v>0.79477202501611388</v>
      </c>
      <c r="P308" s="262"/>
      <c r="Q308" s="262"/>
      <c r="R308" s="262"/>
    </row>
    <row r="309" spans="1:18" s="60" customFormat="1" ht="39" customHeight="1" x14ac:dyDescent="0.2">
      <c r="A309" s="236"/>
      <c r="B309" s="273"/>
      <c r="C309" s="493"/>
      <c r="D309" s="274"/>
      <c r="E309" s="493"/>
      <c r="F309" s="302"/>
      <c r="G309" s="493"/>
      <c r="H309" s="351" t="s">
        <v>336</v>
      </c>
      <c r="I309" s="350">
        <v>160171960</v>
      </c>
      <c r="J309" s="350">
        <v>127300193</v>
      </c>
      <c r="K309" s="350">
        <v>127300193</v>
      </c>
      <c r="L309" s="350">
        <v>127300193</v>
      </c>
      <c r="M309" s="350">
        <v>127300193</v>
      </c>
      <c r="N309" s="350">
        <v>127300193</v>
      </c>
      <c r="O309" s="555">
        <f t="shared" si="5"/>
        <v>0.79477202501611388</v>
      </c>
      <c r="P309" s="262"/>
      <c r="Q309" s="262"/>
      <c r="R309" s="262"/>
    </row>
    <row r="310" spans="1:18" s="60" customFormat="1" ht="27.75" customHeight="1" x14ac:dyDescent="0.2">
      <c r="A310" s="236"/>
      <c r="B310" s="273"/>
      <c r="C310" s="493"/>
      <c r="D310" s="274"/>
      <c r="E310" s="493"/>
      <c r="F310" s="431">
        <v>73</v>
      </c>
      <c r="G310" s="432" t="s">
        <v>441</v>
      </c>
      <c r="H310" s="423"/>
      <c r="I310" s="424">
        <v>154700000</v>
      </c>
      <c r="J310" s="424">
        <v>108209999</v>
      </c>
      <c r="K310" s="424">
        <v>108209999</v>
      </c>
      <c r="L310" s="424">
        <v>108209999</v>
      </c>
      <c r="M310" s="424">
        <v>108209999</v>
      </c>
      <c r="N310" s="424">
        <v>108209999</v>
      </c>
      <c r="O310" s="546">
        <f t="shared" si="5"/>
        <v>0.69948286360698131</v>
      </c>
      <c r="P310" s="262"/>
      <c r="Q310" s="262"/>
      <c r="R310" s="262"/>
    </row>
    <row r="311" spans="1:18" s="60" customFormat="1" ht="31.5" customHeight="1" x14ac:dyDescent="0.2">
      <c r="A311" s="236"/>
      <c r="B311" s="273"/>
      <c r="C311" s="493"/>
      <c r="D311" s="274"/>
      <c r="E311" s="492"/>
      <c r="F311" s="302"/>
      <c r="G311" s="493"/>
      <c r="H311" s="352" t="s">
        <v>337</v>
      </c>
      <c r="I311" s="350">
        <v>154700000</v>
      </c>
      <c r="J311" s="350">
        <v>108209999</v>
      </c>
      <c r="K311" s="350">
        <v>108209999</v>
      </c>
      <c r="L311" s="350">
        <v>108209999</v>
      </c>
      <c r="M311" s="350">
        <v>108209999</v>
      </c>
      <c r="N311" s="350">
        <v>108209999</v>
      </c>
      <c r="O311" s="555">
        <f t="shared" si="5"/>
        <v>0.69948286360698131</v>
      </c>
      <c r="P311" s="262"/>
      <c r="Q311" s="262"/>
      <c r="R311" s="262"/>
    </row>
    <row r="312" spans="1:18" s="60" customFormat="1" ht="27.75" customHeight="1" x14ac:dyDescent="0.2">
      <c r="A312" s="236"/>
      <c r="B312" s="273"/>
      <c r="C312" s="493"/>
      <c r="D312" s="321">
        <v>22</v>
      </c>
      <c r="E312" s="322" t="s">
        <v>442</v>
      </c>
      <c r="F312" s="343"/>
      <c r="G312" s="324"/>
      <c r="H312" s="256"/>
      <c r="I312" s="257">
        <v>212553176</v>
      </c>
      <c r="J312" s="257">
        <v>212523130.55999997</v>
      </c>
      <c r="K312" s="257">
        <v>212523130.55999997</v>
      </c>
      <c r="L312" s="257">
        <v>212523130.55999991</v>
      </c>
      <c r="M312" s="257">
        <v>212523130.55999991</v>
      </c>
      <c r="N312" s="257">
        <v>212523130.55999991</v>
      </c>
      <c r="O312" s="545">
        <f t="shared" si="5"/>
        <v>0.99985864506677602</v>
      </c>
      <c r="P312" s="262"/>
      <c r="Q312" s="262"/>
      <c r="R312" s="262"/>
    </row>
    <row r="313" spans="1:18" s="60" customFormat="1" ht="27.75" customHeight="1" x14ac:dyDescent="0.2">
      <c r="A313" s="236"/>
      <c r="B313" s="273"/>
      <c r="C313" s="493"/>
      <c r="D313" s="312"/>
      <c r="E313" s="313"/>
      <c r="F313" s="436">
        <v>74</v>
      </c>
      <c r="G313" s="432" t="s">
        <v>443</v>
      </c>
      <c r="H313" s="423"/>
      <c r="I313" s="424">
        <v>212553176</v>
      </c>
      <c r="J313" s="424">
        <v>212523130.55999997</v>
      </c>
      <c r="K313" s="424">
        <v>212523130.55999997</v>
      </c>
      <c r="L313" s="424">
        <v>212523130.55999991</v>
      </c>
      <c r="M313" s="424">
        <v>212523130.55999991</v>
      </c>
      <c r="N313" s="424">
        <v>212523130.55999991</v>
      </c>
      <c r="O313" s="546">
        <f t="shared" si="5"/>
        <v>0.99985864506677602</v>
      </c>
      <c r="P313" s="262"/>
      <c r="Q313" s="262"/>
      <c r="R313" s="262"/>
    </row>
    <row r="314" spans="1:18" s="60" customFormat="1" ht="33.75" customHeight="1" x14ac:dyDescent="0.2">
      <c r="A314" s="236"/>
      <c r="B314" s="273"/>
      <c r="C314" s="493"/>
      <c r="D314" s="274"/>
      <c r="E314" s="493"/>
      <c r="F314" s="302"/>
      <c r="G314" s="493"/>
      <c r="H314" s="352" t="s">
        <v>338</v>
      </c>
      <c r="I314" s="350">
        <v>212553176</v>
      </c>
      <c r="J314" s="350">
        <v>212523130.55999997</v>
      </c>
      <c r="K314" s="350">
        <v>212523130.55999997</v>
      </c>
      <c r="L314" s="350">
        <v>212523130.55999991</v>
      </c>
      <c r="M314" s="350">
        <v>212523130.55999991</v>
      </c>
      <c r="N314" s="350">
        <v>212523130.55999991</v>
      </c>
      <c r="O314" s="555">
        <f t="shared" si="5"/>
        <v>0.99985864506677602</v>
      </c>
      <c r="P314" s="262"/>
      <c r="Q314" s="262"/>
      <c r="R314" s="262"/>
    </row>
    <row r="315" spans="1:18" s="60" customFormat="1" ht="27.75" customHeight="1" x14ac:dyDescent="0.2">
      <c r="A315" s="236"/>
      <c r="B315" s="275">
        <v>4</v>
      </c>
      <c r="C315" s="276" t="s">
        <v>444</v>
      </c>
      <c r="D315" s="244"/>
      <c r="E315" s="245"/>
      <c r="F315" s="276"/>
      <c r="G315" s="307"/>
      <c r="H315" s="248"/>
      <c r="I315" s="249">
        <v>11333676345.1</v>
      </c>
      <c r="J315" s="249">
        <v>6023076922</v>
      </c>
      <c r="K315" s="249">
        <v>6023076922</v>
      </c>
      <c r="L315" s="249">
        <v>5888418757</v>
      </c>
      <c r="M315" s="249">
        <v>5888418757</v>
      </c>
      <c r="N315" s="249">
        <v>5310599423.1000004</v>
      </c>
      <c r="O315" s="544">
        <f t="shared" si="5"/>
        <v>0.53143187952460069</v>
      </c>
      <c r="P315" s="262"/>
      <c r="Q315" s="262"/>
      <c r="R315" s="262"/>
    </row>
    <row r="316" spans="1:18" s="60" customFormat="1" ht="27.75" customHeight="1" x14ac:dyDescent="0.2">
      <c r="A316" s="236"/>
      <c r="B316" s="357"/>
      <c r="C316" s="358"/>
      <c r="D316" s="359">
        <v>23</v>
      </c>
      <c r="E316" s="360" t="s">
        <v>445</v>
      </c>
      <c r="F316" s="323"/>
      <c r="G316" s="324"/>
      <c r="H316" s="256"/>
      <c r="I316" s="257">
        <v>10034826569.1</v>
      </c>
      <c r="J316" s="257">
        <v>5168435660</v>
      </c>
      <c r="K316" s="257">
        <v>5168435660</v>
      </c>
      <c r="L316" s="257">
        <v>5037608421</v>
      </c>
      <c r="M316" s="257">
        <v>5037608421</v>
      </c>
      <c r="N316" s="257">
        <v>4866390909.1000004</v>
      </c>
      <c r="O316" s="545">
        <f t="shared" si="5"/>
        <v>0.5150498241708571</v>
      </c>
      <c r="P316" s="262"/>
      <c r="Q316" s="262"/>
      <c r="R316" s="262"/>
    </row>
    <row r="317" spans="1:18" s="60" customFormat="1" ht="27.75" customHeight="1" x14ac:dyDescent="0.2">
      <c r="A317" s="236"/>
      <c r="B317" s="277"/>
      <c r="C317" s="278"/>
      <c r="D317" s="333"/>
      <c r="E317" s="327"/>
      <c r="F317" s="431">
        <v>75</v>
      </c>
      <c r="G317" s="432" t="s">
        <v>446</v>
      </c>
      <c r="H317" s="423"/>
      <c r="I317" s="424">
        <v>8767274815.1000004</v>
      </c>
      <c r="J317" s="424">
        <v>4593018431</v>
      </c>
      <c r="K317" s="424">
        <v>4593018431</v>
      </c>
      <c r="L317" s="424">
        <v>4464191192</v>
      </c>
      <c r="M317" s="424">
        <v>4464191192</v>
      </c>
      <c r="N317" s="424">
        <v>4174256384.0999999</v>
      </c>
      <c r="O317" s="546">
        <f t="shared" si="5"/>
        <v>0.52388211021848885</v>
      </c>
      <c r="P317" s="262"/>
      <c r="Q317" s="262"/>
      <c r="R317" s="262"/>
    </row>
    <row r="318" spans="1:18" s="60" customFormat="1" ht="38.25" customHeight="1" x14ac:dyDescent="0.2">
      <c r="A318" s="236"/>
      <c r="B318" s="273"/>
      <c r="C318" s="493"/>
      <c r="D318" s="492"/>
      <c r="E318" s="493"/>
      <c r="F318" s="302"/>
      <c r="G318" s="493"/>
      <c r="H318" s="561" t="s">
        <v>211</v>
      </c>
      <c r="I318" s="107">
        <v>30000000</v>
      </c>
      <c r="J318" s="107">
        <v>28101812</v>
      </c>
      <c r="K318" s="107">
        <v>28101812</v>
      </c>
      <c r="L318" s="107">
        <v>28101812</v>
      </c>
      <c r="M318" s="107">
        <v>28101812</v>
      </c>
      <c r="N318" s="106">
        <v>1898188</v>
      </c>
      <c r="O318" s="547">
        <f t="shared" si="5"/>
        <v>0.93672706666666672</v>
      </c>
      <c r="P318" s="262"/>
      <c r="Q318" s="262"/>
      <c r="R318" s="262"/>
    </row>
    <row r="319" spans="1:18" s="60" customFormat="1" ht="38.25" customHeight="1" x14ac:dyDescent="0.2">
      <c r="A319" s="236"/>
      <c r="B319" s="273"/>
      <c r="C319" s="493"/>
      <c r="D319" s="492"/>
      <c r="E319" s="493"/>
      <c r="F319" s="274"/>
      <c r="G319" s="493"/>
      <c r="H319" s="563"/>
      <c r="I319" s="107">
        <v>1228643203.0999999</v>
      </c>
      <c r="J319" s="107">
        <v>859312439</v>
      </c>
      <c r="K319" s="107">
        <v>859312439</v>
      </c>
      <c r="L319" s="107">
        <v>730485200</v>
      </c>
      <c r="M319" s="107">
        <v>730485200</v>
      </c>
      <c r="N319" s="106">
        <v>369330764.0999999</v>
      </c>
      <c r="O319" s="547">
        <f t="shared" si="5"/>
        <v>0.69939949761807307</v>
      </c>
      <c r="P319" s="262"/>
      <c r="Q319" s="262"/>
      <c r="R319" s="262"/>
    </row>
    <row r="320" spans="1:18" s="60" customFormat="1" ht="38.25" customHeight="1" x14ac:dyDescent="0.2">
      <c r="A320" s="236"/>
      <c r="B320" s="273"/>
      <c r="C320" s="493"/>
      <c r="D320" s="492"/>
      <c r="E320" s="493"/>
      <c r="F320" s="274"/>
      <c r="G320" s="493"/>
      <c r="H320" s="563"/>
      <c r="I320" s="107">
        <v>50000000</v>
      </c>
      <c r="J320" s="107">
        <v>49882223</v>
      </c>
      <c r="K320" s="107">
        <v>49882223</v>
      </c>
      <c r="L320" s="107">
        <v>49882223</v>
      </c>
      <c r="M320" s="107">
        <v>49882223</v>
      </c>
      <c r="N320" s="106">
        <v>117777</v>
      </c>
      <c r="O320" s="547">
        <f t="shared" si="5"/>
        <v>0.99764445999999996</v>
      </c>
      <c r="P320" s="262"/>
      <c r="Q320" s="262"/>
      <c r="R320" s="262"/>
    </row>
    <row r="321" spans="1:18" s="60" customFormat="1" ht="38.25" customHeight="1" x14ac:dyDescent="0.2">
      <c r="A321" s="236"/>
      <c r="B321" s="273"/>
      <c r="C321" s="493"/>
      <c r="D321" s="492"/>
      <c r="E321" s="493"/>
      <c r="F321" s="314"/>
      <c r="G321" s="334"/>
      <c r="H321" s="562"/>
      <c r="I321" s="107">
        <v>7458631612</v>
      </c>
      <c r="J321" s="107">
        <v>3655721957</v>
      </c>
      <c r="K321" s="107">
        <v>3655721957</v>
      </c>
      <c r="L321" s="107">
        <v>3655721957</v>
      </c>
      <c r="M321" s="107">
        <v>3655721957</v>
      </c>
      <c r="N321" s="106">
        <v>3802909655</v>
      </c>
      <c r="O321" s="547">
        <f t="shared" si="5"/>
        <v>0.49013306289566616</v>
      </c>
      <c r="P321" s="262"/>
      <c r="Q321" s="262"/>
      <c r="R321" s="262"/>
    </row>
    <row r="322" spans="1:18" s="60" customFormat="1" ht="27.75" customHeight="1" x14ac:dyDescent="0.2">
      <c r="A322" s="236"/>
      <c r="B322" s="273"/>
      <c r="C322" s="493"/>
      <c r="D322" s="492"/>
      <c r="E322" s="493"/>
      <c r="F322" s="431">
        <v>76</v>
      </c>
      <c r="G322" s="432" t="s">
        <v>447</v>
      </c>
      <c r="H322" s="423"/>
      <c r="I322" s="424">
        <v>638000000</v>
      </c>
      <c r="J322" s="424">
        <v>494170565</v>
      </c>
      <c r="K322" s="424">
        <v>494170565</v>
      </c>
      <c r="L322" s="424">
        <v>492170565</v>
      </c>
      <c r="M322" s="424">
        <v>492170565</v>
      </c>
      <c r="N322" s="424">
        <v>143829435</v>
      </c>
      <c r="O322" s="546">
        <f t="shared" si="5"/>
        <v>0.7745620141065831</v>
      </c>
      <c r="P322" s="262"/>
      <c r="Q322" s="262"/>
      <c r="R322" s="262"/>
    </row>
    <row r="323" spans="1:18" s="60" customFormat="1" ht="33" customHeight="1" x14ac:dyDescent="0.2">
      <c r="A323" s="236"/>
      <c r="B323" s="273"/>
      <c r="C323" s="493"/>
      <c r="D323" s="492"/>
      <c r="E323" s="493"/>
      <c r="F323" s="302"/>
      <c r="G323" s="493"/>
      <c r="H323" s="561" t="s">
        <v>218</v>
      </c>
      <c r="I323" s="107">
        <v>180000000</v>
      </c>
      <c r="J323" s="107">
        <v>130643285</v>
      </c>
      <c r="K323" s="107">
        <v>130643285</v>
      </c>
      <c r="L323" s="107">
        <v>128643285</v>
      </c>
      <c r="M323" s="107">
        <v>128643285</v>
      </c>
      <c r="N323" s="106">
        <v>49356715</v>
      </c>
      <c r="O323" s="547">
        <f t="shared" si="5"/>
        <v>0.72579602777777774</v>
      </c>
      <c r="P323" s="262"/>
      <c r="Q323" s="262"/>
      <c r="R323" s="262"/>
    </row>
    <row r="324" spans="1:18" s="60" customFormat="1" ht="33" customHeight="1" x14ac:dyDescent="0.2">
      <c r="A324" s="236"/>
      <c r="B324" s="273"/>
      <c r="C324" s="493"/>
      <c r="D324" s="492"/>
      <c r="E324" s="493"/>
      <c r="F324" s="314"/>
      <c r="G324" s="334"/>
      <c r="H324" s="562"/>
      <c r="I324" s="107">
        <v>458000000</v>
      </c>
      <c r="J324" s="107">
        <v>363527280</v>
      </c>
      <c r="K324" s="107">
        <v>363527280</v>
      </c>
      <c r="L324" s="107">
        <v>363527280</v>
      </c>
      <c r="M324" s="107">
        <v>363527280</v>
      </c>
      <c r="N324" s="106">
        <v>94472720</v>
      </c>
      <c r="O324" s="547">
        <f t="shared" si="5"/>
        <v>0.79372768558951967</v>
      </c>
      <c r="P324" s="262"/>
      <c r="Q324" s="262"/>
      <c r="R324" s="262"/>
    </row>
    <row r="325" spans="1:18" s="60" customFormat="1" ht="27.75" customHeight="1" x14ac:dyDescent="0.2">
      <c r="A325" s="236"/>
      <c r="B325" s="273"/>
      <c r="C325" s="493"/>
      <c r="D325" s="492"/>
      <c r="E325" s="493"/>
      <c r="F325" s="431">
        <v>77</v>
      </c>
      <c r="G325" s="437" t="s">
        <v>448</v>
      </c>
      <c r="H325" s="423"/>
      <c r="I325" s="424">
        <v>629551754</v>
      </c>
      <c r="J325" s="424">
        <v>81246664</v>
      </c>
      <c r="K325" s="424">
        <v>81246664</v>
      </c>
      <c r="L325" s="424">
        <v>81246664</v>
      </c>
      <c r="M325" s="424">
        <v>81246664</v>
      </c>
      <c r="N325" s="424">
        <v>548305090</v>
      </c>
      <c r="O325" s="546">
        <f t="shared" si="5"/>
        <v>0.12905478141198221</v>
      </c>
      <c r="P325" s="262"/>
      <c r="Q325" s="262"/>
      <c r="R325" s="262"/>
    </row>
    <row r="326" spans="1:18" s="60" customFormat="1" ht="60" customHeight="1" x14ac:dyDescent="0.2">
      <c r="A326" s="487"/>
      <c r="B326" s="273"/>
      <c r="C326" s="493"/>
      <c r="D326" s="492"/>
      <c r="E326" s="493"/>
      <c r="F326" s="302"/>
      <c r="G326" s="309"/>
      <c r="H326" s="101" t="s">
        <v>509</v>
      </c>
      <c r="I326" s="138">
        <v>500000000</v>
      </c>
      <c r="J326" s="138">
        <v>0</v>
      </c>
      <c r="K326" s="138">
        <v>0</v>
      </c>
      <c r="L326" s="138">
        <v>0</v>
      </c>
      <c r="M326" s="138">
        <v>0</v>
      </c>
      <c r="N326" s="138">
        <v>500000000</v>
      </c>
      <c r="O326" s="547">
        <f t="shared" si="5"/>
        <v>0</v>
      </c>
      <c r="P326" s="262"/>
      <c r="Q326" s="262"/>
      <c r="R326" s="262"/>
    </row>
    <row r="327" spans="1:18" s="60" customFormat="1" ht="42" customHeight="1" x14ac:dyDescent="0.2">
      <c r="A327" s="236"/>
      <c r="B327" s="273"/>
      <c r="C327" s="493"/>
      <c r="D327" s="492"/>
      <c r="E327" s="493"/>
      <c r="F327" s="302"/>
      <c r="G327" s="309"/>
      <c r="H327" s="361" t="s">
        <v>449</v>
      </c>
      <c r="I327" s="138">
        <v>129551754</v>
      </c>
      <c r="J327" s="138">
        <v>81246664</v>
      </c>
      <c r="K327" s="138">
        <v>81246664</v>
      </c>
      <c r="L327" s="138">
        <v>81246664</v>
      </c>
      <c r="M327" s="138">
        <v>81246664</v>
      </c>
      <c r="N327" s="138">
        <v>48305090</v>
      </c>
      <c r="O327" s="547">
        <f t="shared" si="5"/>
        <v>0.62713673486813615</v>
      </c>
      <c r="P327" s="262"/>
      <c r="Q327" s="262"/>
      <c r="R327" s="262"/>
    </row>
    <row r="328" spans="1:18" s="60" customFormat="1" ht="27.75" customHeight="1" x14ac:dyDescent="0.2">
      <c r="A328" s="236"/>
      <c r="B328" s="273"/>
      <c r="C328" s="493"/>
      <c r="D328" s="445">
        <v>24</v>
      </c>
      <c r="E328" s="363" t="s">
        <v>450</v>
      </c>
      <c r="F328" s="337"/>
      <c r="G328" s="411"/>
      <c r="H328" s="256"/>
      <c r="I328" s="257">
        <v>701349776</v>
      </c>
      <c r="J328" s="257">
        <v>451702204</v>
      </c>
      <c r="K328" s="257">
        <v>451702204</v>
      </c>
      <c r="L328" s="257">
        <v>448863928</v>
      </c>
      <c r="M328" s="257">
        <v>448863928</v>
      </c>
      <c r="N328" s="257">
        <v>249647572</v>
      </c>
      <c r="O328" s="545">
        <f t="shared" si="5"/>
        <v>0.64404697835107028</v>
      </c>
      <c r="P328" s="262"/>
      <c r="Q328" s="262"/>
      <c r="R328" s="262"/>
    </row>
    <row r="329" spans="1:18" s="60" customFormat="1" ht="27.75" customHeight="1" x14ac:dyDescent="0.2">
      <c r="A329" s="236"/>
      <c r="B329" s="273"/>
      <c r="C329" s="493"/>
      <c r="D329" s="362"/>
      <c r="E329" s="327"/>
      <c r="F329" s="431">
        <v>78</v>
      </c>
      <c r="G329" s="432" t="s">
        <v>451</v>
      </c>
      <c r="H329" s="423"/>
      <c r="I329" s="424">
        <v>627189776</v>
      </c>
      <c r="J329" s="424">
        <v>377987304</v>
      </c>
      <c r="K329" s="424">
        <v>377987304</v>
      </c>
      <c r="L329" s="424">
        <v>375149028</v>
      </c>
      <c r="M329" s="424">
        <v>375149028</v>
      </c>
      <c r="N329" s="424">
        <v>249202472</v>
      </c>
      <c r="O329" s="546">
        <f t="shared" si="5"/>
        <v>0.60266815318749711</v>
      </c>
      <c r="P329" s="262"/>
      <c r="Q329" s="262"/>
      <c r="R329" s="262"/>
    </row>
    <row r="330" spans="1:18" s="60" customFormat="1" ht="56.25" customHeight="1" x14ac:dyDescent="0.2">
      <c r="A330" s="236"/>
      <c r="B330" s="273"/>
      <c r="C330" s="493"/>
      <c r="D330" s="492"/>
      <c r="E330" s="493"/>
      <c r="F330" s="302"/>
      <c r="G330" s="493"/>
      <c r="H330" s="561" t="s">
        <v>221</v>
      </c>
      <c r="I330" s="107">
        <v>440189776</v>
      </c>
      <c r="J330" s="107">
        <v>245193971</v>
      </c>
      <c r="K330" s="107">
        <v>245193971</v>
      </c>
      <c r="L330" s="107">
        <v>242355695</v>
      </c>
      <c r="M330" s="107">
        <v>242355695</v>
      </c>
      <c r="N330" s="138">
        <v>194995805</v>
      </c>
      <c r="O330" s="553">
        <f t="shared" si="5"/>
        <v>0.55701877773735475</v>
      </c>
      <c r="P330" s="262"/>
      <c r="Q330" s="262"/>
      <c r="R330" s="262"/>
    </row>
    <row r="331" spans="1:18" s="60" customFormat="1" ht="56.25" customHeight="1" x14ac:dyDescent="0.2">
      <c r="A331" s="236"/>
      <c r="B331" s="273"/>
      <c r="C331" s="493"/>
      <c r="D331" s="492"/>
      <c r="E331" s="493"/>
      <c r="F331" s="314"/>
      <c r="G331" s="334"/>
      <c r="H331" s="562"/>
      <c r="I331" s="107">
        <v>187000000</v>
      </c>
      <c r="J331" s="107">
        <v>132793333</v>
      </c>
      <c r="K331" s="107">
        <v>132793333</v>
      </c>
      <c r="L331" s="107">
        <v>132793333</v>
      </c>
      <c r="M331" s="107">
        <v>132793333</v>
      </c>
      <c r="N331" s="138">
        <v>54206667</v>
      </c>
      <c r="O331" s="553">
        <f t="shared" si="5"/>
        <v>0.71012477540106955</v>
      </c>
      <c r="P331" s="262"/>
      <c r="Q331" s="262"/>
      <c r="R331" s="262"/>
    </row>
    <row r="332" spans="1:18" s="60" customFormat="1" ht="27.75" customHeight="1" x14ac:dyDescent="0.2">
      <c r="A332" s="236"/>
      <c r="B332" s="273"/>
      <c r="C332" s="493"/>
      <c r="D332" s="492"/>
      <c r="E332" s="493"/>
      <c r="F332" s="438">
        <v>79</v>
      </c>
      <c r="G332" s="439" t="s">
        <v>452</v>
      </c>
      <c r="H332" s="440"/>
      <c r="I332" s="441">
        <v>37080000</v>
      </c>
      <c r="J332" s="441">
        <v>36984900</v>
      </c>
      <c r="K332" s="441">
        <v>36984900</v>
      </c>
      <c r="L332" s="441">
        <v>36984900</v>
      </c>
      <c r="M332" s="441">
        <v>36984900</v>
      </c>
      <c r="N332" s="441">
        <v>95100</v>
      </c>
      <c r="O332" s="556">
        <f t="shared" si="5"/>
        <v>0.99743527508090613</v>
      </c>
      <c r="P332" s="262"/>
      <c r="Q332" s="262"/>
      <c r="R332" s="262"/>
    </row>
    <row r="333" spans="1:18" s="60" customFormat="1" ht="72" customHeight="1" x14ac:dyDescent="0.2">
      <c r="A333" s="236"/>
      <c r="B333" s="273"/>
      <c r="C333" s="493"/>
      <c r="D333" s="492"/>
      <c r="E333" s="493"/>
      <c r="F333" s="302"/>
      <c r="G333" s="493"/>
      <c r="H333" s="144" t="s">
        <v>224</v>
      </c>
      <c r="I333" s="107">
        <v>37080000</v>
      </c>
      <c r="J333" s="107">
        <v>36984900</v>
      </c>
      <c r="K333" s="107">
        <v>36984900</v>
      </c>
      <c r="L333" s="107">
        <v>36984900</v>
      </c>
      <c r="M333" s="107">
        <v>36984900</v>
      </c>
      <c r="N333" s="106">
        <v>95100</v>
      </c>
      <c r="O333" s="547">
        <f t="shared" si="5"/>
        <v>0.99743527508090613</v>
      </c>
      <c r="P333" s="262"/>
      <c r="Q333" s="262"/>
      <c r="R333" s="262"/>
    </row>
    <row r="334" spans="1:18" s="60" customFormat="1" ht="27.75" customHeight="1" x14ac:dyDescent="0.2">
      <c r="A334" s="236"/>
      <c r="B334" s="273"/>
      <c r="C334" s="493"/>
      <c r="D334" s="492"/>
      <c r="E334" s="493"/>
      <c r="F334" s="448">
        <v>80</v>
      </c>
      <c r="G334" s="439" t="s">
        <v>453</v>
      </c>
      <c r="H334" s="440"/>
      <c r="I334" s="441">
        <v>37080000</v>
      </c>
      <c r="J334" s="441">
        <v>36730000</v>
      </c>
      <c r="K334" s="441">
        <v>36730000</v>
      </c>
      <c r="L334" s="441">
        <v>36730000</v>
      </c>
      <c r="M334" s="441">
        <v>36730000</v>
      </c>
      <c r="N334" s="441">
        <v>350000</v>
      </c>
      <c r="O334" s="557">
        <f t="shared" si="5"/>
        <v>0.99056094929881333</v>
      </c>
      <c r="P334" s="262"/>
      <c r="Q334" s="262"/>
      <c r="R334" s="262"/>
    </row>
    <row r="335" spans="1:18" s="60" customFormat="1" ht="52.5" customHeight="1" x14ac:dyDescent="0.2">
      <c r="A335" s="236"/>
      <c r="B335" s="273"/>
      <c r="C335" s="493"/>
      <c r="D335" s="315"/>
      <c r="E335" s="334"/>
      <c r="F335" s="335"/>
      <c r="G335" s="334"/>
      <c r="H335" s="144" t="s">
        <v>226</v>
      </c>
      <c r="I335" s="107">
        <v>37080000</v>
      </c>
      <c r="J335" s="107">
        <v>36730000</v>
      </c>
      <c r="K335" s="107">
        <v>36730000</v>
      </c>
      <c r="L335" s="107">
        <v>36730000</v>
      </c>
      <c r="M335" s="107">
        <v>36730000</v>
      </c>
      <c r="N335" s="106">
        <v>350000</v>
      </c>
      <c r="O335" s="547">
        <f t="shared" si="5"/>
        <v>0.99056094929881333</v>
      </c>
      <c r="P335" s="262"/>
      <c r="Q335" s="262"/>
      <c r="R335" s="262"/>
    </row>
    <row r="336" spans="1:18" s="60" customFormat="1" ht="27.75" customHeight="1" x14ac:dyDescent="0.2">
      <c r="A336" s="236"/>
      <c r="B336" s="273"/>
      <c r="C336" s="493"/>
      <c r="D336" s="321">
        <v>25</v>
      </c>
      <c r="E336" s="363" t="s">
        <v>454</v>
      </c>
      <c r="F336" s="337"/>
      <c r="G336" s="325"/>
      <c r="H336" s="256"/>
      <c r="I336" s="257">
        <v>597500000</v>
      </c>
      <c r="J336" s="257">
        <v>402939058</v>
      </c>
      <c r="K336" s="257">
        <v>402939058</v>
      </c>
      <c r="L336" s="257">
        <v>401946408</v>
      </c>
      <c r="M336" s="257">
        <v>401946408</v>
      </c>
      <c r="N336" s="257">
        <v>194560942</v>
      </c>
      <c r="O336" s="545">
        <f t="shared" si="5"/>
        <v>0.67437499246861921</v>
      </c>
      <c r="P336" s="262"/>
      <c r="Q336" s="262"/>
      <c r="R336" s="262"/>
    </row>
    <row r="337" spans="1:18" s="60" customFormat="1" ht="27.75" customHeight="1" x14ac:dyDescent="0.2">
      <c r="A337" s="236"/>
      <c r="B337" s="273"/>
      <c r="C337" s="493"/>
      <c r="D337" s="362"/>
      <c r="E337" s="313"/>
      <c r="F337" s="431">
        <v>81</v>
      </c>
      <c r="G337" s="432" t="s">
        <v>455</v>
      </c>
      <c r="H337" s="423"/>
      <c r="I337" s="424">
        <v>507500000</v>
      </c>
      <c r="J337" s="424">
        <v>340418758</v>
      </c>
      <c r="K337" s="424">
        <v>340418758</v>
      </c>
      <c r="L337" s="424">
        <v>339426108</v>
      </c>
      <c r="M337" s="424">
        <v>339426108</v>
      </c>
      <c r="N337" s="424">
        <v>167081242</v>
      </c>
      <c r="O337" s="546">
        <f t="shared" si="5"/>
        <v>0.67077587783251236</v>
      </c>
      <c r="P337" s="262"/>
      <c r="Q337" s="262"/>
      <c r="R337" s="262"/>
    </row>
    <row r="338" spans="1:18" s="60" customFormat="1" ht="51.75" customHeight="1" x14ac:dyDescent="0.2">
      <c r="A338" s="236"/>
      <c r="B338" s="273"/>
      <c r="C338" s="493"/>
      <c r="D338" s="492"/>
      <c r="E338" s="493"/>
      <c r="F338" s="335"/>
      <c r="G338" s="403"/>
      <c r="H338" s="561" t="s">
        <v>228</v>
      </c>
      <c r="I338" s="107">
        <v>400000000</v>
      </c>
      <c r="J338" s="107">
        <v>292793992</v>
      </c>
      <c r="K338" s="107">
        <v>292793992</v>
      </c>
      <c r="L338" s="107">
        <v>291801342</v>
      </c>
      <c r="M338" s="107">
        <v>291801342</v>
      </c>
      <c r="N338" s="106">
        <v>107206008</v>
      </c>
      <c r="O338" s="547">
        <f t="shared" si="5"/>
        <v>0.73198498000000001</v>
      </c>
      <c r="P338" s="262"/>
      <c r="Q338" s="262"/>
      <c r="R338" s="262"/>
    </row>
    <row r="339" spans="1:18" s="60" customFormat="1" ht="51.75" customHeight="1" x14ac:dyDescent="0.2">
      <c r="A339" s="236"/>
      <c r="B339" s="273"/>
      <c r="C339" s="493"/>
      <c r="D339" s="492"/>
      <c r="E339" s="493"/>
      <c r="F339" s="314"/>
      <c r="G339" s="364"/>
      <c r="H339" s="562"/>
      <c r="I339" s="107">
        <v>107500000</v>
      </c>
      <c r="J339" s="107">
        <v>47624766</v>
      </c>
      <c r="K339" s="107">
        <v>47624766</v>
      </c>
      <c r="L339" s="107">
        <v>47624766</v>
      </c>
      <c r="M339" s="107">
        <v>47624766</v>
      </c>
      <c r="N339" s="106">
        <v>59875234</v>
      </c>
      <c r="O339" s="547">
        <f t="shared" si="5"/>
        <v>0.44302107906976745</v>
      </c>
      <c r="P339" s="262"/>
      <c r="Q339" s="262"/>
      <c r="R339" s="262"/>
    </row>
    <row r="340" spans="1:18" s="60" customFormat="1" ht="27.75" customHeight="1" x14ac:dyDescent="0.2">
      <c r="A340" s="236"/>
      <c r="B340" s="273"/>
      <c r="C340" s="493"/>
      <c r="D340" s="492"/>
      <c r="E340" s="493"/>
      <c r="F340" s="431">
        <v>82</v>
      </c>
      <c r="G340" s="432" t="s">
        <v>456</v>
      </c>
      <c r="H340" s="423"/>
      <c r="I340" s="424">
        <v>90000000</v>
      </c>
      <c r="J340" s="424">
        <v>62520300</v>
      </c>
      <c r="K340" s="424">
        <v>62520300</v>
      </c>
      <c r="L340" s="424">
        <v>62520300</v>
      </c>
      <c r="M340" s="424">
        <v>62520300</v>
      </c>
      <c r="N340" s="424">
        <v>27479700</v>
      </c>
      <c r="O340" s="546">
        <f t="shared" si="5"/>
        <v>0.69467000000000001</v>
      </c>
      <c r="P340" s="262"/>
      <c r="Q340" s="262"/>
      <c r="R340" s="262"/>
    </row>
    <row r="341" spans="1:18" s="60" customFormat="1" ht="33" customHeight="1" x14ac:dyDescent="0.2">
      <c r="A341" s="236"/>
      <c r="B341" s="353"/>
      <c r="C341" s="334"/>
      <c r="D341" s="315"/>
      <c r="E341" s="334"/>
      <c r="F341" s="335"/>
      <c r="G341" s="364"/>
      <c r="H341" s="144" t="s">
        <v>231</v>
      </c>
      <c r="I341" s="107">
        <v>90000000</v>
      </c>
      <c r="J341" s="107">
        <v>62520300</v>
      </c>
      <c r="K341" s="107">
        <v>62520300</v>
      </c>
      <c r="L341" s="107">
        <v>62520300</v>
      </c>
      <c r="M341" s="107">
        <v>62520300</v>
      </c>
      <c r="N341" s="106">
        <v>27479700</v>
      </c>
      <c r="O341" s="547">
        <f t="shared" si="5"/>
        <v>0.69467000000000001</v>
      </c>
      <c r="P341" s="262"/>
      <c r="Q341" s="262"/>
      <c r="R341" s="262"/>
    </row>
    <row r="342" spans="1:18" s="60" customFormat="1" ht="24" customHeight="1" x14ac:dyDescent="0.2">
      <c r="A342" s="236"/>
      <c r="B342" s="365">
        <v>5</v>
      </c>
      <c r="C342" s="366" t="s">
        <v>457</v>
      </c>
      <c r="D342" s="355"/>
      <c r="E342" s="356"/>
      <c r="F342" s="354"/>
      <c r="G342" s="367"/>
      <c r="H342" s="248"/>
      <c r="I342" s="249">
        <v>8925921307</v>
      </c>
      <c r="J342" s="249">
        <v>6064974868.2299995</v>
      </c>
      <c r="K342" s="249">
        <v>6064974868.2299995</v>
      </c>
      <c r="L342" s="249">
        <v>5596830688.2299995</v>
      </c>
      <c r="M342" s="249">
        <v>5596830688.2299995</v>
      </c>
      <c r="N342" s="249">
        <v>2860946438.77</v>
      </c>
      <c r="O342" s="544">
        <f t="shared" si="5"/>
        <v>0.67947886382032607</v>
      </c>
      <c r="P342" s="262"/>
      <c r="Q342" s="262"/>
      <c r="R342" s="262"/>
    </row>
    <row r="343" spans="1:18" s="60" customFormat="1" ht="24" customHeight="1" x14ac:dyDescent="0.2">
      <c r="A343" s="236"/>
      <c r="B343" s="357"/>
      <c r="C343" s="358"/>
      <c r="D343" s="368">
        <v>26</v>
      </c>
      <c r="E343" s="363" t="s">
        <v>458</v>
      </c>
      <c r="F343" s="337"/>
      <c r="G343" s="325"/>
      <c r="H343" s="256"/>
      <c r="I343" s="257">
        <v>1579534666</v>
      </c>
      <c r="J343" s="257">
        <v>777372277</v>
      </c>
      <c r="K343" s="257">
        <v>777372277</v>
      </c>
      <c r="L343" s="257">
        <v>744296577</v>
      </c>
      <c r="M343" s="257">
        <v>744296577</v>
      </c>
      <c r="N343" s="257">
        <v>802162389</v>
      </c>
      <c r="O343" s="545">
        <f t="shared" si="5"/>
        <v>0.49215271670397137</v>
      </c>
      <c r="P343" s="262"/>
      <c r="Q343" s="262"/>
      <c r="R343" s="262"/>
    </row>
    <row r="344" spans="1:18" s="60" customFormat="1" ht="24" customHeight="1" x14ac:dyDescent="0.2">
      <c r="A344" s="236"/>
      <c r="B344" s="277"/>
      <c r="C344" s="278"/>
      <c r="D344" s="362"/>
      <c r="E344" s="313"/>
      <c r="F344" s="435">
        <v>83</v>
      </c>
      <c r="G344" s="432" t="s">
        <v>459</v>
      </c>
      <c r="H344" s="423"/>
      <c r="I344" s="424">
        <v>1499534666</v>
      </c>
      <c r="J344" s="424">
        <v>726518947</v>
      </c>
      <c r="K344" s="424">
        <v>726518947</v>
      </c>
      <c r="L344" s="424">
        <v>702574247</v>
      </c>
      <c r="M344" s="424">
        <v>702574247</v>
      </c>
      <c r="N344" s="424">
        <v>773015719</v>
      </c>
      <c r="O344" s="546">
        <f t="shared" si="5"/>
        <v>0.48449626639041632</v>
      </c>
      <c r="P344" s="262"/>
      <c r="Q344" s="262"/>
      <c r="R344" s="262"/>
    </row>
    <row r="345" spans="1:18" s="60" customFormat="1" ht="72" customHeight="1" x14ac:dyDescent="0.2">
      <c r="A345" s="236"/>
      <c r="B345" s="277"/>
      <c r="C345" s="278"/>
      <c r="D345" s="369"/>
      <c r="E345" s="285"/>
      <c r="F345" s="176"/>
      <c r="G345" s="492"/>
      <c r="H345" s="141" t="s">
        <v>56</v>
      </c>
      <c r="I345" s="138">
        <v>30000000</v>
      </c>
      <c r="J345" s="138">
        <v>27420000</v>
      </c>
      <c r="K345" s="138">
        <v>27420000</v>
      </c>
      <c r="L345" s="138">
        <v>27078600</v>
      </c>
      <c r="M345" s="138">
        <v>27078600</v>
      </c>
      <c r="N345" s="138">
        <v>2580000</v>
      </c>
      <c r="O345" s="547">
        <f t="shared" si="5"/>
        <v>0.91400000000000003</v>
      </c>
      <c r="P345" s="262"/>
      <c r="Q345" s="262"/>
      <c r="R345" s="262"/>
    </row>
    <row r="346" spans="1:18" s="60" customFormat="1" ht="64.5" customHeight="1" x14ac:dyDescent="0.2">
      <c r="A346" s="236"/>
      <c r="B346" s="277"/>
      <c r="C346" s="278"/>
      <c r="D346" s="369"/>
      <c r="E346" s="285"/>
      <c r="F346" s="176"/>
      <c r="G346" s="492"/>
      <c r="H346" s="570" t="s">
        <v>243</v>
      </c>
      <c r="I346" s="71">
        <v>789534666</v>
      </c>
      <c r="J346" s="71">
        <v>221464000</v>
      </c>
      <c r="K346" s="71">
        <v>221464000</v>
      </c>
      <c r="L346" s="71">
        <v>212140700</v>
      </c>
      <c r="M346" s="71">
        <v>212140700</v>
      </c>
      <c r="N346" s="123">
        <v>568070666</v>
      </c>
      <c r="O346" s="558">
        <f t="shared" si="5"/>
        <v>0.28049939988322187</v>
      </c>
      <c r="P346" s="262"/>
      <c r="Q346" s="262"/>
      <c r="R346" s="262"/>
    </row>
    <row r="347" spans="1:18" s="60" customFormat="1" ht="47.25" customHeight="1" x14ac:dyDescent="0.2">
      <c r="A347" s="236"/>
      <c r="B347" s="277"/>
      <c r="C347" s="278"/>
      <c r="D347" s="369"/>
      <c r="E347" s="285"/>
      <c r="F347" s="176"/>
      <c r="G347" s="492"/>
      <c r="H347" s="571"/>
      <c r="I347" s="71">
        <v>365000000</v>
      </c>
      <c r="J347" s="71">
        <v>223706251</v>
      </c>
      <c r="K347" s="71">
        <v>223706251</v>
      </c>
      <c r="L347" s="71">
        <v>209426251</v>
      </c>
      <c r="M347" s="71">
        <v>209426251</v>
      </c>
      <c r="N347" s="123">
        <v>141293749</v>
      </c>
      <c r="O347" s="558">
        <f t="shared" si="5"/>
        <v>0.6128938383561644</v>
      </c>
      <c r="P347" s="262"/>
      <c r="Q347" s="262"/>
      <c r="R347" s="262"/>
    </row>
    <row r="348" spans="1:18" s="60" customFormat="1" ht="47.25" customHeight="1" x14ac:dyDescent="0.2">
      <c r="A348" s="236"/>
      <c r="B348" s="277"/>
      <c r="C348" s="278"/>
      <c r="D348" s="369"/>
      <c r="E348" s="285"/>
      <c r="F348" s="176"/>
      <c r="G348" s="492"/>
      <c r="H348" s="572" t="s">
        <v>244</v>
      </c>
      <c r="I348" s="71">
        <v>180000000</v>
      </c>
      <c r="J348" s="71">
        <v>128640699</v>
      </c>
      <c r="K348" s="71">
        <v>128640699</v>
      </c>
      <c r="L348" s="71">
        <v>128640699</v>
      </c>
      <c r="M348" s="71">
        <v>128640699</v>
      </c>
      <c r="N348" s="123">
        <v>51359301</v>
      </c>
      <c r="O348" s="558">
        <f t="shared" si="5"/>
        <v>0.71467055000000002</v>
      </c>
      <c r="P348" s="262"/>
      <c r="Q348" s="262"/>
      <c r="R348" s="262"/>
    </row>
    <row r="349" spans="1:18" s="60" customFormat="1" ht="47.25" customHeight="1" x14ac:dyDescent="0.2">
      <c r="A349" s="236"/>
      <c r="B349" s="277"/>
      <c r="C349" s="278"/>
      <c r="D349" s="369"/>
      <c r="E349" s="285"/>
      <c r="F349" s="176"/>
      <c r="G349" s="492"/>
      <c r="H349" s="573"/>
      <c r="I349" s="71">
        <v>35000000</v>
      </c>
      <c r="J349" s="71">
        <v>35000000</v>
      </c>
      <c r="K349" s="71">
        <v>35000000</v>
      </c>
      <c r="L349" s="71">
        <v>35000000</v>
      </c>
      <c r="M349" s="71">
        <v>35000000</v>
      </c>
      <c r="N349" s="123">
        <v>0</v>
      </c>
      <c r="O349" s="558">
        <f t="shared" si="5"/>
        <v>1</v>
      </c>
      <c r="P349" s="262"/>
      <c r="Q349" s="262"/>
      <c r="R349" s="262"/>
    </row>
    <row r="350" spans="1:18" s="60" customFormat="1" ht="47.25" customHeight="1" x14ac:dyDescent="0.2">
      <c r="A350" s="236"/>
      <c r="B350" s="277"/>
      <c r="C350" s="278"/>
      <c r="D350" s="369"/>
      <c r="E350" s="285"/>
      <c r="F350" s="176"/>
      <c r="G350" s="492"/>
      <c r="H350" s="140" t="s">
        <v>253</v>
      </c>
      <c r="I350" s="23">
        <v>100000000</v>
      </c>
      <c r="J350" s="23">
        <v>90287997</v>
      </c>
      <c r="K350" s="23">
        <v>90287997</v>
      </c>
      <c r="L350" s="23">
        <v>90287997</v>
      </c>
      <c r="M350" s="23">
        <v>90287997</v>
      </c>
      <c r="N350" s="138">
        <v>9712003</v>
      </c>
      <c r="O350" s="547">
        <f t="shared" si="5"/>
        <v>0.90287996999999998</v>
      </c>
      <c r="P350" s="262"/>
      <c r="Q350" s="262"/>
      <c r="R350" s="262"/>
    </row>
    <row r="351" spans="1:18" s="60" customFormat="1" ht="27.75" customHeight="1" x14ac:dyDescent="0.2">
      <c r="A351" s="236"/>
      <c r="B351" s="277"/>
      <c r="C351" s="278"/>
      <c r="D351" s="369"/>
      <c r="E351" s="285"/>
      <c r="F351" s="430">
        <v>84</v>
      </c>
      <c r="G351" s="427" t="s">
        <v>460</v>
      </c>
      <c r="H351" s="423"/>
      <c r="I351" s="424">
        <v>80000000</v>
      </c>
      <c r="J351" s="424">
        <v>50853330</v>
      </c>
      <c r="K351" s="424">
        <v>50853330</v>
      </c>
      <c r="L351" s="424">
        <v>41722330</v>
      </c>
      <c r="M351" s="424">
        <v>41722330</v>
      </c>
      <c r="N351" s="424">
        <v>29146670</v>
      </c>
      <c r="O351" s="546">
        <f t="shared" si="5"/>
        <v>0.63566662500000004</v>
      </c>
      <c r="P351" s="262"/>
      <c r="Q351" s="262"/>
      <c r="R351" s="262"/>
    </row>
    <row r="352" spans="1:18" s="60" customFormat="1" ht="34.5" customHeight="1" x14ac:dyDescent="0.2">
      <c r="A352" s="236"/>
      <c r="B352" s="277"/>
      <c r="C352" s="278"/>
      <c r="D352" s="369"/>
      <c r="E352" s="285"/>
      <c r="F352" s="415"/>
      <c r="G352" s="358"/>
      <c r="H352" s="370" t="s">
        <v>59</v>
      </c>
      <c r="I352" s="138">
        <v>40000000</v>
      </c>
      <c r="J352" s="138">
        <v>12000000</v>
      </c>
      <c r="K352" s="138">
        <v>12000000</v>
      </c>
      <c r="L352" s="138">
        <v>3324000</v>
      </c>
      <c r="M352" s="138">
        <v>3324000</v>
      </c>
      <c r="N352" s="138">
        <v>28000000</v>
      </c>
      <c r="O352" s="547">
        <f t="shared" si="5"/>
        <v>0.3</v>
      </c>
      <c r="P352" s="262"/>
      <c r="Q352" s="262"/>
      <c r="R352" s="262"/>
    </row>
    <row r="353" spans="1:18" s="60" customFormat="1" ht="34.5" customHeight="1" x14ac:dyDescent="0.2">
      <c r="A353" s="236"/>
      <c r="B353" s="277"/>
      <c r="C353" s="278"/>
      <c r="D353" s="369"/>
      <c r="E353" s="285"/>
      <c r="F353" s="417"/>
      <c r="G353" s="289"/>
      <c r="H353" s="144" t="s">
        <v>233</v>
      </c>
      <c r="I353" s="107">
        <v>40000000</v>
      </c>
      <c r="J353" s="107">
        <v>38853330</v>
      </c>
      <c r="K353" s="107">
        <v>38853330</v>
      </c>
      <c r="L353" s="107">
        <v>38398330</v>
      </c>
      <c r="M353" s="107">
        <v>38398330</v>
      </c>
      <c r="N353" s="138">
        <v>1146670</v>
      </c>
      <c r="O353" s="547">
        <f t="shared" si="5"/>
        <v>0.97133325000000004</v>
      </c>
      <c r="P353" s="262"/>
      <c r="Q353" s="262"/>
      <c r="R353" s="262"/>
    </row>
    <row r="354" spans="1:18" s="60" customFormat="1" ht="29.25" customHeight="1" x14ac:dyDescent="0.2">
      <c r="A354" s="236"/>
      <c r="B354" s="277"/>
      <c r="C354" s="278"/>
      <c r="D354" s="408">
        <v>27</v>
      </c>
      <c r="E354" s="253" t="s">
        <v>461</v>
      </c>
      <c r="F354" s="371"/>
      <c r="G354" s="372"/>
      <c r="H354" s="373"/>
      <c r="I354" s="374">
        <v>745500000</v>
      </c>
      <c r="J354" s="374">
        <v>679718178</v>
      </c>
      <c r="K354" s="374">
        <v>679718178</v>
      </c>
      <c r="L354" s="374">
        <v>676012328</v>
      </c>
      <c r="M354" s="374">
        <v>676012328</v>
      </c>
      <c r="N354" s="374">
        <v>65781822</v>
      </c>
      <c r="O354" s="559">
        <f t="shared" si="5"/>
        <v>0.91176147283702214</v>
      </c>
      <c r="P354" s="262"/>
      <c r="Q354" s="262"/>
      <c r="R354" s="262"/>
    </row>
    <row r="355" spans="1:18" s="60" customFormat="1" ht="25.5" customHeight="1" x14ac:dyDescent="0.2">
      <c r="A355" s="236"/>
      <c r="B355" s="277"/>
      <c r="C355" s="278"/>
      <c r="D355" s="375"/>
      <c r="E355" s="268"/>
      <c r="F355" s="421">
        <v>85</v>
      </c>
      <c r="G355" s="427" t="s">
        <v>462</v>
      </c>
      <c r="H355" s="442"/>
      <c r="I355" s="443">
        <v>645000000</v>
      </c>
      <c r="J355" s="443">
        <v>584263178</v>
      </c>
      <c r="K355" s="443">
        <v>584263178</v>
      </c>
      <c r="L355" s="443">
        <v>580557328</v>
      </c>
      <c r="M355" s="443">
        <v>580557328</v>
      </c>
      <c r="N355" s="443">
        <v>60736822</v>
      </c>
      <c r="O355" s="557">
        <f t="shared" si="5"/>
        <v>0.90583438449612408</v>
      </c>
      <c r="P355" s="262"/>
      <c r="Q355" s="262"/>
      <c r="R355" s="262"/>
    </row>
    <row r="356" spans="1:18" s="60" customFormat="1" ht="34.5" customHeight="1" x14ac:dyDescent="0.2">
      <c r="A356" s="236"/>
      <c r="B356" s="277"/>
      <c r="C356" s="278"/>
      <c r="D356" s="369"/>
      <c r="E356" s="285"/>
      <c r="F356" s="376"/>
      <c r="G356" s="309"/>
      <c r="H356" s="564" t="s">
        <v>61</v>
      </c>
      <c r="I356" s="138">
        <v>120000000</v>
      </c>
      <c r="J356" s="138">
        <v>105452716</v>
      </c>
      <c r="K356" s="138">
        <v>105452716</v>
      </c>
      <c r="L356" s="138">
        <v>105452716</v>
      </c>
      <c r="M356" s="138">
        <v>105452716</v>
      </c>
      <c r="N356" s="138">
        <v>14547284</v>
      </c>
      <c r="O356" s="547">
        <f t="shared" si="5"/>
        <v>0.87877263333333333</v>
      </c>
      <c r="P356" s="262"/>
      <c r="Q356" s="262"/>
      <c r="R356" s="262"/>
    </row>
    <row r="357" spans="1:18" s="60" customFormat="1" ht="34.5" customHeight="1" x14ac:dyDescent="0.2">
      <c r="A357" s="236"/>
      <c r="B357" s="277"/>
      <c r="C357" s="278"/>
      <c r="D357" s="369"/>
      <c r="E357" s="285"/>
      <c r="F357" s="377"/>
      <c r="G357" s="493"/>
      <c r="H357" s="565"/>
      <c r="I357" s="138">
        <v>20000000</v>
      </c>
      <c r="J357" s="138">
        <v>7500000</v>
      </c>
      <c r="K357" s="138">
        <v>7500000</v>
      </c>
      <c r="L357" s="138">
        <v>7500000</v>
      </c>
      <c r="M357" s="138">
        <v>7500000</v>
      </c>
      <c r="N357" s="138">
        <v>12500000</v>
      </c>
      <c r="O357" s="547">
        <f t="shared" si="5"/>
        <v>0.375</v>
      </c>
      <c r="P357" s="262"/>
      <c r="Q357" s="262"/>
      <c r="R357" s="262"/>
    </row>
    <row r="358" spans="1:18" s="60" customFormat="1" ht="34.5" customHeight="1" x14ac:dyDescent="0.2">
      <c r="A358" s="236"/>
      <c r="B358" s="277"/>
      <c r="C358" s="278"/>
      <c r="D358" s="369"/>
      <c r="E358" s="285"/>
      <c r="F358" s="377"/>
      <c r="G358" s="493"/>
      <c r="H358" s="561" t="s">
        <v>235</v>
      </c>
      <c r="I358" s="107">
        <v>300000000</v>
      </c>
      <c r="J358" s="107">
        <v>279405252</v>
      </c>
      <c r="K358" s="107">
        <v>279405252</v>
      </c>
      <c r="L358" s="107">
        <v>275699402</v>
      </c>
      <c r="M358" s="107">
        <v>275699402</v>
      </c>
      <c r="N358" s="106">
        <v>20594748</v>
      </c>
      <c r="O358" s="547">
        <f t="shared" si="5"/>
        <v>0.93135084000000001</v>
      </c>
      <c r="P358" s="262"/>
      <c r="Q358" s="262"/>
      <c r="R358" s="262"/>
    </row>
    <row r="359" spans="1:18" s="60" customFormat="1" ht="34.5" customHeight="1" x14ac:dyDescent="0.2">
      <c r="A359" s="236"/>
      <c r="B359" s="277"/>
      <c r="C359" s="278"/>
      <c r="D359" s="369"/>
      <c r="E359" s="285"/>
      <c r="F359" s="378"/>
      <c r="G359" s="493"/>
      <c r="H359" s="562"/>
      <c r="I359" s="107">
        <v>205000000</v>
      </c>
      <c r="J359" s="107">
        <v>191905210</v>
      </c>
      <c r="K359" s="107">
        <v>191905210</v>
      </c>
      <c r="L359" s="107">
        <v>191905210</v>
      </c>
      <c r="M359" s="107">
        <v>191905210</v>
      </c>
      <c r="N359" s="106">
        <v>13094790</v>
      </c>
      <c r="O359" s="547">
        <f t="shared" si="5"/>
        <v>0.9361229756097561</v>
      </c>
      <c r="P359" s="262"/>
      <c r="Q359" s="262"/>
      <c r="R359" s="262"/>
    </row>
    <row r="360" spans="1:18" s="60" customFormat="1" ht="34.5" customHeight="1" x14ac:dyDescent="0.2">
      <c r="A360" s="236"/>
      <c r="B360" s="277"/>
      <c r="C360" s="278"/>
      <c r="D360" s="369"/>
      <c r="E360" s="285"/>
      <c r="F360" s="421">
        <v>86</v>
      </c>
      <c r="G360" s="427" t="s">
        <v>463</v>
      </c>
      <c r="H360" s="442"/>
      <c r="I360" s="443">
        <v>100500000</v>
      </c>
      <c r="J360" s="443">
        <v>95455000</v>
      </c>
      <c r="K360" s="443">
        <v>95455000</v>
      </c>
      <c r="L360" s="443">
        <v>95455000</v>
      </c>
      <c r="M360" s="443">
        <v>95455000</v>
      </c>
      <c r="N360" s="443">
        <v>5045000</v>
      </c>
      <c r="O360" s="557">
        <f t="shared" si="5"/>
        <v>0.94980099502487558</v>
      </c>
      <c r="P360" s="262"/>
      <c r="Q360" s="262"/>
      <c r="R360" s="262"/>
    </row>
    <row r="361" spans="1:18" s="60" customFormat="1" ht="34.5" customHeight="1" x14ac:dyDescent="0.2">
      <c r="A361" s="236"/>
      <c r="B361" s="277"/>
      <c r="C361" s="278"/>
      <c r="D361" s="369"/>
      <c r="E361" s="285"/>
      <c r="F361" s="376"/>
      <c r="G361" s="309"/>
      <c r="H361" s="561" t="s">
        <v>238</v>
      </c>
      <c r="I361" s="107">
        <v>80000000</v>
      </c>
      <c r="J361" s="107">
        <v>74955000</v>
      </c>
      <c r="K361" s="107">
        <v>74955000</v>
      </c>
      <c r="L361" s="107">
        <v>74955000</v>
      </c>
      <c r="M361" s="107">
        <v>74955000</v>
      </c>
      <c r="N361" s="106">
        <v>5045000</v>
      </c>
      <c r="O361" s="547">
        <f t="shared" si="5"/>
        <v>0.93693749999999998</v>
      </c>
      <c r="P361" s="262"/>
      <c r="Q361" s="262"/>
      <c r="R361" s="262"/>
    </row>
    <row r="362" spans="1:18" s="60" customFormat="1" ht="34.5" customHeight="1" x14ac:dyDescent="0.2">
      <c r="A362" s="236"/>
      <c r="B362" s="277"/>
      <c r="C362" s="278"/>
      <c r="D362" s="369"/>
      <c r="E362" s="285"/>
      <c r="F362" s="378"/>
      <c r="G362" s="334"/>
      <c r="H362" s="562"/>
      <c r="I362" s="107">
        <v>20500000</v>
      </c>
      <c r="J362" s="107">
        <v>20500000</v>
      </c>
      <c r="K362" s="107">
        <v>20500000</v>
      </c>
      <c r="L362" s="107">
        <v>20500000</v>
      </c>
      <c r="M362" s="107">
        <v>20500000</v>
      </c>
      <c r="N362" s="107">
        <v>0</v>
      </c>
      <c r="O362" s="549">
        <f t="shared" si="5"/>
        <v>1</v>
      </c>
      <c r="P362" s="262"/>
      <c r="Q362" s="262"/>
      <c r="R362" s="262"/>
    </row>
    <row r="363" spans="1:18" s="60" customFormat="1" ht="26.25" customHeight="1" x14ac:dyDescent="0.2">
      <c r="A363" s="236"/>
      <c r="B363" s="273"/>
      <c r="C363" s="493"/>
      <c r="D363" s="408">
        <v>28</v>
      </c>
      <c r="E363" s="253" t="s">
        <v>464</v>
      </c>
      <c r="F363" s="413"/>
      <c r="G363" s="414"/>
      <c r="H363" s="256"/>
      <c r="I363" s="257">
        <v>6600886641</v>
      </c>
      <c r="J363" s="257">
        <v>4607884413.2299995</v>
      </c>
      <c r="K363" s="257">
        <v>4607884413.2299995</v>
      </c>
      <c r="L363" s="257">
        <v>4176521783.23</v>
      </c>
      <c r="M363" s="257">
        <v>4176521783.23</v>
      </c>
      <c r="N363" s="257">
        <v>1993002227.77</v>
      </c>
      <c r="O363" s="545">
        <f t="shared" si="5"/>
        <v>0.69807052655761548</v>
      </c>
      <c r="P363" s="262"/>
      <c r="Q363" s="262"/>
      <c r="R363" s="262"/>
    </row>
    <row r="364" spans="1:18" s="60" customFormat="1" ht="26.25" customHeight="1" x14ac:dyDescent="0.2">
      <c r="A364" s="236"/>
      <c r="B364" s="273"/>
      <c r="C364" s="493"/>
      <c r="D364" s="379"/>
      <c r="E364" s="264"/>
      <c r="F364" s="421">
        <v>87</v>
      </c>
      <c r="G364" s="422" t="s">
        <v>465</v>
      </c>
      <c r="H364" s="423"/>
      <c r="I364" s="424">
        <v>1346000000</v>
      </c>
      <c r="J364" s="424">
        <v>1201186570.23</v>
      </c>
      <c r="K364" s="424">
        <v>1201186570.23</v>
      </c>
      <c r="L364" s="424">
        <v>1001186570.23</v>
      </c>
      <c r="M364" s="424">
        <v>1001186570.23</v>
      </c>
      <c r="N364" s="424">
        <v>144813429.77000001</v>
      </c>
      <c r="O364" s="546">
        <f t="shared" si="5"/>
        <v>0.89241201354383359</v>
      </c>
      <c r="P364" s="262"/>
      <c r="Q364" s="262"/>
      <c r="R364" s="262"/>
    </row>
    <row r="365" spans="1:18" s="60" customFormat="1" ht="69" customHeight="1" x14ac:dyDescent="0.2">
      <c r="A365" s="236"/>
      <c r="B365" s="273"/>
      <c r="C365" s="493"/>
      <c r="D365" s="380"/>
      <c r="E365" s="264"/>
      <c r="F365" s="419"/>
      <c r="G365" s="381"/>
      <c r="H365" s="564" t="s">
        <v>65</v>
      </c>
      <c r="I365" s="138">
        <v>230700000</v>
      </c>
      <c r="J365" s="138">
        <v>223203810</v>
      </c>
      <c r="K365" s="138">
        <v>223203810</v>
      </c>
      <c r="L365" s="138">
        <v>223203810</v>
      </c>
      <c r="M365" s="138">
        <v>223203810</v>
      </c>
      <c r="N365" s="138">
        <v>7496190</v>
      </c>
      <c r="O365" s="547">
        <f t="shared" si="5"/>
        <v>0.96750676202860864</v>
      </c>
      <c r="P365" s="262"/>
      <c r="Q365" s="262"/>
      <c r="R365" s="262"/>
    </row>
    <row r="366" spans="1:18" s="60" customFormat="1" ht="69" customHeight="1" x14ac:dyDescent="0.2">
      <c r="A366" s="236"/>
      <c r="B366" s="273"/>
      <c r="C366" s="493"/>
      <c r="D366" s="380"/>
      <c r="E366" s="264"/>
      <c r="F366" s="382"/>
      <c r="G366" s="383"/>
      <c r="H366" s="565"/>
      <c r="I366" s="138">
        <v>30000000</v>
      </c>
      <c r="J366" s="138">
        <v>30000000</v>
      </c>
      <c r="K366" s="138">
        <v>30000000</v>
      </c>
      <c r="L366" s="138">
        <v>30000000</v>
      </c>
      <c r="M366" s="138">
        <v>30000000</v>
      </c>
      <c r="N366" s="138">
        <v>0</v>
      </c>
      <c r="O366" s="547">
        <f t="shared" si="5"/>
        <v>1</v>
      </c>
      <c r="P366" s="262"/>
      <c r="Q366" s="262"/>
      <c r="R366" s="262"/>
    </row>
    <row r="367" spans="1:18" s="60" customFormat="1" ht="69" customHeight="1" x14ac:dyDescent="0.2">
      <c r="A367" s="236"/>
      <c r="B367" s="273"/>
      <c r="C367" s="493"/>
      <c r="D367" s="380"/>
      <c r="E367" s="264"/>
      <c r="F367" s="382"/>
      <c r="G367" s="383"/>
      <c r="H367" s="141" t="s">
        <v>68</v>
      </c>
      <c r="I367" s="138">
        <v>25000000</v>
      </c>
      <c r="J367" s="138">
        <v>24710000</v>
      </c>
      <c r="K367" s="138">
        <v>24710000</v>
      </c>
      <c r="L367" s="138">
        <v>24710000</v>
      </c>
      <c r="M367" s="138">
        <v>24710000</v>
      </c>
      <c r="N367" s="138">
        <v>290000</v>
      </c>
      <c r="O367" s="547">
        <f t="shared" si="5"/>
        <v>0.98839999999999995</v>
      </c>
      <c r="P367" s="262"/>
      <c r="Q367" s="262"/>
      <c r="R367" s="262"/>
    </row>
    <row r="368" spans="1:18" s="60" customFormat="1" ht="69" customHeight="1" x14ac:dyDescent="0.2">
      <c r="A368" s="236"/>
      <c r="B368" s="273"/>
      <c r="C368" s="493"/>
      <c r="D368" s="380"/>
      <c r="E368" s="264"/>
      <c r="F368" s="382"/>
      <c r="G368" s="383"/>
      <c r="H368" s="564" t="s">
        <v>70</v>
      </c>
      <c r="I368" s="138">
        <v>175000000</v>
      </c>
      <c r="J368" s="138">
        <v>174444749.22999999</v>
      </c>
      <c r="K368" s="138">
        <v>174444749.22999999</v>
      </c>
      <c r="L368" s="138">
        <v>174444749.22999999</v>
      </c>
      <c r="M368" s="138">
        <v>174444749.22999999</v>
      </c>
      <c r="N368" s="138">
        <v>555250.77000001073</v>
      </c>
      <c r="O368" s="547">
        <f t="shared" si="5"/>
        <v>0.99682713845714277</v>
      </c>
      <c r="P368" s="262"/>
      <c r="Q368" s="262"/>
      <c r="R368" s="262"/>
    </row>
    <row r="369" spans="1:18" s="60" customFormat="1" ht="69" customHeight="1" x14ac:dyDescent="0.2">
      <c r="A369" s="236"/>
      <c r="B369" s="273"/>
      <c r="C369" s="493"/>
      <c r="D369" s="380"/>
      <c r="E369" s="264"/>
      <c r="F369" s="382"/>
      <c r="G369" s="383"/>
      <c r="H369" s="565"/>
      <c r="I369" s="138">
        <v>40000000</v>
      </c>
      <c r="J369" s="138">
        <v>40000000</v>
      </c>
      <c r="K369" s="138">
        <v>40000000</v>
      </c>
      <c r="L369" s="138">
        <v>40000000</v>
      </c>
      <c r="M369" s="138">
        <v>40000000</v>
      </c>
      <c r="N369" s="138">
        <v>0</v>
      </c>
      <c r="O369" s="547">
        <f t="shared" si="5"/>
        <v>1</v>
      </c>
      <c r="P369" s="262"/>
      <c r="Q369" s="262"/>
      <c r="R369" s="262"/>
    </row>
    <row r="370" spans="1:18" s="60" customFormat="1" ht="69" customHeight="1" x14ac:dyDescent="0.2">
      <c r="A370" s="236"/>
      <c r="B370" s="273"/>
      <c r="C370" s="493"/>
      <c r="D370" s="380"/>
      <c r="E370" s="264"/>
      <c r="F370" s="382"/>
      <c r="G370" s="383"/>
      <c r="H370" s="564" t="s">
        <v>73</v>
      </c>
      <c r="I370" s="138">
        <v>600000000</v>
      </c>
      <c r="J370" s="138">
        <v>505120319</v>
      </c>
      <c r="K370" s="138">
        <v>505120319</v>
      </c>
      <c r="L370" s="138">
        <v>305120319</v>
      </c>
      <c r="M370" s="138">
        <v>305120319</v>
      </c>
      <c r="N370" s="138">
        <v>94879681</v>
      </c>
      <c r="O370" s="547">
        <f t="shared" ref="O370:O394" si="6">K370/I370</f>
        <v>0.84186719833333334</v>
      </c>
      <c r="P370" s="262"/>
      <c r="Q370" s="262"/>
      <c r="R370" s="262"/>
    </row>
    <row r="371" spans="1:18" s="60" customFormat="1" ht="69" customHeight="1" x14ac:dyDescent="0.2">
      <c r="A371" s="236"/>
      <c r="B371" s="273"/>
      <c r="C371" s="493"/>
      <c r="D371" s="380"/>
      <c r="E371" s="264"/>
      <c r="F371" s="382"/>
      <c r="G371" s="383"/>
      <c r="H371" s="565"/>
      <c r="I371" s="138">
        <v>45000000</v>
      </c>
      <c r="J371" s="138">
        <v>45000000</v>
      </c>
      <c r="K371" s="138">
        <v>45000000</v>
      </c>
      <c r="L371" s="138">
        <v>45000000</v>
      </c>
      <c r="M371" s="138">
        <v>45000000</v>
      </c>
      <c r="N371" s="138">
        <v>0</v>
      </c>
      <c r="O371" s="547">
        <f t="shared" si="6"/>
        <v>1</v>
      </c>
      <c r="P371" s="262"/>
      <c r="Q371" s="262"/>
      <c r="R371" s="262"/>
    </row>
    <row r="372" spans="1:18" s="60" customFormat="1" ht="69" customHeight="1" x14ac:dyDescent="0.2">
      <c r="A372" s="236"/>
      <c r="B372" s="273"/>
      <c r="C372" s="493"/>
      <c r="D372" s="380"/>
      <c r="E372" s="264"/>
      <c r="F372" s="382"/>
      <c r="G372" s="383"/>
      <c r="H372" s="564" t="s">
        <v>76</v>
      </c>
      <c r="I372" s="138">
        <v>16000000</v>
      </c>
      <c r="J372" s="138">
        <v>15840000</v>
      </c>
      <c r="K372" s="138">
        <v>15840000</v>
      </c>
      <c r="L372" s="138">
        <v>15840000</v>
      </c>
      <c r="M372" s="138">
        <v>15840000</v>
      </c>
      <c r="N372" s="138">
        <v>160000</v>
      </c>
      <c r="O372" s="547">
        <f t="shared" si="6"/>
        <v>0.99</v>
      </c>
      <c r="P372" s="262"/>
      <c r="Q372" s="262"/>
      <c r="R372" s="262"/>
    </row>
    <row r="373" spans="1:18" s="60" customFormat="1" ht="69" customHeight="1" x14ac:dyDescent="0.2">
      <c r="A373" s="236"/>
      <c r="B373" s="273"/>
      <c r="C373" s="493"/>
      <c r="D373" s="380"/>
      <c r="E373" s="264"/>
      <c r="F373" s="382"/>
      <c r="G373" s="383"/>
      <c r="H373" s="565"/>
      <c r="I373" s="55">
        <v>20000000</v>
      </c>
      <c r="J373" s="55">
        <v>16111333</v>
      </c>
      <c r="K373" s="55">
        <v>16111333</v>
      </c>
      <c r="L373" s="55">
        <v>16111333</v>
      </c>
      <c r="M373" s="55">
        <v>16111333</v>
      </c>
      <c r="N373" s="138">
        <v>3888667</v>
      </c>
      <c r="O373" s="547">
        <f t="shared" si="6"/>
        <v>0.80556665000000005</v>
      </c>
      <c r="P373" s="262"/>
      <c r="Q373" s="262"/>
      <c r="R373" s="262"/>
    </row>
    <row r="374" spans="1:18" s="60" customFormat="1" ht="69" customHeight="1" x14ac:dyDescent="0.2">
      <c r="A374" s="236"/>
      <c r="B374" s="273"/>
      <c r="C374" s="493"/>
      <c r="D374" s="380"/>
      <c r="E374" s="264"/>
      <c r="F374" s="382"/>
      <c r="G374" s="383"/>
      <c r="H374" s="564" t="s">
        <v>79</v>
      </c>
      <c r="I374" s="138">
        <v>129300000</v>
      </c>
      <c r="J374" s="138">
        <v>91829693</v>
      </c>
      <c r="K374" s="138">
        <v>91829693</v>
      </c>
      <c r="L374" s="138">
        <v>91829693</v>
      </c>
      <c r="M374" s="138">
        <v>91829693</v>
      </c>
      <c r="N374" s="138">
        <v>37470307</v>
      </c>
      <c r="O374" s="547">
        <f t="shared" si="6"/>
        <v>0.71020644238205721</v>
      </c>
      <c r="P374" s="262"/>
      <c r="Q374" s="262"/>
      <c r="R374" s="262"/>
    </row>
    <row r="375" spans="1:18" s="60" customFormat="1" ht="69" customHeight="1" x14ac:dyDescent="0.2">
      <c r="A375" s="236"/>
      <c r="B375" s="273"/>
      <c r="C375" s="493"/>
      <c r="D375" s="380"/>
      <c r="E375" s="264"/>
      <c r="F375" s="420"/>
      <c r="G375" s="300"/>
      <c r="H375" s="565"/>
      <c r="I375" s="138">
        <v>35000000</v>
      </c>
      <c r="J375" s="138">
        <v>34926666</v>
      </c>
      <c r="K375" s="138">
        <v>34926666</v>
      </c>
      <c r="L375" s="138">
        <v>34926666</v>
      </c>
      <c r="M375" s="138">
        <v>34926666</v>
      </c>
      <c r="N375" s="138">
        <v>73334</v>
      </c>
      <c r="O375" s="547">
        <f t="shared" si="6"/>
        <v>0.99790474285714281</v>
      </c>
      <c r="P375" s="262"/>
      <c r="Q375" s="262"/>
      <c r="R375" s="262"/>
    </row>
    <row r="376" spans="1:18" s="60" customFormat="1" ht="26.25" customHeight="1" x14ac:dyDescent="0.2">
      <c r="A376" s="236"/>
      <c r="B376" s="273"/>
      <c r="C376" s="493"/>
      <c r="D376" s="380"/>
      <c r="E376" s="264"/>
      <c r="F376" s="421">
        <v>88</v>
      </c>
      <c r="G376" s="422" t="s">
        <v>466</v>
      </c>
      <c r="H376" s="423"/>
      <c r="I376" s="424">
        <v>2230734367</v>
      </c>
      <c r="J376" s="424">
        <v>2025030046</v>
      </c>
      <c r="K376" s="424">
        <v>2025030046</v>
      </c>
      <c r="L376" s="424">
        <v>1877567416</v>
      </c>
      <c r="M376" s="424">
        <v>1877567416</v>
      </c>
      <c r="N376" s="424">
        <v>205704321</v>
      </c>
      <c r="O376" s="546">
        <f t="shared" si="6"/>
        <v>0.90778627700229442</v>
      </c>
      <c r="P376" s="262"/>
      <c r="Q376" s="262"/>
      <c r="R376" s="262"/>
    </row>
    <row r="377" spans="1:18" s="60" customFormat="1" ht="52.5" customHeight="1" x14ac:dyDescent="0.2">
      <c r="A377" s="236"/>
      <c r="B377" s="273"/>
      <c r="C377" s="493"/>
      <c r="D377" s="380"/>
      <c r="E377" s="264"/>
      <c r="F377" s="419"/>
      <c r="G377" s="381"/>
      <c r="H377" s="561" t="s">
        <v>150</v>
      </c>
      <c r="I377" s="106">
        <v>5733586</v>
      </c>
      <c r="J377" s="106">
        <v>5733586</v>
      </c>
      <c r="K377" s="106">
        <v>5733586</v>
      </c>
      <c r="L377" s="106">
        <v>5733586</v>
      </c>
      <c r="M377" s="106">
        <v>5733586</v>
      </c>
      <c r="N377" s="106">
        <v>0</v>
      </c>
      <c r="O377" s="547">
        <f t="shared" si="6"/>
        <v>1</v>
      </c>
      <c r="P377" s="262"/>
      <c r="Q377" s="262"/>
      <c r="R377" s="262"/>
    </row>
    <row r="378" spans="1:18" s="60" customFormat="1" ht="52.5" customHeight="1" x14ac:dyDescent="0.2">
      <c r="A378" s="236"/>
      <c r="B378" s="273"/>
      <c r="C378" s="493"/>
      <c r="D378" s="380"/>
      <c r="E378" s="264"/>
      <c r="F378" s="382"/>
      <c r="G378" s="383"/>
      <c r="H378" s="563"/>
      <c r="I378" s="107">
        <v>44964149</v>
      </c>
      <c r="J378" s="107">
        <v>34332144</v>
      </c>
      <c r="K378" s="107">
        <v>34332144</v>
      </c>
      <c r="L378" s="107">
        <v>34332144</v>
      </c>
      <c r="M378" s="107">
        <v>34332144</v>
      </c>
      <c r="N378" s="106">
        <v>10632005</v>
      </c>
      <c r="O378" s="547">
        <f t="shared" si="6"/>
        <v>0.76354484102434583</v>
      </c>
      <c r="P378" s="262"/>
      <c r="Q378" s="262"/>
      <c r="R378" s="262"/>
    </row>
    <row r="379" spans="1:18" s="60" customFormat="1" ht="52.5" customHeight="1" x14ac:dyDescent="0.2">
      <c r="A379" s="236"/>
      <c r="B379" s="273"/>
      <c r="C379" s="493"/>
      <c r="D379" s="380"/>
      <c r="E379" s="264"/>
      <c r="F379" s="382"/>
      <c r="G379" s="383"/>
      <c r="H379" s="563"/>
      <c r="I379" s="107">
        <v>1371200000</v>
      </c>
      <c r="J379" s="107">
        <v>1300207862</v>
      </c>
      <c r="K379" s="107">
        <v>1300207862</v>
      </c>
      <c r="L379" s="107">
        <v>1205583732</v>
      </c>
      <c r="M379" s="107">
        <v>1205583732</v>
      </c>
      <c r="N379" s="106">
        <v>70992138</v>
      </c>
      <c r="O379" s="547">
        <f t="shared" si="6"/>
        <v>0.94822627042007002</v>
      </c>
      <c r="P379" s="262"/>
      <c r="Q379" s="262"/>
      <c r="R379" s="262"/>
    </row>
    <row r="380" spans="1:18" s="60" customFormat="1" ht="52.5" customHeight="1" x14ac:dyDescent="0.2">
      <c r="A380" s="236"/>
      <c r="B380" s="273"/>
      <c r="C380" s="493"/>
      <c r="D380" s="380"/>
      <c r="E380" s="264"/>
      <c r="F380" s="382"/>
      <c r="G380" s="383"/>
      <c r="H380" s="563"/>
      <c r="I380" s="107">
        <v>284641017</v>
      </c>
      <c r="J380" s="107">
        <v>241082281</v>
      </c>
      <c r="K380" s="107">
        <v>241082281</v>
      </c>
      <c r="L380" s="107">
        <v>218243781</v>
      </c>
      <c r="M380" s="107">
        <v>218243781</v>
      </c>
      <c r="N380" s="106">
        <v>43558736</v>
      </c>
      <c r="O380" s="547">
        <f t="shared" si="6"/>
        <v>0.84696957431121034</v>
      </c>
      <c r="P380" s="262"/>
      <c r="Q380" s="262"/>
      <c r="R380" s="262"/>
    </row>
    <row r="381" spans="1:18" s="60" customFormat="1" ht="52.5" customHeight="1" x14ac:dyDescent="0.2">
      <c r="A381" s="236"/>
      <c r="B381" s="273"/>
      <c r="C381" s="493"/>
      <c r="D381" s="380"/>
      <c r="E381" s="264"/>
      <c r="F381" s="382"/>
      <c r="G381" s="383"/>
      <c r="H381" s="563"/>
      <c r="I381" s="107">
        <v>35332521</v>
      </c>
      <c r="J381" s="107">
        <v>35332521</v>
      </c>
      <c r="K381" s="107">
        <v>35332521</v>
      </c>
      <c r="L381" s="107">
        <v>35332521</v>
      </c>
      <c r="M381" s="107">
        <v>35332521</v>
      </c>
      <c r="N381" s="106">
        <v>0</v>
      </c>
      <c r="O381" s="547">
        <f t="shared" si="6"/>
        <v>1</v>
      </c>
      <c r="P381" s="262"/>
      <c r="Q381" s="262"/>
      <c r="R381" s="262"/>
    </row>
    <row r="382" spans="1:18" s="60" customFormat="1" ht="52.5" customHeight="1" x14ac:dyDescent="0.2">
      <c r="A382" s="236"/>
      <c r="B382" s="273"/>
      <c r="C382" s="493"/>
      <c r="D382" s="380"/>
      <c r="E382" s="264"/>
      <c r="F382" s="382"/>
      <c r="G382" s="383"/>
      <c r="H382" s="562"/>
      <c r="I382" s="107">
        <v>114674563</v>
      </c>
      <c r="J382" s="107">
        <v>58210667</v>
      </c>
      <c r="K382" s="107">
        <v>58210667</v>
      </c>
      <c r="L382" s="107">
        <v>58210667</v>
      </c>
      <c r="M382" s="107">
        <v>58210667</v>
      </c>
      <c r="N382" s="106">
        <v>56463896</v>
      </c>
      <c r="O382" s="547">
        <f t="shared" si="6"/>
        <v>0.50761620953375686</v>
      </c>
      <c r="P382" s="262"/>
      <c r="Q382" s="262"/>
      <c r="R382" s="262"/>
    </row>
    <row r="383" spans="1:18" s="60" customFormat="1" ht="52.5" customHeight="1" x14ac:dyDescent="0.2">
      <c r="A383" s="236"/>
      <c r="B383" s="273"/>
      <c r="C383" s="493"/>
      <c r="D383" s="380"/>
      <c r="E383" s="264"/>
      <c r="F383" s="382"/>
      <c r="G383" s="383"/>
      <c r="H383" s="561" t="s">
        <v>161</v>
      </c>
      <c r="I383" s="107">
        <v>308800000</v>
      </c>
      <c r="J383" s="107">
        <v>291028325</v>
      </c>
      <c r="K383" s="107">
        <v>291028325</v>
      </c>
      <c r="L383" s="107">
        <v>261028325</v>
      </c>
      <c r="M383" s="107">
        <v>261028325</v>
      </c>
      <c r="N383" s="106">
        <v>17771675</v>
      </c>
      <c r="O383" s="547">
        <f t="shared" si="6"/>
        <v>0.94244923898963728</v>
      </c>
      <c r="P383" s="262"/>
      <c r="Q383" s="262"/>
      <c r="R383" s="262"/>
    </row>
    <row r="384" spans="1:18" s="60" customFormat="1" ht="52.5" customHeight="1" x14ac:dyDescent="0.2">
      <c r="A384" s="236"/>
      <c r="B384" s="273"/>
      <c r="C384" s="493"/>
      <c r="D384" s="380"/>
      <c r="E384" s="264"/>
      <c r="F384" s="420"/>
      <c r="G384" s="383"/>
      <c r="H384" s="562"/>
      <c r="I384" s="107">
        <v>65388531</v>
      </c>
      <c r="J384" s="107">
        <v>59102660</v>
      </c>
      <c r="K384" s="107">
        <v>59102660</v>
      </c>
      <c r="L384" s="107">
        <v>59102660</v>
      </c>
      <c r="M384" s="107">
        <v>59102660</v>
      </c>
      <c r="N384" s="106">
        <v>6285871</v>
      </c>
      <c r="O384" s="547">
        <f t="shared" si="6"/>
        <v>0.90386890630713201</v>
      </c>
      <c r="P384" s="262"/>
      <c r="Q384" s="262"/>
      <c r="R384" s="262"/>
    </row>
    <row r="385" spans="1:24" s="60" customFormat="1" ht="32.25" customHeight="1" x14ac:dyDescent="0.2">
      <c r="A385" s="236"/>
      <c r="B385" s="273"/>
      <c r="C385" s="493"/>
      <c r="D385" s="492"/>
      <c r="E385" s="259"/>
      <c r="F385" s="421">
        <v>89</v>
      </c>
      <c r="G385" s="427" t="s">
        <v>467</v>
      </c>
      <c r="H385" s="423"/>
      <c r="I385" s="424">
        <v>3024152274</v>
      </c>
      <c r="J385" s="424">
        <v>1381667797</v>
      </c>
      <c r="K385" s="424">
        <v>1381667797</v>
      </c>
      <c r="L385" s="424">
        <v>1297767797</v>
      </c>
      <c r="M385" s="424">
        <v>1297767797</v>
      </c>
      <c r="N385" s="424">
        <v>1642484477</v>
      </c>
      <c r="O385" s="546">
        <f t="shared" si="6"/>
        <v>0.45687772037103447</v>
      </c>
      <c r="P385" s="262"/>
      <c r="Q385" s="262"/>
      <c r="R385" s="262"/>
    </row>
    <row r="386" spans="1:24" ht="34.5" customHeight="1" x14ac:dyDescent="0.2">
      <c r="B386" s="384"/>
      <c r="C386" s="385"/>
      <c r="D386" s="75"/>
      <c r="E386" s="385"/>
      <c r="F386" s="386"/>
      <c r="G386" s="385"/>
      <c r="H386" s="140" t="s">
        <v>86</v>
      </c>
      <c r="I386" s="138">
        <v>39000000</v>
      </c>
      <c r="J386" s="138">
        <v>39000000</v>
      </c>
      <c r="K386" s="138">
        <v>39000000</v>
      </c>
      <c r="L386" s="138">
        <v>39000000</v>
      </c>
      <c r="M386" s="138">
        <v>39000000</v>
      </c>
      <c r="N386" s="71">
        <v>0</v>
      </c>
      <c r="O386" s="558">
        <f t="shared" si="6"/>
        <v>1</v>
      </c>
      <c r="S386" s="132"/>
      <c r="T386" s="132"/>
      <c r="U386" s="132"/>
      <c r="V386" s="132"/>
      <c r="W386" s="132"/>
      <c r="X386" s="132"/>
    </row>
    <row r="387" spans="1:24" ht="48.75" customHeight="1" x14ac:dyDescent="0.2">
      <c r="B387" s="384"/>
      <c r="C387" s="385"/>
      <c r="D387" s="75"/>
      <c r="E387" s="385"/>
      <c r="F387" s="387"/>
      <c r="G387" s="385"/>
      <c r="H387" s="72" t="s">
        <v>88</v>
      </c>
      <c r="I387" s="138">
        <v>48317341</v>
      </c>
      <c r="J387" s="138">
        <v>37501531</v>
      </c>
      <c r="K387" s="138">
        <v>37501531</v>
      </c>
      <c r="L387" s="138">
        <v>37501531</v>
      </c>
      <c r="M387" s="138">
        <v>37501531</v>
      </c>
      <c r="N387" s="71">
        <v>10815810</v>
      </c>
      <c r="O387" s="558">
        <f t="shared" si="6"/>
        <v>0.77615055431133928</v>
      </c>
      <c r="S387" s="132"/>
      <c r="T387" s="132"/>
      <c r="U387" s="132"/>
      <c r="V387" s="132"/>
      <c r="W387" s="132"/>
      <c r="X387" s="132"/>
    </row>
    <row r="388" spans="1:24" ht="34.5" customHeight="1" x14ac:dyDescent="0.2">
      <c r="B388" s="384"/>
      <c r="C388" s="385"/>
      <c r="D388" s="75"/>
      <c r="E388" s="385"/>
      <c r="F388" s="387"/>
      <c r="G388" s="385"/>
      <c r="H388" s="140" t="s">
        <v>90</v>
      </c>
      <c r="I388" s="138">
        <v>70162427</v>
      </c>
      <c r="J388" s="138">
        <v>69729945</v>
      </c>
      <c r="K388" s="138">
        <v>69729945</v>
      </c>
      <c r="L388" s="138">
        <v>5254945</v>
      </c>
      <c r="M388" s="138">
        <v>5254945</v>
      </c>
      <c r="N388" s="71">
        <v>432482</v>
      </c>
      <c r="O388" s="558">
        <f t="shared" si="6"/>
        <v>0.99383598859828493</v>
      </c>
      <c r="S388" s="132"/>
      <c r="T388" s="132"/>
      <c r="U388" s="132"/>
      <c r="V388" s="132"/>
      <c r="W388" s="132"/>
      <c r="X388" s="132"/>
    </row>
    <row r="389" spans="1:24" ht="48.75" customHeight="1" x14ac:dyDescent="0.2">
      <c r="B389" s="384"/>
      <c r="C389" s="385"/>
      <c r="D389" s="75"/>
      <c r="E389" s="385"/>
      <c r="F389" s="387"/>
      <c r="G389" s="385"/>
      <c r="H389" s="140" t="s">
        <v>92</v>
      </c>
      <c r="I389" s="138">
        <v>59525000</v>
      </c>
      <c r="J389" s="138">
        <v>59525000</v>
      </c>
      <c r="K389" s="138">
        <v>59525000</v>
      </c>
      <c r="L389" s="138">
        <v>59525000</v>
      </c>
      <c r="M389" s="138">
        <v>59525000</v>
      </c>
      <c r="N389" s="71">
        <v>0</v>
      </c>
      <c r="O389" s="558">
        <f t="shared" si="6"/>
        <v>1</v>
      </c>
      <c r="S389" s="132"/>
      <c r="T389" s="132"/>
      <c r="U389" s="132"/>
      <c r="V389" s="132"/>
      <c r="W389" s="132"/>
      <c r="X389" s="132"/>
    </row>
    <row r="390" spans="1:24" ht="41.25" customHeight="1" x14ac:dyDescent="0.2">
      <c r="B390" s="384"/>
      <c r="C390" s="385"/>
      <c r="D390" s="75"/>
      <c r="E390" s="385"/>
      <c r="F390" s="387"/>
      <c r="G390" s="385"/>
      <c r="H390" s="574" t="s">
        <v>94</v>
      </c>
      <c r="I390" s="138">
        <v>337642633</v>
      </c>
      <c r="J390" s="138">
        <v>326750034</v>
      </c>
      <c r="K390" s="138">
        <v>326750034</v>
      </c>
      <c r="L390" s="138">
        <v>326750034</v>
      </c>
      <c r="M390" s="138">
        <v>326750034</v>
      </c>
      <c r="N390" s="71">
        <v>10892599</v>
      </c>
      <c r="O390" s="558">
        <f t="shared" si="6"/>
        <v>0.96773926650429831</v>
      </c>
      <c r="S390" s="132"/>
      <c r="T390" s="132"/>
      <c r="U390" s="132"/>
      <c r="V390" s="132"/>
      <c r="W390" s="132"/>
      <c r="X390" s="132"/>
    </row>
    <row r="391" spans="1:24" ht="50.25" customHeight="1" x14ac:dyDescent="0.2">
      <c r="B391" s="384"/>
      <c r="C391" s="385"/>
      <c r="D391" s="75"/>
      <c r="E391" s="385"/>
      <c r="F391" s="387"/>
      <c r="G391" s="385"/>
      <c r="H391" s="575"/>
      <c r="I391" s="138">
        <v>1600000000</v>
      </c>
      <c r="J391" s="138">
        <v>10504000</v>
      </c>
      <c r="K391" s="138">
        <v>10504000</v>
      </c>
      <c r="L391" s="138">
        <v>10504000</v>
      </c>
      <c r="M391" s="138">
        <v>10504000</v>
      </c>
      <c r="N391" s="71">
        <v>1589496000</v>
      </c>
      <c r="O391" s="558">
        <f t="shared" si="6"/>
        <v>6.5649999999999997E-3</v>
      </c>
      <c r="S391" s="132"/>
      <c r="T391" s="132"/>
      <c r="U391" s="132"/>
      <c r="V391" s="132"/>
      <c r="W391" s="132"/>
      <c r="X391" s="132"/>
    </row>
    <row r="392" spans="1:24" ht="42" customHeight="1" x14ac:dyDescent="0.2">
      <c r="B392" s="388"/>
      <c r="C392" s="389"/>
      <c r="D392" s="177"/>
      <c r="E392" s="389"/>
      <c r="F392" s="390"/>
      <c r="G392" s="389"/>
      <c r="H392" s="570" t="s">
        <v>245</v>
      </c>
      <c r="I392" s="71">
        <v>719504873</v>
      </c>
      <c r="J392" s="71">
        <v>692800295</v>
      </c>
      <c r="K392" s="71">
        <v>692800295</v>
      </c>
      <c r="L392" s="71">
        <v>673375295</v>
      </c>
      <c r="M392" s="71">
        <v>673375295</v>
      </c>
      <c r="N392" s="123">
        <v>26704578</v>
      </c>
      <c r="O392" s="558">
        <f t="shared" si="6"/>
        <v>0.96288478507636177</v>
      </c>
    </row>
    <row r="393" spans="1:24" ht="42" customHeight="1" thickBot="1" x14ac:dyDescent="0.25">
      <c r="B393" s="384"/>
      <c r="C393" s="385"/>
      <c r="D393" s="75"/>
      <c r="E393" s="385"/>
      <c r="F393" s="387"/>
      <c r="G393" s="385"/>
      <c r="H393" s="576"/>
      <c r="I393" s="391">
        <v>150000000</v>
      </c>
      <c r="J393" s="391">
        <v>145856992</v>
      </c>
      <c r="K393" s="391">
        <v>145856992</v>
      </c>
      <c r="L393" s="391">
        <v>145856992</v>
      </c>
      <c r="M393" s="391">
        <v>145856992</v>
      </c>
      <c r="N393" s="392">
        <v>4143008</v>
      </c>
      <c r="O393" s="560">
        <f t="shared" si="6"/>
        <v>0.97237994666666672</v>
      </c>
    </row>
    <row r="394" spans="1:24" s="397" customFormat="1" ht="24.75" customHeight="1" thickBot="1" x14ac:dyDescent="0.25">
      <c r="B394" s="393"/>
      <c r="C394" s="394"/>
      <c r="D394" s="394"/>
      <c r="E394" s="394"/>
      <c r="F394" s="394"/>
      <c r="G394" s="394"/>
      <c r="H394" s="444" t="s">
        <v>254</v>
      </c>
      <c r="I394" s="395">
        <f>I342+I315+I80+I26+I4</f>
        <v>255740803359.87003</v>
      </c>
      <c r="J394" s="395">
        <f>J342+J315+J80+J26+J4</f>
        <v>228749433102.5</v>
      </c>
      <c r="K394" s="395">
        <f>K342+K315+K80+K26+K4</f>
        <v>228749433102.5</v>
      </c>
      <c r="L394" s="395">
        <f>L342+L315+L80+L26+L4</f>
        <v>225043319112.50998</v>
      </c>
      <c r="M394" s="395">
        <f>M342+M315+M80+M26+M4</f>
        <v>224957621720.50998</v>
      </c>
      <c r="N394" s="395">
        <f>I394-J394</f>
        <v>26991370257.370026</v>
      </c>
      <c r="O394" s="538">
        <f t="shared" si="6"/>
        <v>0.89445810014372773</v>
      </c>
      <c r="P394" s="396"/>
      <c r="Q394" s="396"/>
      <c r="R394" s="396"/>
    </row>
    <row r="395" spans="1:24" ht="12" customHeight="1" x14ac:dyDescent="0.2">
      <c r="B395" s="398"/>
      <c r="C395" s="398"/>
      <c r="D395" s="398"/>
      <c r="E395" s="398"/>
    </row>
  </sheetData>
  <mergeCells count="74">
    <mergeCell ref="H377:H382"/>
    <mergeCell ref="H383:H384"/>
    <mergeCell ref="H390:H391"/>
    <mergeCell ref="H392:H393"/>
    <mergeCell ref="H365:H366"/>
    <mergeCell ref="H368:H369"/>
    <mergeCell ref="H370:H371"/>
    <mergeCell ref="H372:H373"/>
    <mergeCell ref="H374:H375"/>
    <mergeCell ref="H346:H347"/>
    <mergeCell ref="H348:H349"/>
    <mergeCell ref="H356:H357"/>
    <mergeCell ref="H358:H359"/>
    <mergeCell ref="H361:H362"/>
    <mergeCell ref="H294:H297"/>
    <mergeCell ref="H318:H321"/>
    <mergeCell ref="H323:H324"/>
    <mergeCell ref="H330:H331"/>
    <mergeCell ref="H338:H339"/>
    <mergeCell ref="H277:H278"/>
    <mergeCell ref="H281:H282"/>
    <mergeCell ref="H284:H285"/>
    <mergeCell ref="H287:H288"/>
    <mergeCell ref="H290:H291"/>
    <mergeCell ref="H227:H242"/>
    <mergeCell ref="H247:H249"/>
    <mergeCell ref="H259:H260"/>
    <mergeCell ref="H267:H268"/>
    <mergeCell ref="H270:H271"/>
    <mergeCell ref="H209:H210"/>
    <mergeCell ref="H220:H222"/>
    <mergeCell ref="H212:H213"/>
    <mergeCell ref="H214:H215"/>
    <mergeCell ref="H182:H183"/>
    <mergeCell ref="H184:H190"/>
    <mergeCell ref="H191:H192"/>
    <mergeCell ref="H198:H202"/>
    <mergeCell ref="H204:H207"/>
    <mergeCell ref="H157:H159"/>
    <mergeCell ref="H165:H166"/>
    <mergeCell ref="H168:H169"/>
    <mergeCell ref="H174:H175"/>
    <mergeCell ref="H177:H178"/>
    <mergeCell ref="H133:H135"/>
    <mergeCell ref="H137:H138"/>
    <mergeCell ref="H141:H147"/>
    <mergeCell ref="H149:H150"/>
    <mergeCell ref="H152:H154"/>
    <mergeCell ref="H106:H107"/>
    <mergeCell ref="H109:H113"/>
    <mergeCell ref="H115:H116"/>
    <mergeCell ref="H123:H124"/>
    <mergeCell ref="H125:H126"/>
    <mergeCell ref="H66:H69"/>
    <mergeCell ref="H73:H78"/>
    <mergeCell ref="H83:H93"/>
    <mergeCell ref="H95:H96"/>
    <mergeCell ref="H98:H103"/>
    <mergeCell ref="H47:H48"/>
    <mergeCell ref="H50:H51"/>
    <mergeCell ref="H54:H55"/>
    <mergeCell ref="H57:H58"/>
    <mergeCell ref="H60:H63"/>
    <mergeCell ref="H24:H25"/>
    <mergeCell ref="H31:H32"/>
    <mergeCell ref="H34:H35"/>
    <mergeCell ref="H39:H40"/>
    <mergeCell ref="H44:H45"/>
    <mergeCell ref="H42:H43"/>
    <mergeCell ref="B1:O2"/>
    <mergeCell ref="H7:H8"/>
    <mergeCell ref="H10:H13"/>
    <mergeCell ref="H14:H15"/>
    <mergeCell ref="H22:H23"/>
  </mergeCells>
  <pageMargins left="0.7" right="0.7" top="0.75" bottom="0.75" header="0.3" footer="0.3"/>
  <pageSetup scale="3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EJE SECRETARIAS</vt:lpstr>
      <vt:lpstr>ADMINISTRATIVA</vt:lpstr>
      <vt:lpstr>PLANEACION</vt:lpstr>
      <vt:lpstr>HACIENDA</vt:lpstr>
      <vt:lpstr>INFRAESTRUCTURA</vt:lpstr>
      <vt:lpstr>INTERIOR</vt:lpstr>
      <vt:lpstr>CULTURA</vt:lpstr>
      <vt:lpstr>PPROYECTOS 2017</vt:lpstr>
      <vt:lpstr>'EJE SECRETARIAS'!Área_de_impresión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AUXPLANEACION12</dc:creator>
  <cp:lastModifiedBy>AUXPLANEACION03</cp:lastModifiedBy>
  <dcterms:created xsi:type="dcterms:W3CDTF">2017-07-26T15:49:22Z</dcterms:created>
  <dcterms:modified xsi:type="dcterms:W3CDTF">2018-06-26T16:21:45Z</dcterms:modified>
</cp:coreProperties>
</file>