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PLANEACION01\Desktop\TRABAJO 9 DE FEBERO DE 2017\INFORME CGR\INFORME DE GESTION 2016\ANEXOS\"/>
    </mc:Choice>
  </mc:AlternateContent>
  <bookViews>
    <workbookView minimized="1" xWindow="0" yWindow="0" windowWidth="24000" windowHeight="9735"/>
  </bookViews>
  <sheets>
    <sheet name="PLAN NDICATIVO" sheetId="1" r:id="rId1"/>
  </sheets>
  <externalReferences>
    <externalReference r:id="rId2"/>
    <externalReference r:id="rId3"/>
    <externalReference r:id="rId4"/>
    <externalReference r:id="rId5"/>
  </externalReferences>
  <definedNames>
    <definedName name="_xlnm._FilterDatabase" localSheetId="0" hidden="1">'PLAN NDICATIVO'!$A$9:$CR$432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T430" i="1" l="1"/>
  <c r="BS430" i="1"/>
  <c r="BP430" i="1"/>
  <c r="BI430" i="1"/>
  <c r="BH430" i="1"/>
  <c r="BF430" i="1"/>
  <c r="BB430" i="1"/>
  <c r="AZ430" i="1"/>
  <c r="AY430" i="1"/>
  <c r="AV430" i="1"/>
  <c r="AU430" i="1"/>
  <c r="AR430" i="1"/>
  <c r="BU429" i="1"/>
  <c r="BK429" i="1"/>
  <c r="BA429" i="1"/>
  <c r="AQ429" i="1"/>
  <c r="AP429" i="1"/>
  <c r="BU428" i="1"/>
  <c r="BK428" i="1"/>
  <c r="BA428" i="1"/>
  <c r="AQ428" i="1"/>
  <c r="AB428" i="1"/>
  <c r="AP428" i="1" s="1"/>
  <c r="BU427" i="1"/>
  <c r="BK427" i="1"/>
  <c r="BA427" i="1"/>
  <c r="AQ427" i="1"/>
  <c r="AP427" i="1"/>
  <c r="BU426" i="1"/>
  <c r="BK426" i="1"/>
  <c r="BA426" i="1"/>
  <c r="AQ426" i="1"/>
  <c r="AP426" i="1"/>
  <c r="BU425" i="1"/>
  <c r="BK425" i="1"/>
  <c r="BA425" i="1"/>
  <c r="AQ425" i="1"/>
  <c r="AP425" i="1"/>
  <c r="BU424" i="1"/>
  <c r="BK424" i="1"/>
  <c r="BA424" i="1"/>
  <c r="AQ424" i="1"/>
  <c r="AP424" i="1"/>
  <c r="BU423" i="1"/>
  <c r="BK423" i="1"/>
  <c r="BA423" i="1"/>
  <c r="AQ423" i="1"/>
  <c r="AP423" i="1"/>
  <c r="BU422" i="1"/>
  <c r="BK422" i="1"/>
  <c r="BA422" i="1"/>
  <c r="AQ422" i="1"/>
  <c r="AP422" i="1"/>
  <c r="BU421" i="1"/>
  <c r="BK421" i="1"/>
  <c r="BA421" i="1"/>
  <c r="AQ421" i="1"/>
  <c r="AP421" i="1"/>
  <c r="BU420" i="1"/>
  <c r="BK420" i="1"/>
  <c r="BA420" i="1"/>
  <c r="AQ420" i="1"/>
  <c r="AP420" i="1"/>
  <c r="AO419" i="1"/>
  <c r="AN419" i="1"/>
  <c r="AM419" i="1"/>
  <c r="AL419" i="1"/>
  <c r="AK419" i="1"/>
  <c r="AJ419" i="1"/>
  <c r="AI419" i="1"/>
  <c r="AH419" i="1"/>
  <c r="AG419" i="1"/>
  <c r="AF419" i="1"/>
  <c r="AE419" i="1"/>
  <c r="AD419" i="1"/>
  <c r="AC419" i="1"/>
  <c r="AA419" i="1"/>
  <c r="Z419" i="1"/>
  <c r="Y419" i="1"/>
  <c r="X419" i="1"/>
  <c r="BU418" i="1"/>
  <c r="BD418" i="1"/>
  <c r="BK418" i="1" s="1"/>
  <c r="BA418" i="1"/>
  <c r="AQ418" i="1"/>
  <c r="AP418" i="1"/>
  <c r="BU417" i="1"/>
  <c r="BK417" i="1"/>
  <c r="BA417" i="1"/>
  <c r="AQ417" i="1"/>
  <c r="AP417" i="1"/>
  <c r="BU416" i="1"/>
  <c r="BK416" i="1"/>
  <c r="BA416" i="1"/>
  <c r="AP416" i="1"/>
  <c r="AA416" i="1"/>
  <c r="AQ416" i="1" s="1"/>
  <c r="BU415" i="1"/>
  <c r="BK415" i="1"/>
  <c r="BA415" i="1"/>
  <c r="AP415" i="1"/>
  <c r="AA415" i="1"/>
  <c r="BU414" i="1"/>
  <c r="BK414" i="1"/>
  <c r="BA414" i="1"/>
  <c r="AQ414" i="1"/>
  <c r="AP414" i="1"/>
  <c r="AO413" i="1"/>
  <c r="AN413" i="1"/>
  <c r="AM413" i="1"/>
  <c r="AL413" i="1"/>
  <c r="AK413" i="1"/>
  <c r="AJ413" i="1"/>
  <c r="AI413" i="1"/>
  <c r="AH413" i="1"/>
  <c r="AG413" i="1"/>
  <c r="AF413" i="1"/>
  <c r="AE413" i="1"/>
  <c r="AD413" i="1"/>
  <c r="AC413" i="1"/>
  <c r="AB413" i="1"/>
  <c r="Z413" i="1"/>
  <c r="Y413" i="1"/>
  <c r="X413" i="1"/>
  <c r="BU412" i="1"/>
  <c r="BK412" i="1"/>
  <c r="BA412" i="1"/>
  <c r="AQ412" i="1"/>
  <c r="AP412" i="1"/>
  <c r="BU411" i="1"/>
  <c r="BK411" i="1"/>
  <c r="BA411" i="1"/>
  <c r="AQ411" i="1"/>
  <c r="AP411" i="1"/>
  <c r="BU410" i="1"/>
  <c r="BK410" i="1"/>
  <c r="BA410" i="1"/>
  <c r="AQ410" i="1"/>
  <c r="AP410" i="1"/>
  <c r="BU409" i="1"/>
  <c r="BK409" i="1"/>
  <c r="BA409" i="1"/>
  <c r="AQ409" i="1"/>
  <c r="AP409" i="1"/>
  <c r="BU408" i="1"/>
  <c r="BK408" i="1"/>
  <c r="BA408" i="1"/>
  <c r="AQ408" i="1"/>
  <c r="AP408" i="1"/>
  <c r="BU407" i="1"/>
  <c r="BK407" i="1"/>
  <c r="BA407" i="1"/>
  <c r="AQ407" i="1"/>
  <c r="AP407" i="1"/>
  <c r="BU406" i="1"/>
  <c r="BK406" i="1"/>
  <c r="BA406" i="1"/>
  <c r="AQ406" i="1"/>
  <c r="AP406" i="1"/>
  <c r="BU405" i="1"/>
  <c r="BK405" i="1"/>
  <c r="BA405" i="1"/>
  <c r="AQ405" i="1"/>
  <c r="AP405" i="1"/>
  <c r="BU404" i="1"/>
  <c r="BK404" i="1"/>
  <c r="BA404" i="1"/>
  <c r="AQ404" i="1"/>
  <c r="AP404" i="1"/>
  <c r="BU403" i="1"/>
  <c r="BK403" i="1"/>
  <c r="BA403" i="1"/>
  <c r="AQ403" i="1"/>
  <c r="AP403" i="1"/>
  <c r="BU402" i="1"/>
  <c r="BK402" i="1"/>
  <c r="BA402" i="1"/>
  <c r="AQ402" i="1"/>
  <c r="AP402" i="1"/>
  <c r="BU401" i="1"/>
  <c r="BK401" i="1"/>
  <c r="BA401" i="1"/>
  <c r="AQ401" i="1"/>
  <c r="AP401" i="1"/>
  <c r="BU400" i="1"/>
  <c r="BK400" i="1"/>
  <c r="BA400" i="1"/>
  <c r="AQ400" i="1"/>
  <c r="AP400" i="1"/>
  <c r="BU399" i="1"/>
  <c r="BK399" i="1"/>
  <c r="BA399" i="1"/>
  <c r="AQ399" i="1"/>
  <c r="AP399" i="1"/>
  <c r="BU398" i="1"/>
  <c r="BK398" i="1"/>
  <c r="BA398" i="1"/>
  <c r="AQ398" i="1"/>
  <c r="AP398" i="1"/>
  <c r="BU397" i="1"/>
  <c r="BK397" i="1"/>
  <c r="BA397" i="1"/>
  <c r="AQ397" i="1"/>
  <c r="AP397" i="1"/>
  <c r="BU396" i="1"/>
  <c r="BK396" i="1"/>
  <c r="BA396" i="1"/>
  <c r="AQ396" i="1"/>
  <c r="AP396" i="1"/>
  <c r="BU395" i="1"/>
  <c r="BK395" i="1"/>
  <c r="BA395" i="1"/>
  <c r="AQ395" i="1"/>
  <c r="AP395" i="1"/>
  <c r="BU394" i="1"/>
  <c r="BK394" i="1"/>
  <c r="BA394" i="1"/>
  <c r="AQ394" i="1"/>
  <c r="AP394" i="1"/>
  <c r="AO393" i="1"/>
  <c r="AN393" i="1"/>
  <c r="AM393" i="1"/>
  <c r="AL393" i="1"/>
  <c r="AK393" i="1"/>
  <c r="AK392" i="1" s="1"/>
  <c r="AJ393" i="1"/>
  <c r="AI393" i="1"/>
  <c r="AH393" i="1"/>
  <c r="AG393" i="1"/>
  <c r="AG392" i="1" s="1"/>
  <c r="AF393" i="1"/>
  <c r="AE393" i="1"/>
  <c r="AD393" i="1"/>
  <c r="AC393" i="1"/>
  <c r="AC392" i="1" s="1"/>
  <c r="AB393" i="1"/>
  <c r="AA393" i="1"/>
  <c r="Z393" i="1"/>
  <c r="Y393" i="1"/>
  <c r="X393" i="1"/>
  <c r="BU391" i="1"/>
  <c r="BU390" i="1" s="1"/>
  <c r="BK391" i="1"/>
  <c r="BK390" i="1" s="1"/>
  <c r="BA391" i="1"/>
  <c r="AQ391" i="1"/>
  <c r="AQ390" i="1" s="1"/>
  <c r="AB391" i="1"/>
  <c r="AO390" i="1"/>
  <c r="AN390" i="1"/>
  <c r="AM390" i="1"/>
  <c r="AL390" i="1"/>
  <c r="AK390" i="1"/>
  <c r="AJ390" i="1"/>
  <c r="AI390" i="1"/>
  <c r="AH390" i="1"/>
  <c r="AG390" i="1"/>
  <c r="AF390" i="1"/>
  <c r="AE390" i="1"/>
  <c r="AD390" i="1"/>
  <c r="AC390" i="1"/>
  <c r="AA390" i="1"/>
  <c r="Z390" i="1"/>
  <c r="Y390" i="1"/>
  <c r="X390" i="1"/>
  <c r="BU389" i="1"/>
  <c r="BK389" i="1"/>
  <c r="BA389" i="1"/>
  <c r="AQ389" i="1"/>
  <c r="AP389" i="1"/>
  <c r="BU388" i="1"/>
  <c r="BK388" i="1"/>
  <c r="BA388" i="1"/>
  <c r="AQ388" i="1"/>
  <c r="AP388" i="1"/>
  <c r="BU387" i="1"/>
  <c r="BK387" i="1"/>
  <c r="BA387" i="1"/>
  <c r="AQ387" i="1"/>
  <c r="AP387" i="1"/>
  <c r="BU386" i="1"/>
  <c r="BK386" i="1"/>
  <c r="BA386" i="1"/>
  <c r="AQ386" i="1"/>
  <c r="AP386" i="1"/>
  <c r="BU385" i="1"/>
  <c r="BK385" i="1"/>
  <c r="BA385" i="1"/>
  <c r="AQ385" i="1"/>
  <c r="AP385" i="1"/>
  <c r="BU384" i="1"/>
  <c r="BK384" i="1"/>
  <c r="BA384" i="1"/>
  <c r="AQ384" i="1"/>
  <c r="AP384" i="1"/>
  <c r="AO383" i="1"/>
  <c r="AN383" i="1"/>
  <c r="AM383" i="1"/>
  <c r="AL383" i="1"/>
  <c r="AK383" i="1"/>
  <c r="AJ383" i="1"/>
  <c r="AI383" i="1"/>
  <c r="AH383" i="1"/>
  <c r="AG383" i="1"/>
  <c r="AF383" i="1"/>
  <c r="AF382" i="1" s="1"/>
  <c r="AE383" i="1"/>
  <c r="AD383" i="1"/>
  <c r="AC383" i="1"/>
  <c r="AB383" i="1"/>
  <c r="AA383" i="1"/>
  <c r="AA382" i="1" s="1"/>
  <c r="Z383" i="1"/>
  <c r="Y383" i="1"/>
  <c r="X383" i="1"/>
  <c r="X382" i="1" s="1"/>
  <c r="BU381" i="1"/>
  <c r="BK381" i="1"/>
  <c r="BA381" i="1"/>
  <c r="AQ381" i="1"/>
  <c r="AP381" i="1"/>
  <c r="BU380" i="1"/>
  <c r="BK380" i="1"/>
  <c r="BA380" i="1"/>
  <c r="AQ380" i="1"/>
  <c r="AP380" i="1"/>
  <c r="AO379" i="1"/>
  <c r="AN379" i="1"/>
  <c r="AM379" i="1"/>
  <c r="AL379" i="1"/>
  <c r="AK379" i="1"/>
  <c r="AJ379" i="1"/>
  <c r="AI379" i="1"/>
  <c r="AH379" i="1"/>
  <c r="AG379" i="1"/>
  <c r="AF379" i="1"/>
  <c r="AE379" i="1"/>
  <c r="AD379" i="1"/>
  <c r="AC379" i="1"/>
  <c r="AB379" i="1"/>
  <c r="AA379" i="1"/>
  <c r="Z379" i="1"/>
  <c r="Y379" i="1"/>
  <c r="X379" i="1"/>
  <c r="BU378" i="1"/>
  <c r="BD378" i="1"/>
  <c r="BK378" i="1" s="1"/>
  <c r="BA378" i="1"/>
  <c r="AQ378" i="1"/>
  <c r="AP378" i="1"/>
  <c r="BU377" i="1"/>
  <c r="BK377" i="1"/>
  <c r="BA377" i="1"/>
  <c r="AQ377" i="1"/>
  <c r="AP377" i="1"/>
  <c r="BU376" i="1"/>
  <c r="BK376" i="1"/>
  <c r="BA376" i="1"/>
  <c r="AQ376" i="1"/>
  <c r="AP376" i="1"/>
  <c r="BU375" i="1"/>
  <c r="BK375" i="1"/>
  <c r="BA375" i="1"/>
  <c r="AQ375" i="1"/>
  <c r="AB375" i="1"/>
  <c r="AO374" i="1"/>
  <c r="AN374" i="1"/>
  <c r="AM374" i="1"/>
  <c r="AL374" i="1"/>
  <c r="AK374" i="1"/>
  <c r="AJ374" i="1"/>
  <c r="AI374" i="1"/>
  <c r="AH374" i="1"/>
  <c r="AG374" i="1"/>
  <c r="AF374" i="1"/>
  <c r="AE374" i="1"/>
  <c r="AD374" i="1"/>
  <c r="AC374" i="1"/>
  <c r="AA374" i="1"/>
  <c r="Z374" i="1"/>
  <c r="Y374" i="1"/>
  <c r="X374" i="1"/>
  <c r="BU371" i="1"/>
  <c r="BK371" i="1"/>
  <c r="BA371" i="1"/>
  <c r="AQ371" i="1"/>
  <c r="AP371" i="1"/>
  <c r="BU370" i="1"/>
  <c r="BK370" i="1"/>
  <c r="BA370" i="1"/>
  <c r="AQ370" i="1"/>
  <c r="AP370" i="1"/>
  <c r="AO369" i="1"/>
  <c r="AN369" i="1"/>
  <c r="AM369" i="1"/>
  <c r="AL369" i="1"/>
  <c r="AK369" i="1"/>
  <c r="AJ369" i="1"/>
  <c r="AI369" i="1"/>
  <c r="AH369" i="1"/>
  <c r="AG369" i="1"/>
  <c r="AF369" i="1"/>
  <c r="AE369" i="1"/>
  <c r="AD369" i="1"/>
  <c r="AC369" i="1"/>
  <c r="AB369" i="1"/>
  <c r="AA369" i="1"/>
  <c r="Z369" i="1"/>
  <c r="Y369" i="1"/>
  <c r="X369" i="1"/>
  <c r="BU368" i="1"/>
  <c r="BK368" i="1"/>
  <c r="BA368" i="1"/>
  <c r="AQ368" i="1"/>
  <c r="AB368" i="1"/>
  <c r="AP368" i="1" s="1"/>
  <c r="BU367" i="1"/>
  <c r="BK367" i="1"/>
  <c r="BA367" i="1"/>
  <c r="AQ367" i="1"/>
  <c r="AP367" i="1"/>
  <c r="BU366" i="1"/>
  <c r="BK366" i="1"/>
  <c r="BA366" i="1"/>
  <c r="AQ366" i="1"/>
  <c r="AB366" i="1"/>
  <c r="AP366" i="1" s="1"/>
  <c r="BU365" i="1"/>
  <c r="BK365" i="1"/>
  <c r="BA365" i="1"/>
  <c r="AQ365" i="1"/>
  <c r="AB365" i="1"/>
  <c r="BU364" i="1"/>
  <c r="BK364" i="1"/>
  <c r="BA364" i="1"/>
  <c r="AQ364" i="1"/>
  <c r="AP364" i="1"/>
  <c r="AO363" i="1"/>
  <c r="AN363" i="1"/>
  <c r="AM363" i="1"/>
  <c r="AL363" i="1"/>
  <c r="AK363" i="1"/>
  <c r="AJ363" i="1"/>
  <c r="AI363" i="1"/>
  <c r="AH363" i="1"/>
  <c r="AG363" i="1"/>
  <c r="AF363" i="1"/>
  <c r="AE363" i="1"/>
  <c r="AD363" i="1"/>
  <c r="AC363" i="1"/>
  <c r="AA363" i="1"/>
  <c r="Z363" i="1"/>
  <c r="Z362" i="1" s="1"/>
  <c r="Y363" i="1"/>
  <c r="X363" i="1"/>
  <c r="BU361" i="1"/>
  <c r="BD361" i="1"/>
  <c r="BK361" i="1" s="1"/>
  <c r="BA361" i="1"/>
  <c r="AQ361" i="1"/>
  <c r="AB361" i="1"/>
  <c r="AP361" i="1" s="1"/>
  <c r="BU360" i="1"/>
  <c r="BK360" i="1"/>
  <c r="BA360" i="1"/>
  <c r="AQ360" i="1"/>
  <c r="AB360" i="1"/>
  <c r="AP360" i="1" s="1"/>
  <c r="AO359" i="1"/>
  <c r="AN359" i="1"/>
  <c r="AM359" i="1"/>
  <c r="AL359" i="1"/>
  <c r="AK359" i="1"/>
  <c r="AJ359" i="1"/>
  <c r="AI359" i="1"/>
  <c r="AH359" i="1"/>
  <c r="AG359" i="1"/>
  <c r="AF359" i="1"/>
  <c r="AE359" i="1"/>
  <c r="AD359" i="1"/>
  <c r="AC359" i="1"/>
  <c r="AA359" i="1"/>
  <c r="Z359" i="1"/>
  <c r="Y359" i="1"/>
  <c r="X359" i="1"/>
  <c r="BU358" i="1"/>
  <c r="BK358" i="1"/>
  <c r="BA358" i="1"/>
  <c r="AQ358" i="1"/>
  <c r="AB358" i="1"/>
  <c r="AP358" i="1" s="1"/>
  <c r="BU357" i="1"/>
  <c r="BK357" i="1"/>
  <c r="BA357" i="1"/>
  <c r="AQ357" i="1"/>
  <c r="AP357" i="1"/>
  <c r="BU356" i="1"/>
  <c r="BK356" i="1"/>
  <c r="BA356" i="1"/>
  <c r="AQ356" i="1"/>
  <c r="AP356" i="1"/>
  <c r="AO355" i="1"/>
  <c r="AN355" i="1"/>
  <c r="AM355" i="1"/>
  <c r="AL355" i="1"/>
  <c r="AK355" i="1"/>
  <c r="AJ355" i="1"/>
  <c r="AI355" i="1"/>
  <c r="AH355" i="1"/>
  <c r="AG355" i="1"/>
  <c r="AF355" i="1"/>
  <c r="AE355" i="1"/>
  <c r="AD355" i="1"/>
  <c r="AC355" i="1"/>
  <c r="AA355" i="1"/>
  <c r="Z355" i="1"/>
  <c r="Y355" i="1"/>
  <c r="X355" i="1"/>
  <c r="BU354" i="1"/>
  <c r="BK354" i="1"/>
  <c r="BA354" i="1"/>
  <c r="AQ354" i="1"/>
  <c r="AP354" i="1"/>
  <c r="BU353" i="1"/>
  <c r="BK353" i="1"/>
  <c r="BA353" i="1"/>
  <c r="AQ353" i="1"/>
  <c r="AP353" i="1"/>
  <c r="BU352" i="1"/>
  <c r="BK352" i="1"/>
  <c r="BA352" i="1"/>
  <c r="AQ352" i="1"/>
  <c r="AP352" i="1"/>
  <c r="BU351" i="1"/>
  <c r="BK351" i="1"/>
  <c r="BA351" i="1"/>
  <c r="AQ351" i="1"/>
  <c r="AP351" i="1"/>
  <c r="BU350" i="1"/>
  <c r="BK350" i="1"/>
  <c r="BA350" i="1"/>
  <c r="AQ350" i="1"/>
  <c r="AP350" i="1"/>
  <c r="AO349" i="1"/>
  <c r="AN349" i="1"/>
  <c r="AM349" i="1"/>
  <c r="AL349" i="1"/>
  <c r="AK349" i="1"/>
  <c r="AJ349" i="1"/>
  <c r="AI349" i="1"/>
  <c r="AH349" i="1"/>
  <c r="AG349" i="1"/>
  <c r="AF349" i="1"/>
  <c r="AE349" i="1"/>
  <c r="AD349" i="1"/>
  <c r="AC349" i="1"/>
  <c r="AB349" i="1"/>
  <c r="AA349" i="1"/>
  <c r="Z349" i="1"/>
  <c r="Y349" i="1"/>
  <c r="X349" i="1"/>
  <c r="BU347" i="1"/>
  <c r="BK347" i="1"/>
  <c r="BA347" i="1"/>
  <c r="AQ347" i="1"/>
  <c r="AP347" i="1"/>
  <c r="BU346" i="1"/>
  <c r="BK346" i="1"/>
  <c r="BA346" i="1"/>
  <c r="AQ346" i="1"/>
  <c r="AP346" i="1"/>
  <c r="BU345" i="1"/>
  <c r="BK345" i="1"/>
  <c r="BA345" i="1"/>
  <c r="AQ345" i="1"/>
  <c r="AP345" i="1"/>
  <c r="AO344" i="1"/>
  <c r="AN344" i="1"/>
  <c r="AM344" i="1"/>
  <c r="AL344" i="1"/>
  <c r="AK344" i="1"/>
  <c r="AJ344" i="1"/>
  <c r="AI344" i="1"/>
  <c r="AH344" i="1"/>
  <c r="AG344" i="1"/>
  <c r="AF344" i="1"/>
  <c r="AE344" i="1"/>
  <c r="AD344" i="1"/>
  <c r="AC344" i="1"/>
  <c r="AB344" i="1"/>
  <c r="AA344" i="1"/>
  <c r="Z344" i="1"/>
  <c r="Y344" i="1"/>
  <c r="X344" i="1"/>
  <c r="BU343" i="1"/>
  <c r="BK343" i="1"/>
  <c r="BA343" i="1"/>
  <c r="AQ343" i="1"/>
  <c r="AP343" i="1"/>
  <c r="BM342" i="1"/>
  <c r="BU342" i="1" s="1"/>
  <c r="BC342" i="1"/>
  <c r="BK342" i="1" s="1"/>
  <c r="AS342" i="1"/>
  <c r="BA342" i="1" s="1"/>
  <c r="AQ342" i="1"/>
  <c r="AP342" i="1"/>
  <c r="BU341" i="1"/>
  <c r="BK341" i="1"/>
  <c r="BA341" i="1"/>
  <c r="AQ341" i="1"/>
  <c r="AB341" i="1"/>
  <c r="AP341" i="1" s="1"/>
  <c r="BU340" i="1"/>
  <c r="BK340" i="1"/>
  <c r="BA340" i="1"/>
  <c r="AQ340" i="1"/>
  <c r="AP340" i="1"/>
  <c r="AO339" i="1"/>
  <c r="AN339" i="1"/>
  <c r="AM339" i="1"/>
  <c r="AL339" i="1"/>
  <c r="AK339" i="1"/>
  <c r="AJ339" i="1"/>
  <c r="AI339" i="1"/>
  <c r="AH339" i="1"/>
  <c r="AG339" i="1"/>
  <c r="AF339" i="1"/>
  <c r="AE339" i="1"/>
  <c r="AD339" i="1"/>
  <c r="AC339" i="1"/>
  <c r="AA339" i="1"/>
  <c r="Z339" i="1"/>
  <c r="Y339" i="1"/>
  <c r="X339" i="1"/>
  <c r="BU338" i="1"/>
  <c r="BC338" i="1"/>
  <c r="BK338" i="1" s="1"/>
  <c r="BA338" i="1"/>
  <c r="AQ338" i="1"/>
  <c r="AP338" i="1"/>
  <c r="BU337" i="1"/>
  <c r="BK337" i="1"/>
  <c r="BA337" i="1"/>
  <c r="AQ337" i="1"/>
  <c r="AP337" i="1"/>
  <c r="BU336" i="1"/>
  <c r="BK336" i="1"/>
  <c r="BA336" i="1"/>
  <c r="AQ336" i="1"/>
  <c r="AP336" i="1"/>
  <c r="BU335" i="1"/>
  <c r="BK335" i="1"/>
  <c r="BA335" i="1"/>
  <c r="AQ335" i="1"/>
  <c r="AP335" i="1"/>
  <c r="BM333" i="1"/>
  <c r="BU333" i="1" s="1"/>
  <c r="BC333" i="1"/>
  <c r="BK333" i="1" s="1"/>
  <c r="BA333" i="1"/>
  <c r="AQ333" i="1"/>
  <c r="Z333" i="1"/>
  <c r="AP333" i="1" s="1"/>
  <c r="AO332" i="1"/>
  <c r="AN332" i="1"/>
  <c r="AM332" i="1"/>
  <c r="AL332" i="1"/>
  <c r="AK332" i="1"/>
  <c r="AJ332" i="1"/>
  <c r="AI332" i="1"/>
  <c r="AH332" i="1"/>
  <c r="AG332" i="1"/>
  <c r="AF332" i="1"/>
  <c r="AE332" i="1"/>
  <c r="AD332" i="1"/>
  <c r="AC332" i="1"/>
  <c r="AB332" i="1"/>
  <c r="AA332" i="1"/>
  <c r="Y332" i="1"/>
  <c r="X332" i="1"/>
  <c r="BU329" i="1"/>
  <c r="BU328" i="1" s="1"/>
  <c r="BU327" i="1" s="1"/>
  <c r="BK329" i="1"/>
  <c r="BK328" i="1" s="1"/>
  <c r="BK327" i="1" s="1"/>
  <c r="BA329" i="1"/>
  <c r="AQ329" i="1"/>
  <c r="AQ328" i="1" s="1"/>
  <c r="AQ327" i="1" s="1"/>
  <c r="AP329" i="1"/>
  <c r="AO328" i="1"/>
  <c r="AO327" i="1" s="1"/>
  <c r="AN328" i="1"/>
  <c r="AN327" i="1" s="1"/>
  <c r="AM328" i="1"/>
  <c r="AM327" i="1" s="1"/>
  <c r="AL328" i="1"/>
  <c r="AL327" i="1" s="1"/>
  <c r="AK328" i="1"/>
  <c r="AK327" i="1" s="1"/>
  <c r="AJ328" i="1"/>
  <c r="AJ327" i="1" s="1"/>
  <c r="AI328" i="1"/>
  <c r="AH328" i="1"/>
  <c r="AH327" i="1" s="1"/>
  <c r="AG328" i="1"/>
  <c r="AF328" i="1"/>
  <c r="AF327" i="1" s="1"/>
  <c r="AE328" i="1"/>
  <c r="AE327" i="1" s="1"/>
  <c r="AD328" i="1"/>
  <c r="AD327" i="1" s="1"/>
  <c r="AC328" i="1"/>
  <c r="AC327" i="1" s="1"/>
  <c r="AB328" i="1"/>
  <c r="AB327" i="1" s="1"/>
  <c r="AA328" i="1"/>
  <c r="AA327" i="1" s="1"/>
  <c r="Z328" i="1"/>
  <c r="Z327" i="1" s="1"/>
  <c r="Y328" i="1"/>
  <c r="Y327" i="1" s="1"/>
  <c r="X328" i="1"/>
  <c r="X327" i="1" s="1"/>
  <c r="AI327" i="1"/>
  <c r="AG327" i="1"/>
  <c r="BU326" i="1"/>
  <c r="BU325" i="1" s="1"/>
  <c r="BK326" i="1"/>
  <c r="BA326" i="1"/>
  <c r="BA325" i="1" s="1"/>
  <c r="AQ326" i="1"/>
  <c r="AQ325" i="1" s="1"/>
  <c r="AP326" i="1"/>
  <c r="AP325" i="1" s="1"/>
  <c r="AO325" i="1"/>
  <c r="AN325" i="1"/>
  <c r="AM325" i="1"/>
  <c r="AL325" i="1"/>
  <c r="AK325" i="1"/>
  <c r="AJ325" i="1"/>
  <c r="AI325" i="1"/>
  <c r="AH325" i="1"/>
  <c r="AG325" i="1"/>
  <c r="AF325" i="1"/>
  <c r="AE325" i="1"/>
  <c r="AD325" i="1"/>
  <c r="AC325" i="1"/>
  <c r="AB325" i="1"/>
  <c r="AA325" i="1"/>
  <c r="Z325" i="1"/>
  <c r="Y325" i="1"/>
  <c r="X325" i="1"/>
  <c r="BU324" i="1"/>
  <c r="BK324" i="1"/>
  <c r="BA324" i="1"/>
  <c r="AQ324" i="1"/>
  <c r="AP324" i="1"/>
  <c r="BU323" i="1"/>
  <c r="BK323" i="1"/>
  <c r="BA323" i="1"/>
  <c r="AQ323" i="1"/>
  <c r="AP323" i="1"/>
  <c r="BU322" i="1"/>
  <c r="BK322" i="1"/>
  <c r="BA322" i="1"/>
  <c r="AQ322" i="1"/>
  <c r="AP322" i="1"/>
  <c r="AO321" i="1"/>
  <c r="AN321" i="1"/>
  <c r="AM321" i="1"/>
  <c r="AL321" i="1"/>
  <c r="AK321" i="1"/>
  <c r="AJ321" i="1"/>
  <c r="AI321" i="1"/>
  <c r="AH321" i="1"/>
  <c r="AG321" i="1"/>
  <c r="AF321" i="1"/>
  <c r="AE321" i="1"/>
  <c r="AD321" i="1"/>
  <c r="AC321" i="1"/>
  <c r="AB321" i="1"/>
  <c r="AA321" i="1"/>
  <c r="Z321" i="1"/>
  <c r="Y321" i="1"/>
  <c r="X321" i="1"/>
  <c r="BU319" i="1"/>
  <c r="BK319" i="1"/>
  <c r="BA319" i="1"/>
  <c r="AQ319" i="1"/>
  <c r="AP319" i="1"/>
  <c r="BU318" i="1"/>
  <c r="BK318" i="1"/>
  <c r="BA318" i="1"/>
  <c r="AQ318" i="1"/>
  <c r="AP318" i="1"/>
  <c r="BU317" i="1"/>
  <c r="BK317" i="1"/>
  <c r="BA317" i="1"/>
  <c r="AQ317" i="1"/>
  <c r="AP317" i="1"/>
  <c r="AO316" i="1"/>
  <c r="AN316" i="1"/>
  <c r="AM316" i="1"/>
  <c r="AL316" i="1"/>
  <c r="AK316" i="1"/>
  <c r="AJ316" i="1"/>
  <c r="AI316" i="1"/>
  <c r="AH316" i="1"/>
  <c r="AG316" i="1"/>
  <c r="AF316" i="1"/>
  <c r="AE316" i="1"/>
  <c r="AD316" i="1"/>
  <c r="AC316" i="1"/>
  <c r="AB316" i="1"/>
  <c r="AA316" i="1"/>
  <c r="Z316" i="1"/>
  <c r="Y316" i="1"/>
  <c r="X316" i="1"/>
  <c r="BU315" i="1"/>
  <c r="BU314" i="1" s="1"/>
  <c r="BK315" i="1"/>
  <c r="BK314" i="1" s="1"/>
  <c r="BA315" i="1"/>
  <c r="BA314" i="1" s="1"/>
  <c r="AP315" i="1"/>
  <c r="AA315" i="1"/>
  <c r="AQ315" i="1" s="1"/>
  <c r="AQ314" i="1" s="1"/>
  <c r="AO314" i="1"/>
  <c r="AN314" i="1"/>
  <c r="AM314" i="1"/>
  <c r="AL314" i="1"/>
  <c r="AK314" i="1"/>
  <c r="AJ314" i="1"/>
  <c r="AI314" i="1"/>
  <c r="AH314" i="1"/>
  <c r="AG314" i="1"/>
  <c r="AF314" i="1"/>
  <c r="AE314" i="1"/>
  <c r="AD314" i="1"/>
  <c r="AC314" i="1"/>
  <c r="AB314" i="1"/>
  <c r="Z314" i="1"/>
  <c r="Y314" i="1"/>
  <c r="X314" i="1"/>
  <c r="BU313" i="1"/>
  <c r="BU312" i="1" s="1"/>
  <c r="BK313" i="1"/>
  <c r="BA313" i="1"/>
  <c r="BA312" i="1" s="1"/>
  <c r="AQ313" i="1"/>
  <c r="AQ312" i="1" s="1"/>
  <c r="AP313" i="1"/>
  <c r="AP312" i="1" s="1"/>
  <c r="U313" i="1" s="1"/>
  <c r="AO312" i="1"/>
  <c r="AN312" i="1"/>
  <c r="AM312" i="1"/>
  <c r="AL312" i="1"/>
  <c r="AK312" i="1"/>
  <c r="AJ312" i="1"/>
  <c r="AI312" i="1"/>
  <c r="AH312" i="1"/>
  <c r="AG312" i="1"/>
  <c r="AF312" i="1"/>
  <c r="AE312" i="1"/>
  <c r="AD312" i="1"/>
  <c r="AC312" i="1"/>
  <c r="AB312" i="1"/>
  <c r="AA312" i="1"/>
  <c r="Z312" i="1"/>
  <c r="Y312" i="1"/>
  <c r="X312" i="1"/>
  <c r="BN311" i="1"/>
  <c r="BM311" i="1"/>
  <c r="BK311" i="1"/>
  <c r="AT311" i="1"/>
  <c r="AS311" i="1"/>
  <c r="AQ311" i="1"/>
  <c r="AP311" i="1"/>
  <c r="BN310" i="1"/>
  <c r="BM310" i="1"/>
  <c r="BK310" i="1"/>
  <c r="AT310" i="1"/>
  <c r="AS310" i="1"/>
  <c r="AQ310" i="1"/>
  <c r="AP310" i="1"/>
  <c r="AO309" i="1"/>
  <c r="AN309" i="1"/>
  <c r="AM309" i="1"/>
  <c r="AL309" i="1"/>
  <c r="AK309" i="1"/>
  <c r="AJ309" i="1"/>
  <c r="AI309" i="1"/>
  <c r="AH309" i="1"/>
  <c r="AG309" i="1"/>
  <c r="AF309" i="1"/>
  <c r="AE309" i="1"/>
  <c r="AD309" i="1"/>
  <c r="AC309" i="1"/>
  <c r="AB309" i="1"/>
  <c r="AA309" i="1"/>
  <c r="Z309" i="1"/>
  <c r="Y309" i="1"/>
  <c r="X309" i="1"/>
  <c r="BU307" i="1"/>
  <c r="BC307" i="1"/>
  <c r="BK307" i="1" s="1"/>
  <c r="AS307" i="1"/>
  <c r="AQ307" i="1"/>
  <c r="AP307" i="1"/>
  <c r="BU306" i="1"/>
  <c r="BC306" i="1"/>
  <c r="BK306" i="1" s="1"/>
  <c r="AS306" i="1"/>
  <c r="BA306" i="1" s="1"/>
  <c r="AQ306" i="1"/>
  <c r="AP306" i="1"/>
  <c r="BU305" i="1"/>
  <c r="BK305" i="1"/>
  <c r="BA305" i="1"/>
  <c r="AQ305" i="1"/>
  <c r="AP305" i="1"/>
  <c r="BU304" i="1"/>
  <c r="BK304" i="1"/>
  <c r="BA304" i="1"/>
  <c r="AQ304" i="1"/>
  <c r="AB304" i="1"/>
  <c r="AO303" i="1"/>
  <c r="AO302" i="1" s="1"/>
  <c r="AN303" i="1"/>
  <c r="AN302" i="1" s="1"/>
  <c r="AM303" i="1"/>
  <c r="AM302" i="1" s="1"/>
  <c r="AL303" i="1"/>
  <c r="AL302" i="1" s="1"/>
  <c r="AK303" i="1"/>
  <c r="AK302" i="1" s="1"/>
  <c r="AJ303" i="1"/>
  <c r="AJ302" i="1" s="1"/>
  <c r="AI303" i="1"/>
  <c r="AI302" i="1" s="1"/>
  <c r="AH303" i="1"/>
  <c r="AH302" i="1" s="1"/>
  <c r="AG303" i="1"/>
  <c r="AG302" i="1" s="1"/>
  <c r="AF303" i="1"/>
  <c r="AF302" i="1" s="1"/>
  <c r="AE303" i="1"/>
  <c r="AE302" i="1" s="1"/>
  <c r="AD303" i="1"/>
  <c r="AD302" i="1" s="1"/>
  <c r="AC303" i="1"/>
  <c r="AC302" i="1" s="1"/>
  <c r="AA303" i="1"/>
  <c r="AA302" i="1" s="1"/>
  <c r="Z303" i="1"/>
  <c r="Z302" i="1" s="1"/>
  <c r="Y303" i="1"/>
  <c r="Y302" i="1" s="1"/>
  <c r="X303" i="1"/>
  <c r="X302" i="1" s="1"/>
  <c r="BU300" i="1"/>
  <c r="BU299" i="1" s="1"/>
  <c r="BK300" i="1"/>
  <c r="BA300" i="1"/>
  <c r="BA299" i="1" s="1"/>
  <c r="AP300" i="1"/>
  <c r="AP299" i="1" s="1"/>
  <c r="U300" i="1" s="1"/>
  <c r="AC300" i="1"/>
  <c r="AQ300" i="1" s="1"/>
  <c r="AQ299" i="1" s="1"/>
  <c r="AO299" i="1"/>
  <c r="AN299" i="1"/>
  <c r="AM299" i="1"/>
  <c r="AL299" i="1"/>
  <c r="AK299" i="1"/>
  <c r="AJ299" i="1"/>
  <c r="AI299" i="1"/>
  <c r="AH299" i="1"/>
  <c r="AG299" i="1"/>
  <c r="AF299" i="1"/>
  <c r="AE299" i="1"/>
  <c r="AD299" i="1"/>
  <c r="AB299" i="1"/>
  <c r="AA299" i="1"/>
  <c r="Z299" i="1"/>
  <c r="Y299" i="1"/>
  <c r="X299" i="1"/>
  <c r="BU298" i="1"/>
  <c r="BU297" i="1" s="1"/>
  <c r="BK298" i="1"/>
  <c r="BK297" i="1" s="1"/>
  <c r="BA298" i="1"/>
  <c r="BA297" i="1" s="1"/>
  <c r="AQ298" i="1"/>
  <c r="AQ297" i="1" s="1"/>
  <c r="AB298" i="1"/>
  <c r="AP298" i="1" s="1"/>
  <c r="AO297" i="1"/>
  <c r="AN297" i="1"/>
  <c r="AM297" i="1"/>
  <c r="AL297" i="1"/>
  <c r="AK297" i="1"/>
  <c r="AJ297" i="1"/>
  <c r="AI297" i="1"/>
  <c r="AH297" i="1"/>
  <c r="AG297" i="1"/>
  <c r="AF297" i="1"/>
  <c r="AE297" i="1"/>
  <c r="AD297" i="1"/>
  <c r="AC297" i="1"/>
  <c r="AA297" i="1"/>
  <c r="Z297" i="1"/>
  <c r="Y297" i="1"/>
  <c r="X297" i="1"/>
  <c r="BU296" i="1"/>
  <c r="BU295" i="1" s="1"/>
  <c r="BK296" i="1"/>
  <c r="BA296" i="1"/>
  <c r="BA295" i="1" s="1"/>
  <c r="AQ296" i="1"/>
  <c r="AQ295" i="1" s="1"/>
  <c r="AP296" i="1"/>
  <c r="AP295" i="1" s="1"/>
  <c r="U296" i="1" s="1"/>
  <c r="AO295" i="1"/>
  <c r="AN295" i="1"/>
  <c r="AM295" i="1"/>
  <c r="AL295" i="1"/>
  <c r="AK295" i="1"/>
  <c r="AJ295" i="1"/>
  <c r="AI295" i="1"/>
  <c r="AH295" i="1"/>
  <c r="AG295" i="1"/>
  <c r="AF295" i="1"/>
  <c r="AE295" i="1"/>
  <c r="AD295" i="1"/>
  <c r="AC295" i="1"/>
  <c r="AB295" i="1"/>
  <c r="AA295" i="1"/>
  <c r="Z295" i="1"/>
  <c r="Y295" i="1"/>
  <c r="X295" i="1"/>
  <c r="BU294" i="1"/>
  <c r="BK294" i="1"/>
  <c r="BA294" i="1"/>
  <c r="AQ294" i="1"/>
  <c r="AB294" i="1"/>
  <c r="AP294" i="1" s="1"/>
  <c r="BU293" i="1"/>
  <c r="BK293" i="1"/>
  <c r="BA293" i="1"/>
  <c r="AC293" i="1"/>
  <c r="AB293" i="1"/>
  <c r="AP293" i="1" s="1"/>
  <c r="AO292" i="1"/>
  <c r="AN292" i="1"/>
  <c r="AM292" i="1"/>
  <c r="AL292" i="1"/>
  <c r="AK292" i="1"/>
  <c r="AJ292" i="1"/>
  <c r="AI292" i="1"/>
  <c r="AH292" i="1"/>
  <c r="AG292" i="1"/>
  <c r="AF292" i="1"/>
  <c r="AE292" i="1"/>
  <c r="AD292" i="1"/>
  <c r="AA292" i="1"/>
  <c r="Z292" i="1"/>
  <c r="Y292" i="1"/>
  <c r="X292" i="1"/>
  <c r="BU291" i="1"/>
  <c r="BK291" i="1"/>
  <c r="BA291" i="1"/>
  <c r="AQ291" i="1"/>
  <c r="AP291" i="1"/>
  <c r="BU290" i="1"/>
  <c r="BK290" i="1"/>
  <c r="BA290" i="1"/>
  <c r="AQ290" i="1"/>
  <c r="AB290" i="1"/>
  <c r="AP290" i="1" s="1"/>
  <c r="AO289" i="1"/>
  <c r="AN289" i="1"/>
  <c r="AM289" i="1"/>
  <c r="AL289" i="1"/>
  <c r="AK289" i="1"/>
  <c r="AJ289" i="1"/>
  <c r="AI289" i="1"/>
  <c r="AH289" i="1"/>
  <c r="AG289" i="1"/>
  <c r="AF289" i="1"/>
  <c r="AE289" i="1"/>
  <c r="AD289" i="1"/>
  <c r="AC289" i="1"/>
  <c r="AA289" i="1"/>
  <c r="Z289" i="1"/>
  <c r="Y289" i="1"/>
  <c r="X289" i="1"/>
  <c r="BU287" i="1"/>
  <c r="BU286" i="1" s="1"/>
  <c r="BK287" i="1"/>
  <c r="BK286" i="1" s="1"/>
  <c r="BA287" i="1"/>
  <c r="AQ287" i="1"/>
  <c r="AQ286" i="1" s="1"/>
  <c r="AB287" i="1"/>
  <c r="AO286" i="1"/>
  <c r="AN286" i="1"/>
  <c r="AM286" i="1"/>
  <c r="AL286" i="1"/>
  <c r="AK286" i="1"/>
  <c r="AJ286" i="1"/>
  <c r="AI286" i="1"/>
  <c r="AH286" i="1"/>
  <c r="AG286" i="1"/>
  <c r="AF286" i="1"/>
  <c r="AE286" i="1"/>
  <c r="AD286" i="1"/>
  <c r="AC286" i="1"/>
  <c r="AA286" i="1"/>
  <c r="Z286" i="1"/>
  <c r="Y286" i="1"/>
  <c r="X286" i="1"/>
  <c r="BU285" i="1"/>
  <c r="BK285" i="1"/>
  <c r="BA285" i="1"/>
  <c r="AQ285" i="1"/>
  <c r="AB285" i="1"/>
  <c r="AP285" i="1" s="1"/>
  <c r="BU284" i="1"/>
  <c r="BK284" i="1"/>
  <c r="BA284" i="1"/>
  <c r="AQ284" i="1"/>
  <c r="AB284" i="1"/>
  <c r="AP284" i="1" s="1"/>
  <c r="BU283" i="1"/>
  <c r="BK283" i="1"/>
  <c r="BA283" i="1"/>
  <c r="AQ283" i="1"/>
  <c r="AB283" i="1"/>
  <c r="AO282" i="1"/>
  <c r="AN282" i="1"/>
  <c r="AM282" i="1"/>
  <c r="AL282" i="1"/>
  <c r="AK282" i="1"/>
  <c r="AJ282" i="1"/>
  <c r="AI282" i="1"/>
  <c r="AH282" i="1"/>
  <c r="AG282" i="1"/>
  <c r="AF282" i="1"/>
  <c r="AE282" i="1"/>
  <c r="AD282" i="1"/>
  <c r="AC282" i="1"/>
  <c r="AA282" i="1"/>
  <c r="Z282" i="1"/>
  <c r="Y282" i="1"/>
  <c r="X282" i="1"/>
  <c r="BU281" i="1"/>
  <c r="BK281" i="1"/>
  <c r="BA281" i="1"/>
  <c r="AQ281" i="1"/>
  <c r="AP281" i="1"/>
  <c r="BU280" i="1"/>
  <c r="BK280" i="1"/>
  <c r="BA280" i="1"/>
  <c r="AQ280" i="1"/>
  <c r="AP280" i="1"/>
  <c r="BU279" i="1"/>
  <c r="BK279" i="1"/>
  <c r="BA279" i="1"/>
  <c r="AQ279" i="1"/>
  <c r="AB279" i="1"/>
  <c r="BV278" i="1"/>
  <c r="AO278" i="1"/>
  <c r="AN278" i="1"/>
  <c r="AM278" i="1"/>
  <c r="AL278" i="1"/>
  <c r="AK278" i="1"/>
  <c r="AJ278" i="1"/>
  <c r="AI278" i="1"/>
  <c r="AH278" i="1"/>
  <c r="AG278" i="1"/>
  <c r="AF278" i="1"/>
  <c r="AE278" i="1"/>
  <c r="AD278" i="1"/>
  <c r="AC278" i="1"/>
  <c r="AA278" i="1"/>
  <c r="Z278" i="1"/>
  <c r="Y278" i="1"/>
  <c r="X278" i="1"/>
  <c r="BU277" i="1"/>
  <c r="BU276" i="1" s="1"/>
  <c r="BK277" i="1"/>
  <c r="BA277" i="1"/>
  <c r="BA276" i="1" s="1"/>
  <c r="AQ277" i="1"/>
  <c r="AQ276" i="1" s="1"/>
  <c r="AB277" i="1"/>
  <c r="AB276" i="1" s="1"/>
  <c r="AO276" i="1"/>
  <c r="AN276" i="1"/>
  <c r="AM276" i="1"/>
  <c r="AL276" i="1"/>
  <c r="AK276" i="1"/>
  <c r="AJ276" i="1"/>
  <c r="AI276" i="1"/>
  <c r="AH276" i="1"/>
  <c r="AG276" i="1"/>
  <c r="AF276" i="1"/>
  <c r="AE276" i="1"/>
  <c r="AD276" i="1"/>
  <c r="AC276" i="1"/>
  <c r="AA276" i="1"/>
  <c r="Z276" i="1"/>
  <c r="Y276" i="1"/>
  <c r="X276" i="1"/>
  <c r="BU274" i="1"/>
  <c r="BU273" i="1" s="1"/>
  <c r="BK274" i="1"/>
  <c r="BK273" i="1" s="1"/>
  <c r="BA274" i="1"/>
  <c r="AQ274" i="1"/>
  <c r="AQ273" i="1" s="1"/>
  <c r="AP274" i="1"/>
  <c r="AP273" i="1" s="1"/>
  <c r="U274" i="1" s="1"/>
  <c r="AO273" i="1"/>
  <c r="AN273" i="1"/>
  <c r="AM273" i="1"/>
  <c r="AL273" i="1"/>
  <c r="AK273" i="1"/>
  <c r="AJ273" i="1"/>
  <c r="AI273" i="1"/>
  <c r="AH273" i="1"/>
  <c r="AG273" i="1"/>
  <c r="AF273" i="1"/>
  <c r="AE273" i="1"/>
  <c r="AD273" i="1"/>
  <c r="AC273" i="1"/>
  <c r="AB273" i="1"/>
  <c r="AA273" i="1"/>
  <c r="Z273" i="1"/>
  <c r="Y273" i="1"/>
  <c r="X273" i="1"/>
  <c r="BU272" i="1"/>
  <c r="BK272" i="1"/>
  <c r="BA272" i="1"/>
  <c r="AQ272" i="1"/>
  <c r="AP272" i="1"/>
  <c r="BU271" i="1"/>
  <c r="BK271" i="1"/>
  <c r="BA271" i="1"/>
  <c r="AQ271" i="1"/>
  <c r="AP271" i="1"/>
  <c r="AO270" i="1"/>
  <c r="AN270" i="1"/>
  <c r="AM270" i="1"/>
  <c r="AL270" i="1"/>
  <c r="AK270" i="1"/>
  <c r="AJ270" i="1"/>
  <c r="AI270" i="1"/>
  <c r="AH270" i="1"/>
  <c r="AG270" i="1"/>
  <c r="AF270" i="1"/>
  <c r="AE270" i="1"/>
  <c r="AD270" i="1"/>
  <c r="AC270" i="1"/>
  <c r="AB270" i="1"/>
  <c r="AA270" i="1"/>
  <c r="Z270" i="1"/>
  <c r="Y270" i="1"/>
  <c r="X270" i="1"/>
  <c r="BK268" i="1"/>
  <c r="BA268" i="1"/>
  <c r="AQ268" i="1"/>
  <c r="AP268" i="1"/>
  <c r="BU267" i="1"/>
  <c r="BU265" i="1" s="1"/>
  <c r="BU264" i="1" s="1"/>
  <c r="BK267" i="1"/>
  <c r="BA267" i="1"/>
  <c r="AQ267" i="1"/>
  <c r="AP267" i="1"/>
  <c r="BK266" i="1"/>
  <c r="BA266" i="1"/>
  <c r="AQ266" i="1"/>
  <c r="AP266" i="1"/>
  <c r="AO265" i="1"/>
  <c r="AO264" i="1" s="1"/>
  <c r="AN265" i="1"/>
  <c r="AN264" i="1" s="1"/>
  <c r="AM265" i="1"/>
  <c r="AM264" i="1" s="1"/>
  <c r="AL265" i="1"/>
  <c r="AL264" i="1" s="1"/>
  <c r="AK265" i="1"/>
  <c r="AK264" i="1" s="1"/>
  <c r="AJ265" i="1"/>
  <c r="AJ264" i="1" s="1"/>
  <c r="AI265" i="1"/>
  <c r="AI264" i="1" s="1"/>
  <c r="AH265" i="1"/>
  <c r="AH264" i="1" s="1"/>
  <c r="AG265" i="1"/>
  <c r="AG264" i="1" s="1"/>
  <c r="AF265" i="1"/>
  <c r="AF264" i="1" s="1"/>
  <c r="AE265" i="1"/>
  <c r="AE264" i="1" s="1"/>
  <c r="AD265" i="1"/>
  <c r="AD264" i="1" s="1"/>
  <c r="AC265" i="1"/>
  <c r="AC264" i="1" s="1"/>
  <c r="AB265" i="1"/>
  <c r="AB264" i="1" s="1"/>
  <c r="AA265" i="1"/>
  <c r="AA264" i="1" s="1"/>
  <c r="Z265" i="1"/>
  <c r="Z264" i="1" s="1"/>
  <c r="Y265" i="1"/>
  <c r="Y264" i="1" s="1"/>
  <c r="X265" i="1"/>
  <c r="X264" i="1" s="1"/>
  <c r="BA263" i="1"/>
  <c r="BV263" i="1" s="1"/>
  <c r="AQ263" i="1"/>
  <c r="AP263" i="1"/>
  <c r="BU262" i="1"/>
  <c r="BU261" i="1" s="1"/>
  <c r="BK262" i="1"/>
  <c r="BK261" i="1" s="1"/>
  <c r="BA262" i="1"/>
  <c r="AQ262" i="1"/>
  <c r="Z262" i="1"/>
  <c r="AO261" i="1"/>
  <c r="AN261" i="1"/>
  <c r="AM261" i="1"/>
  <c r="AL261" i="1"/>
  <c r="AK261" i="1"/>
  <c r="AJ261" i="1"/>
  <c r="AI261" i="1"/>
  <c r="AH261" i="1"/>
  <c r="AG261" i="1"/>
  <c r="AF261" i="1"/>
  <c r="AE261" i="1"/>
  <c r="AD261" i="1"/>
  <c r="AC261" i="1"/>
  <c r="AB261" i="1"/>
  <c r="AA261" i="1"/>
  <c r="Y261" i="1"/>
  <c r="X261" i="1"/>
  <c r="BU260" i="1"/>
  <c r="BK260" i="1"/>
  <c r="BA260" i="1"/>
  <c r="AQ260" i="1"/>
  <c r="AP260" i="1"/>
  <c r="BU259" i="1"/>
  <c r="BK259" i="1"/>
  <c r="BA259" i="1"/>
  <c r="AQ259" i="1"/>
  <c r="AP259" i="1"/>
  <c r="AO258" i="1"/>
  <c r="AN258" i="1"/>
  <c r="AM258" i="1"/>
  <c r="AL258" i="1"/>
  <c r="AK258" i="1"/>
  <c r="AJ258" i="1"/>
  <c r="AI258" i="1"/>
  <c r="AH258" i="1"/>
  <c r="AG258" i="1"/>
  <c r="AF258" i="1"/>
  <c r="AE258" i="1"/>
  <c r="AD258" i="1"/>
  <c r="AC258" i="1"/>
  <c r="AB258" i="1"/>
  <c r="AA258" i="1"/>
  <c r="Z258" i="1"/>
  <c r="Y258" i="1"/>
  <c r="X258" i="1"/>
  <c r="BU257" i="1"/>
  <c r="BK257" i="1"/>
  <c r="BA257" i="1"/>
  <c r="AQ257" i="1"/>
  <c r="AP257" i="1"/>
  <c r="BU256" i="1"/>
  <c r="BK256" i="1"/>
  <c r="BA256" i="1"/>
  <c r="AQ256" i="1"/>
  <c r="AP256" i="1"/>
  <c r="BU255" i="1"/>
  <c r="BK255" i="1"/>
  <c r="BA255" i="1"/>
  <c r="AQ255" i="1"/>
  <c r="AP255" i="1"/>
  <c r="AO254" i="1"/>
  <c r="AN254" i="1"/>
  <c r="AM254" i="1"/>
  <c r="AL254" i="1"/>
  <c r="AK254" i="1"/>
  <c r="AJ254" i="1"/>
  <c r="AI254" i="1"/>
  <c r="AH254" i="1"/>
  <c r="AG254" i="1"/>
  <c r="AF254" i="1"/>
  <c r="AE254" i="1"/>
  <c r="AD254" i="1"/>
  <c r="AC254" i="1"/>
  <c r="AB254" i="1"/>
  <c r="AA254" i="1"/>
  <c r="Z254" i="1"/>
  <c r="Y254" i="1"/>
  <c r="X254" i="1"/>
  <c r="BU253" i="1"/>
  <c r="BU252" i="1" s="1"/>
  <c r="BK253" i="1"/>
  <c r="BK252" i="1" s="1"/>
  <c r="BA253" i="1"/>
  <c r="AQ253" i="1"/>
  <c r="AQ252" i="1" s="1"/>
  <c r="Z253" i="1"/>
  <c r="AO252" i="1"/>
  <c r="AN252" i="1"/>
  <c r="AM252" i="1"/>
  <c r="AL252" i="1"/>
  <c r="AK252" i="1"/>
  <c r="AJ252" i="1"/>
  <c r="AI252" i="1"/>
  <c r="AH252" i="1"/>
  <c r="AG252" i="1"/>
  <c r="AF252" i="1"/>
  <c r="AE252" i="1"/>
  <c r="AD252" i="1"/>
  <c r="AC252" i="1"/>
  <c r="AB252" i="1"/>
  <c r="AA252" i="1"/>
  <c r="Y252" i="1"/>
  <c r="X252" i="1"/>
  <c r="BV251" i="1"/>
  <c r="AQ251" i="1"/>
  <c r="AP251" i="1"/>
  <c r="BU250" i="1"/>
  <c r="BK250" i="1"/>
  <c r="BK248" i="1" s="1"/>
  <c r="BA250" i="1"/>
  <c r="AQ250" i="1"/>
  <c r="AD250" i="1"/>
  <c r="BV249" i="1"/>
  <c r="AQ249" i="1"/>
  <c r="AP249" i="1"/>
  <c r="BU248" i="1"/>
  <c r="AO248" i="1"/>
  <c r="AN248" i="1"/>
  <c r="AM248" i="1"/>
  <c r="AL248" i="1"/>
  <c r="AK248" i="1"/>
  <c r="AJ248" i="1"/>
  <c r="AI248" i="1"/>
  <c r="AH248" i="1"/>
  <c r="AG248" i="1"/>
  <c r="AF248" i="1"/>
  <c r="AE248" i="1"/>
  <c r="AC248" i="1"/>
  <c r="AB248" i="1"/>
  <c r="AA248" i="1"/>
  <c r="Z248" i="1"/>
  <c r="Y248" i="1"/>
  <c r="X248" i="1"/>
  <c r="BU246" i="1"/>
  <c r="BU245" i="1" s="1"/>
  <c r="BK246" i="1"/>
  <c r="BK245" i="1" s="1"/>
  <c r="BA246" i="1"/>
  <c r="AQ246" i="1"/>
  <c r="AQ245" i="1" s="1"/>
  <c r="AP246" i="1"/>
  <c r="AO245" i="1"/>
  <c r="AN245" i="1"/>
  <c r="AM245" i="1"/>
  <c r="AL245" i="1"/>
  <c r="AK245" i="1"/>
  <c r="AJ245" i="1"/>
  <c r="AI245" i="1"/>
  <c r="AH245" i="1"/>
  <c r="AG245" i="1"/>
  <c r="AF245" i="1"/>
  <c r="AE245" i="1"/>
  <c r="AD245" i="1"/>
  <c r="AC245" i="1"/>
  <c r="AB245" i="1"/>
  <c r="AA245" i="1"/>
  <c r="Z245" i="1"/>
  <c r="Y245" i="1"/>
  <c r="X245" i="1"/>
  <c r="BU244" i="1"/>
  <c r="BU243" i="1" s="1"/>
  <c r="BK244" i="1"/>
  <c r="BK243" i="1" s="1"/>
  <c r="BA244" i="1"/>
  <c r="BA243" i="1" s="1"/>
  <c r="AQ244" i="1"/>
  <c r="AQ243" i="1" s="1"/>
  <c r="AP244" i="1"/>
  <c r="AP243" i="1" s="1"/>
  <c r="U244" i="1" s="1"/>
  <c r="AO243" i="1"/>
  <c r="AN243" i="1"/>
  <c r="AM243" i="1"/>
  <c r="AL243" i="1"/>
  <c r="AK243" i="1"/>
  <c r="AJ243" i="1"/>
  <c r="AI243" i="1"/>
  <c r="AH243" i="1"/>
  <c r="AG243" i="1"/>
  <c r="AF243" i="1"/>
  <c r="AE243" i="1"/>
  <c r="AD243" i="1"/>
  <c r="AC243" i="1"/>
  <c r="AB243" i="1"/>
  <c r="AA243" i="1"/>
  <c r="Z243" i="1"/>
  <c r="Y243" i="1"/>
  <c r="X243" i="1"/>
  <c r="BU242" i="1"/>
  <c r="BU241" i="1" s="1"/>
  <c r="BK242" i="1"/>
  <c r="BK241" i="1" s="1"/>
  <c r="BA242" i="1"/>
  <c r="AQ242" i="1"/>
  <c r="AQ241" i="1" s="1"/>
  <c r="Z242" i="1"/>
  <c r="AO241" i="1"/>
  <c r="AN241" i="1"/>
  <c r="AM241" i="1"/>
  <c r="AL241" i="1"/>
  <c r="AK241" i="1"/>
  <c r="AJ241" i="1"/>
  <c r="AI241" i="1"/>
  <c r="AH241" i="1"/>
  <c r="AG241" i="1"/>
  <c r="AF241" i="1"/>
  <c r="AE241" i="1"/>
  <c r="AD241" i="1"/>
  <c r="AC241" i="1"/>
  <c r="AB241" i="1"/>
  <c r="AA241" i="1"/>
  <c r="Y241" i="1"/>
  <c r="X241" i="1"/>
  <c r="BU239" i="1"/>
  <c r="BK239" i="1"/>
  <c r="BA239" i="1"/>
  <c r="AQ239" i="1"/>
  <c r="AP239" i="1"/>
  <c r="BU238" i="1"/>
  <c r="BK238" i="1"/>
  <c r="BA238" i="1"/>
  <c r="AQ238" i="1"/>
  <c r="AP238" i="1"/>
  <c r="BU237" i="1"/>
  <c r="BK237" i="1"/>
  <c r="BA237" i="1"/>
  <c r="AQ237" i="1"/>
  <c r="AP237" i="1"/>
  <c r="AO236" i="1"/>
  <c r="AN236" i="1"/>
  <c r="AM236" i="1"/>
  <c r="AL236" i="1"/>
  <c r="AK236" i="1"/>
  <c r="AJ236" i="1"/>
  <c r="AI236" i="1"/>
  <c r="AH236" i="1"/>
  <c r="AG236" i="1"/>
  <c r="AF236" i="1"/>
  <c r="AE236" i="1"/>
  <c r="AD236" i="1"/>
  <c r="AC236" i="1"/>
  <c r="AB236" i="1"/>
  <c r="AA236" i="1"/>
  <c r="Z236" i="1"/>
  <c r="Y236" i="1"/>
  <c r="X236" i="1"/>
  <c r="BU235" i="1"/>
  <c r="BK235" i="1"/>
  <c r="BA235" i="1"/>
  <c r="AQ235" i="1"/>
  <c r="AP235" i="1"/>
  <c r="BU234" i="1"/>
  <c r="BK234" i="1"/>
  <c r="BA234" i="1"/>
  <c r="AQ234" i="1"/>
  <c r="AP234" i="1"/>
  <c r="AO233" i="1"/>
  <c r="AN233" i="1"/>
  <c r="AM233" i="1"/>
  <c r="AL233" i="1"/>
  <c r="AK233" i="1"/>
  <c r="AJ233" i="1"/>
  <c r="AI233" i="1"/>
  <c r="AH233" i="1"/>
  <c r="AG233" i="1"/>
  <c r="AF233" i="1"/>
  <c r="AE233" i="1"/>
  <c r="AD233" i="1"/>
  <c r="AC233" i="1"/>
  <c r="AB233" i="1"/>
  <c r="AA233" i="1"/>
  <c r="Z233" i="1"/>
  <c r="Y233" i="1"/>
  <c r="X233" i="1"/>
  <c r="BU232" i="1"/>
  <c r="BK232" i="1"/>
  <c r="BA232" i="1"/>
  <c r="AQ232" i="1"/>
  <c r="AP232" i="1"/>
  <c r="BU231" i="1"/>
  <c r="BK231" i="1"/>
  <c r="BA231" i="1"/>
  <c r="BU230" i="1"/>
  <c r="BK230" i="1"/>
  <c r="BA230" i="1"/>
  <c r="AQ230" i="1"/>
  <c r="AL230" i="1"/>
  <c r="BU229" i="1"/>
  <c r="BK229" i="1"/>
  <c r="BA229" i="1"/>
  <c r="AQ229" i="1"/>
  <c r="AP229" i="1"/>
  <c r="BU228" i="1"/>
  <c r="BK228" i="1"/>
  <c r="BA228" i="1"/>
  <c r="AQ228" i="1"/>
  <c r="AP228" i="1"/>
  <c r="AO227" i="1"/>
  <c r="AN227" i="1"/>
  <c r="AM227" i="1"/>
  <c r="AK227" i="1"/>
  <c r="AJ227" i="1"/>
  <c r="AI227" i="1"/>
  <c r="AH227" i="1"/>
  <c r="AG227" i="1"/>
  <c r="AF227" i="1"/>
  <c r="AE227" i="1"/>
  <c r="AD227" i="1"/>
  <c r="AC227" i="1"/>
  <c r="AB227" i="1"/>
  <c r="AA227" i="1"/>
  <c r="Z227" i="1"/>
  <c r="Y227" i="1"/>
  <c r="X227" i="1"/>
  <c r="BU226" i="1"/>
  <c r="BK226" i="1"/>
  <c r="BA226" i="1"/>
  <c r="AQ226" i="1"/>
  <c r="AP226" i="1"/>
  <c r="BU225" i="1"/>
  <c r="BK225" i="1"/>
  <c r="AT225" i="1"/>
  <c r="BA225" i="1" s="1"/>
  <c r="AQ225" i="1"/>
  <c r="AP225" i="1"/>
  <c r="BU224" i="1"/>
  <c r="BK224" i="1"/>
  <c r="BA224" i="1"/>
  <c r="AQ224" i="1"/>
  <c r="AP224" i="1"/>
  <c r="AO223" i="1"/>
  <c r="AN223" i="1"/>
  <c r="AM223" i="1"/>
  <c r="AL223" i="1"/>
  <c r="AK223" i="1"/>
  <c r="AJ223" i="1"/>
  <c r="AI223" i="1"/>
  <c r="AH223" i="1"/>
  <c r="AG223" i="1"/>
  <c r="AF223" i="1"/>
  <c r="AE223" i="1"/>
  <c r="AD223" i="1"/>
  <c r="AC223" i="1"/>
  <c r="AB223" i="1"/>
  <c r="AA223" i="1"/>
  <c r="Z223" i="1"/>
  <c r="Y223" i="1"/>
  <c r="X223" i="1"/>
  <c r="BU222" i="1"/>
  <c r="BK222" i="1"/>
  <c r="BA222" i="1"/>
  <c r="AQ222" i="1"/>
  <c r="AP222" i="1"/>
  <c r="BU221" i="1"/>
  <c r="BK221" i="1"/>
  <c r="BA221" i="1"/>
  <c r="AQ221" i="1"/>
  <c r="AL221" i="1"/>
  <c r="AO220" i="1"/>
  <c r="AN220" i="1"/>
  <c r="AM220" i="1"/>
  <c r="AK220" i="1"/>
  <c r="AJ220" i="1"/>
  <c r="AI220" i="1"/>
  <c r="AH220" i="1"/>
  <c r="AG220" i="1"/>
  <c r="AF220" i="1"/>
  <c r="AE220" i="1"/>
  <c r="AD220" i="1"/>
  <c r="AC220" i="1"/>
  <c r="AB220" i="1"/>
  <c r="AA220" i="1"/>
  <c r="Z220" i="1"/>
  <c r="Y220" i="1"/>
  <c r="X220" i="1"/>
  <c r="BU219" i="1"/>
  <c r="BK219" i="1"/>
  <c r="BA219" i="1"/>
  <c r="AQ219" i="1"/>
  <c r="AP219" i="1"/>
  <c r="BU218" i="1"/>
  <c r="BK218" i="1"/>
  <c r="BA218" i="1"/>
  <c r="AQ218" i="1"/>
  <c r="AP218" i="1"/>
  <c r="AO217" i="1"/>
  <c r="AN217" i="1"/>
  <c r="AM217" i="1"/>
  <c r="AL217" i="1"/>
  <c r="AK217" i="1"/>
  <c r="AJ217" i="1"/>
  <c r="AI217" i="1"/>
  <c r="AH217" i="1"/>
  <c r="AG217" i="1"/>
  <c r="AF217" i="1"/>
  <c r="AE217" i="1"/>
  <c r="AD217" i="1"/>
  <c r="AC217" i="1"/>
  <c r="AB217" i="1"/>
  <c r="AA217" i="1"/>
  <c r="Z217" i="1"/>
  <c r="Y217" i="1"/>
  <c r="X217" i="1"/>
  <c r="BU216" i="1"/>
  <c r="BK216" i="1"/>
  <c r="BA216" i="1"/>
  <c r="AQ216" i="1"/>
  <c r="AP216" i="1"/>
  <c r="BU215" i="1"/>
  <c r="BK215" i="1"/>
  <c r="BA215" i="1"/>
  <c r="AQ215" i="1"/>
  <c r="AP215" i="1"/>
  <c r="BU214" i="1"/>
  <c r="BK214" i="1"/>
  <c r="BA214" i="1"/>
  <c r="AQ214" i="1"/>
  <c r="AL214" i="1"/>
  <c r="AL211" i="1" s="1"/>
  <c r="AD214" i="1"/>
  <c r="BU213" i="1"/>
  <c r="BK213" i="1"/>
  <c r="BA213" i="1"/>
  <c r="AQ213" i="1"/>
  <c r="AP213" i="1"/>
  <c r="BU212" i="1"/>
  <c r="BK212" i="1"/>
  <c r="BA212" i="1"/>
  <c r="AQ212" i="1"/>
  <c r="AP212" i="1"/>
  <c r="AO211" i="1"/>
  <c r="AN211" i="1"/>
  <c r="AM211" i="1"/>
  <c r="AK211" i="1"/>
  <c r="AJ211" i="1"/>
  <c r="AI211" i="1"/>
  <c r="AH211" i="1"/>
  <c r="AG211" i="1"/>
  <c r="AF211" i="1"/>
  <c r="AE211" i="1"/>
  <c r="AC211" i="1"/>
  <c r="AB211" i="1"/>
  <c r="AA211" i="1"/>
  <c r="Z211" i="1"/>
  <c r="Y211" i="1"/>
  <c r="X211" i="1"/>
  <c r="BU210" i="1"/>
  <c r="BK210" i="1"/>
  <c r="BA210" i="1"/>
  <c r="AQ210" i="1"/>
  <c r="AP210" i="1"/>
  <c r="BU209" i="1"/>
  <c r="BK209" i="1"/>
  <c r="BA209" i="1"/>
  <c r="AQ209" i="1"/>
  <c r="AP209" i="1"/>
  <c r="BU208" i="1"/>
  <c r="BK208" i="1"/>
  <c r="BA208" i="1"/>
  <c r="AM208" i="1"/>
  <c r="AL208" i="1"/>
  <c r="AP208" i="1" s="1"/>
  <c r="AO207" i="1"/>
  <c r="AN207" i="1"/>
  <c r="AK207" i="1"/>
  <c r="AJ207" i="1"/>
  <c r="AI207" i="1"/>
  <c r="AH207" i="1"/>
  <c r="AG207" i="1"/>
  <c r="AF207" i="1"/>
  <c r="AE207" i="1"/>
  <c r="AD207" i="1"/>
  <c r="AC207" i="1"/>
  <c r="AB207" i="1"/>
  <c r="AA207" i="1"/>
  <c r="Z207" i="1"/>
  <c r="Y207" i="1"/>
  <c r="X207" i="1"/>
  <c r="BU206" i="1"/>
  <c r="BK206" i="1"/>
  <c r="BA206" i="1"/>
  <c r="AQ206" i="1"/>
  <c r="AL206" i="1"/>
  <c r="BU205" i="1"/>
  <c r="BK205" i="1"/>
  <c r="BA205" i="1"/>
  <c r="AQ205" i="1"/>
  <c r="AP205" i="1"/>
  <c r="BU204" i="1"/>
  <c r="BK204" i="1"/>
  <c r="BA204" i="1"/>
  <c r="AQ204" i="1"/>
  <c r="AP204" i="1"/>
  <c r="AO203" i="1"/>
  <c r="AN203" i="1"/>
  <c r="AM203" i="1"/>
  <c r="AK203" i="1"/>
  <c r="AJ203" i="1"/>
  <c r="AI203" i="1"/>
  <c r="AH203" i="1"/>
  <c r="AG203" i="1"/>
  <c r="AF203" i="1"/>
  <c r="AE203" i="1"/>
  <c r="AD203" i="1"/>
  <c r="AC203" i="1"/>
  <c r="AB203" i="1"/>
  <c r="AA203" i="1"/>
  <c r="Z203" i="1"/>
  <c r="Y203" i="1"/>
  <c r="X203" i="1"/>
  <c r="BU202" i="1"/>
  <c r="BK202" i="1"/>
  <c r="BA202" i="1"/>
  <c r="AQ202" i="1"/>
  <c r="AP202" i="1"/>
  <c r="BU201" i="1"/>
  <c r="BK201" i="1"/>
  <c r="BA201" i="1"/>
  <c r="AQ201" i="1"/>
  <c r="AP201" i="1"/>
  <c r="BU200" i="1"/>
  <c r="BK200" i="1"/>
  <c r="BA200" i="1"/>
  <c r="AQ200" i="1"/>
  <c r="AP200" i="1"/>
  <c r="BU199" i="1"/>
  <c r="BK199" i="1"/>
  <c r="BA199" i="1"/>
  <c r="AQ199" i="1"/>
  <c r="AP199" i="1"/>
  <c r="AO198" i="1"/>
  <c r="AN198" i="1"/>
  <c r="AM198" i="1"/>
  <c r="AL198" i="1"/>
  <c r="AK198" i="1"/>
  <c r="AJ198" i="1"/>
  <c r="AI198" i="1"/>
  <c r="AH198" i="1"/>
  <c r="AG198" i="1"/>
  <c r="AF198" i="1"/>
  <c r="AE198" i="1"/>
  <c r="AD198" i="1"/>
  <c r="AC198" i="1"/>
  <c r="AB198" i="1"/>
  <c r="AA198" i="1"/>
  <c r="Z198" i="1"/>
  <c r="Y198" i="1"/>
  <c r="X198" i="1"/>
  <c r="BU197" i="1"/>
  <c r="BK197" i="1"/>
  <c r="BA197" i="1"/>
  <c r="AQ197" i="1"/>
  <c r="AP197" i="1"/>
  <c r="BU196" i="1"/>
  <c r="BK196" i="1"/>
  <c r="BA196" i="1"/>
  <c r="AQ196" i="1"/>
  <c r="AP196" i="1"/>
  <c r="AO195" i="1"/>
  <c r="AN195" i="1"/>
  <c r="AM195" i="1"/>
  <c r="AL195" i="1"/>
  <c r="AK195" i="1"/>
  <c r="AJ195" i="1"/>
  <c r="AI195" i="1"/>
  <c r="AH195" i="1"/>
  <c r="AG195" i="1"/>
  <c r="AF195" i="1"/>
  <c r="AE195" i="1"/>
  <c r="AD195" i="1"/>
  <c r="AC195" i="1"/>
  <c r="AB195" i="1"/>
  <c r="AA195" i="1"/>
  <c r="Z195" i="1"/>
  <c r="Y195" i="1"/>
  <c r="X195" i="1"/>
  <c r="BU193" i="1"/>
  <c r="BK193" i="1"/>
  <c r="BA193" i="1"/>
  <c r="AQ193" i="1"/>
  <c r="AP193" i="1"/>
  <c r="BU192" i="1"/>
  <c r="BK192" i="1"/>
  <c r="BA192" i="1"/>
  <c r="AQ192" i="1"/>
  <c r="AP192" i="1"/>
  <c r="BU191" i="1"/>
  <c r="BK191" i="1"/>
  <c r="BA191" i="1"/>
  <c r="AQ191" i="1"/>
  <c r="AP191" i="1"/>
  <c r="AO190" i="1"/>
  <c r="AN190" i="1"/>
  <c r="AM190" i="1"/>
  <c r="AL190" i="1"/>
  <c r="AK190" i="1"/>
  <c r="AJ190" i="1"/>
  <c r="AI190" i="1"/>
  <c r="AH190" i="1"/>
  <c r="AG190" i="1"/>
  <c r="AF190" i="1"/>
  <c r="AE190" i="1"/>
  <c r="AD190" i="1"/>
  <c r="AC190" i="1"/>
  <c r="AB190" i="1"/>
  <c r="AA190" i="1"/>
  <c r="Z190" i="1"/>
  <c r="Y190" i="1"/>
  <c r="X190" i="1"/>
  <c r="BU189" i="1"/>
  <c r="BK189" i="1"/>
  <c r="BA189" i="1"/>
  <c r="AQ189" i="1"/>
  <c r="AP189" i="1"/>
  <c r="BU188" i="1"/>
  <c r="BK188" i="1"/>
  <c r="BA188" i="1"/>
  <c r="AQ188" i="1"/>
  <c r="AP188" i="1"/>
  <c r="BU187" i="1"/>
  <c r="BK187" i="1"/>
  <c r="BA187" i="1"/>
  <c r="AQ187" i="1"/>
  <c r="AP187" i="1"/>
  <c r="BU186" i="1"/>
  <c r="BK186" i="1"/>
  <c r="BA186" i="1"/>
  <c r="AQ186" i="1"/>
  <c r="AP186" i="1"/>
  <c r="BU185" i="1"/>
  <c r="BK185" i="1"/>
  <c r="BA185" i="1"/>
  <c r="AQ185" i="1"/>
  <c r="AB185" i="1"/>
  <c r="AO184" i="1"/>
  <c r="AN184" i="1"/>
  <c r="AM184" i="1"/>
  <c r="AL184" i="1"/>
  <c r="AK184" i="1"/>
  <c r="AJ184" i="1"/>
  <c r="AI184" i="1"/>
  <c r="AH184" i="1"/>
  <c r="AG184" i="1"/>
  <c r="AF184" i="1"/>
  <c r="AE184" i="1"/>
  <c r="AD184" i="1"/>
  <c r="AC184" i="1"/>
  <c r="AA184" i="1"/>
  <c r="Z184" i="1"/>
  <c r="Y184" i="1"/>
  <c r="X184" i="1"/>
  <c r="BU182" i="1"/>
  <c r="BK182" i="1"/>
  <c r="BA182" i="1"/>
  <c r="AQ182" i="1"/>
  <c r="AP182" i="1"/>
  <c r="BU181" i="1"/>
  <c r="BK181" i="1"/>
  <c r="BA181" i="1"/>
  <c r="AQ181" i="1"/>
  <c r="AP181" i="1"/>
  <c r="AO180" i="1"/>
  <c r="AN180" i="1"/>
  <c r="AM180" i="1"/>
  <c r="AL180" i="1"/>
  <c r="AK180" i="1"/>
  <c r="AJ180" i="1"/>
  <c r="AI180" i="1"/>
  <c r="AH180" i="1"/>
  <c r="AG180" i="1"/>
  <c r="AF180" i="1"/>
  <c r="AE180" i="1"/>
  <c r="AD180" i="1"/>
  <c r="AC180" i="1"/>
  <c r="AB180" i="1"/>
  <c r="AA180" i="1"/>
  <c r="Z180" i="1"/>
  <c r="Y180" i="1"/>
  <c r="X180" i="1"/>
  <c r="BU179" i="1"/>
  <c r="BU178" i="1" s="1"/>
  <c r="BK179" i="1"/>
  <c r="BA179" i="1"/>
  <c r="BA178" i="1" s="1"/>
  <c r="AQ179" i="1"/>
  <c r="AQ178" i="1" s="1"/>
  <c r="AP179" i="1"/>
  <c r="AP178" i="1" s="1"/>
  <c r="U179" i="1" s="1"/>
  <c r="AO178" i="1"/>
  <c r="AN178" i="1"/>
  <c r="AM178" i="1"/>
  <c r="AL178" i="1"/>
  <c r="AK178" i="1"/>
  <c r="AJ178" i="1"/>
  <c r="AI178" i="1"/>
  <c r="AH178" i="1"/>
  <c r="AG178" i="1"/>
  <c r="AF178" i="1"/>
  <c r="AE178" i="1"/>
  <c r="AD178" i="1"/>
  <c r="AC178" i="1"/>
  <c r="AB178" i="1"/>
  <c r="AA178" i="1"/>
  <c r="Z178" i="1"/>
  <c r="Y178" i="1"/>
  <c r="X178" i="1"/>
  <c r="BU176" i="1"/>
  <c r="BU175" i="1" s="1"/>
  <c r="BK176" i="1"/>
  <c r="BK175" i="1" s="1"/>
  <c r="BA176" i="1"/>
  <c r="AQ176" i="1"/>
  <c r="AQ175" i="1" s="1"/>
  <c r="AP176" i="1"/>
  <c r="AO175" i="1"/>
  <c r="AN175" i="1"/>
  <c r="AM175" i="1"/>
  <c r="AL175" i="1"/>
  <c r="AK175" i="1"/>
  <c r="AJ175" i="1"/>
  <c r="AI175" i="1"/>
  <c r="AH175" i="1"/>
  <c r="AG175" i="1"/>
  <c r="AF175" i="1"/>
  <c r="AE175" i="1"/>
  <c r="AD175" i="1"/>
  <c r="AC175" i="1"/>
  <c r="AB175" i="1"/>
  <c r="AA175" i="1"/>
  <c r="Z175" i="1"/>
  <c r="Y175" i="1"/>
  <c r="X175" i="1"/>
  <c r="BU173" i="1"/>
  <c r="BU172" i="1" s="1"/>
  <c r="BK173" i="1"/>
  <c r="BA173" i="1"/>
  <c r="BA172" i="1" s="1"/>
  <c r="AQ173" i="1"/>
  <c r="AQ172" i="1" s="1"/>
  <c r="AP173" i="1"/>
  <c r="AP172" i="1" s="1"/>
  <c r="U173" i="1" s="1"/>
  <c r="AO172" i="1"/>
  <c r="AN172" i="1"/>
  <c r="AM172" i="1"/>
  <c r="AL172" i="1"/>
  <c r="AK172" i="1"/>
  <c r="AJ172" i="1"/>
  <c r="AI172" i="1"/>
  <c r="AH172" i="1"/>
  <c r="AG172" i="1"/>
  <c r="AF172" i="1"/>
  <c r="AE172" i="1"/>
  <c r="AD172" i="1"/>
  <c r="AC172" i="1"/>
  <c r="AB172" i="1"/>
  <c r="AA172" i="1"/>
  <c r="Z172" i="1"/>
  <c r="Y172" i="1"/>
  <c r="X172" i="1"/>
  <c r="BU171" i="1"/>
  <c r="BK171" i="1"/>
  <c r="BA171" i="1"/>
  <c r="AQ171" i="1"/>
  <c r="AP171" i="1"/>
  <c r="BU170" i="1"/>
  <c r="BK170" i="1"/>
  <c r="BA170" i="1"/>
  <c r="AQ170" i="1"/>
  <c r="AP170" i="1"/>
  <c r="BU169" i="1"/>
  <c r="BK169" i="1"/>
  <c r="AT169" i="1"/>
  <c r="BA169" i="1" s="1"/>
  <c r="AQ169" i="1"/>
  <c r="AB169" i="1"/>
  <c r="AB168" i="1" s="1"/>
  <c r="Z169" i="1"/>
  <c r="Z168" i="1" s="1"/>
  <c r="AO168" i="1"/>
  <c r="AN168" i="1"/>
  <c r="AM168" i="1"/>
  <c r="AL168" i="1"/>
  <c r="AK168" i="1"/>
  <c r="AJ168" i="1"/>
  <c r="AI168" i="1"/>
  <c r="AH168" i="1"/>
  <c r="AG168" i="1"/>
  <c r="AF168" i="1"/>
  <c r="AE168" i="1"/>
  <c r="AD168" i="1"/>
  <c r="AC168" i="1"/>
  <c r="AA168" i="1"/>
  <c r="Y168" i="1"/>
  <c r="X168" i="1"/>
  <c r="BU166" i="1"/>
  <c r="BK166" i="1"/>
  <c r="BA166" i="1"/>
  <c r="AQ166" i="1"/>
  <c r="AP166" i="1"/>
  <c r="BU165" i="1"/>
  <c r="BK165" i="1"/>
  <c r="AX165" i="1"/>
  <c r="AQ165" i="1"/>
  <c r="AP165" i="1"/>
  <c r="AO164" i="1"/>
  <c r="AN164" i="1"/>
  <c r="AM164" i="1"/>
  <c r="AL164" i="1"/>
  <c r="AK164" i="1"/>
  <c r="AJ164" i="1"/>
  <c r="AI164" i="1"/>
  <c r="AH164" i="1"/>
  <c r="AG164" i="1"/>
  <c r="AF164" i="1"/>
  <c r="AE164" i="1"/>
  <c r="AD164" i="1"/>
  <c r="AC164" i="1"/>
  <c r="AB164" i="1"/>
  <c r="AA164" i="1"/>
  <c r="Z164" i="1"/>
  <c r="Y164" i="1"/>
  <c r="X164" i="1"/>
  <c r="BU163" i="1"/>
  <c r="BU162" i="1" s="1"/>
  <c r="BK163" i="1"/>
  <c r="BK162" i="1" s="1"/>
  <c r="BA163" i="1"/>
  <c r="BA162" i="1" s="1"/>
  <c r="AQ163" i="1"/>
  <c r="AQ162" i="1" s="1"/>
  <c r="AP163" i="1"/>
  <c r="AP162" i="1" s="1"/>
  <c r="U163" i="1" s="1"/>
  <c r="AO162" i="1"/>
  <c r="AN162" i="1"/>
  <c r="AM162" i="1"/>
  <c r="AL162" i="1"/>
  <c r="AK162" i="1"/>
  <c r="AJ162" i="1"/>
  <c r="AI162" i="1"/>
  <c r="AH162" i="1"/>
  <c r="AG162" i="1"/>
  <c r="AF162" i="1"/>
  <c r="AE162" i="1"/>
  <c r="AD162" i="1"/>
  <c r="AC162" i="1"/>
  <c r="AB162" i="1"/>
  <c r="AA162" i="1"/>
  <c r="Z162" i="1"/>
  <c r="Y162" i="1"/>
  <c r="X162" i="1"/>
  <c r="BU161" i="1"/>
  <c r="BU160" i="1" s="1"/>
  <c r="BK161" i="1"/>
  <c r="BK160" i="1" s="1"/>
  <c r="BA161" i="1"/>
  <c r="AQ161" i="1"/>
  <c r="AQ160" i="1" s="1"/>
  <c r="AP161" i="1"/>
  <c r="AO160" i="1"/>
  <c r="AN160" i="1"/>
  <c r="AM160" i="1"/>
  <c r="AL160" i="1"/>
  <c r="AK160" i="1"/>
  <c r="AJ160" i="1"/>
  <c r="AI160" i="1"/>
  <c r="AH160" i="1"/>
  <c r="AG160" i="1"/>
  <c r="AF160" i="1"/>
  <c r="AE160" i="1"/>
  <c r="AD160" i="1"/>
  <c r="AC160" i="1"/>
  <c r="AB160" i="1"/>
  <c r="AA160" i="1"/>
  <c r="Z160" i="1"/>
  <c r="Y160" i="1"/>
  <c r="X160" i="1"/>
  <c r="BU159" i="1"/>
  <c r="BK159" i="1"/>
  <c r="BA159" i="1"/>
  <c r="AQ159" i="1"/>
  <c r="AP159" i="1"/>
  <c r="BU158" i="1"/>
  <c r="BK158" i="1"/>
  <c r="BA158" i="1"/>
  <c r="AQ158" i="1"/>
  <c r="AP158" i="1"/>
  <c r="AO157" i="1"/>
  <c r="AN157" i="1"/>
  <c r="AM157" i="1"/>
  <c r="AL157" i="1"/>
  <c r="AK157" i="1"/>
  <c r="AJ157" i="1"/>
  <c r="AI157" i="1"/>
  <c r="AH157" i="1"/>
  <c r="AG157" i="1"/>
  <c r="AF157" i="1"/>
  <c r="AE157" i="1"/>
  <c r="AD157" i="1"/>
  <c r="AC157" i="1"/>
  <c r="AB157" i="1"/>
  <c r="AA157" i="1"/>
  <c r="Z157" i="1"/>
  <c r="Y157" i="1"/>
  <c r="X157" i="1"/>
  <c r="BU155" i="1"/>
  <c r="BK155" i="1"/>
  <c r="AX155" i="1"/>
  <c r="AQ155" i="1"/>
  <c r="AP155" i="1"/>
  <c r="BU154" i="1"/>
  <c r="BK154" i="1"/>
  <c r="BA154" i="1"/>
  <c r="AQ154" i="1"/>
  <c r="AP154" i="1"/>
  <c r="BU153" i="1"/>
  <c r="BK153" i="1"/>
  <c r="BA153" i="1"/>
  <c r="AQ153" i="1"/>
  <c r="AP153" i="1"/>
  <c r="BU152" i="1"/>
  <c r="BK152" i="1"/>
  <c r="BA152" i="1"/>
  <c r="AQ152" i="1"/>
  <c r="AP152" i="1"/>
  <c r="BU151" i="1"/>
  <c r="BK151" i="1"/>
  <c r="BA151" i="1"/>
  <c r="AQ151" i="1"/>
  <c r="AP151" i="1"/>
  <c r="AO150" i="1"/>
  <c r="AN150" i="1"/>
  <c r="AM150" i="1"/>
  <c r="AL150" i="1"/>
  <c r="AK150" i="1"/>
  <c r="AJ150" i="1"/>
  <c r="AI150" i="1"/>
  <c r="AH150" i="1"/>
  <c r="AG150" i="1"/>
  <c r="AF150" i="1"/>
  <c r="AE150" i="1"/>
  <c r="AD150" i="1"/>
  <c r="AC150" i="1"/>
  <c r="AB150" i="1"/>
  <c r="AA150" i="1"/>
  <c r="Z150" i="1"/>
  <c r="Y150" i="1"/>
  <c r="X150" i="1"/>
  <c r="BU149" i="1"/>
  <c r="BK149" i="1"/>
  <c r="BA149" i="1"/>
  <c r="AQ149" i="1"/>
  <c r="AP149" i="1"/>
  <c r="BU148" i="1"/>
  <c r="BK148" i="1"/>
  <c r="BA148" i="1"/>
  <c r="AQ148" i="1"/>
  <c r="AP148" i="1"/>
  <c r="BU147" i="1"/>
  <c r="BK147" i="1"/>
  <c r="BA147" i="1"/>
  <c r="AQ147" i="1"/>
  <c r="AP147" i="1"/>
  <c r="BU146" i="1"/>
  <c r="BK146" i="1"/>
  <c r="BA146" i="1"/>
  <c r="AQ146" i="1"/>
  <c r="AP146" i="1"/>
  <c r="BU145" i="1"/>
  <c r="BK145" i="1"/>
  <c r="BA145" i="1"/>
  <c r="AQ145" i="1"/>
  <c r="AP145" i="1"/>
  <c r="AO144" i="1"/>
  <c r="AN144" i="1"/>
  <c r="AM144" i="1"/>
  <c r="AL144" i="1"/>
  <c r="AK144" i="1"/>
  <c r="AJ144" i="1"/>
  <c r="AI144" i="1"/>
  <c r="AH144" i="1"/>
  <c r="AG144" i="1"/>
  <c r="AF144" i="1"/>
  <c r="AE144" i="1"/>
  <c r="AD144" i="1"/>
  <c r="AC144" i="1"/>
  <c r="AB144" i="1"/>
  <c r="AA144" i="1"/>
  <c r="Z144" i="1"/>
  <c r="Y144" i="1"/>
  <c r="X144" i="1"/>
  <c r="BU139" i="1"/>
  <c r="BK139" i="1"/>
  <c r="BK138" i="1" s="1"/>
  <c r="BA139" i="1"/>
  <c r="BA138" i="1" s="1"/>
  <c r="AQ139" i="1"/>
  <c r="AQ138" i="1" s="1"/>
  <c r="AP139" i="1"/>
  <c r="AP138" i="1" s="1"/>
  <c r="U139" i="1" s="1"/>
  <c r="AO138" i="1"/>
  <c r="AN138" i="1"/>
  <c r="AM138" i="1"/>
  <c r="AL138" i="1"/>
  <c r="AK138" i="1"/>
  <c r="AJ138" i="1"/>
  <c r="AI138" i="1"/>
  <c r="AH138" i="1"/>
  <c r="AG138" i="1"/>
  <c r="AF138" i="1"/>
  <c r="AE138" i="1"/>
  <c r="AD138" i="1"/>
  <c r="AC138" i="1"/>
  <c r="AB138" i="1"/>
  <c r="AA138" i="1"/>
  <c r="Z138" i="1"/>
  <c r="Y138" i="1"/>
  <c r="X138" i="1"/>
  <c r="BU137" i="1"/>
  <c r="BK137" i="1"/>
  <c r="BA137" i="1"/>
  <c r="AQ137" i="1"/>
  <c r="AP137" i="1"/>
  <c r="BU136" i="1"/>
  <c r="BD136" i="1"/>
  <c r="AT136" i="1"/>
  <c r="AQ136" i="1"/>
  <c r="AP136" i="1"/>
  <c r="BU135" i="1"/>
  <c r="BK135" i="1"/>
  <c r="BA135" i="1"/>
  <c r="AP135" i="1"/>
  <c r="AK135" i="1"/>
  <c r="AQ135" i="1" s="1"/>
  <c r="BU134" i="1"/>
  <c r="BK134" i="1"/>
  <c r="BA134" i="1"/>
  <c r="AQ134" i="1"/>
  <c r="AP134" i="1"/>
  <c r="AO133" i="1"/>
  <c r="AN133" i="1"/>
  <c r="AM133" i="1"/>
  <c r="AL133" i="1"/>
  <c r="AJ133" i="1"/>
  <c r="AI133" i="1"/>
  <c r="AH133" i="1"/>
  <c r="AG133" i="1"/>
  <c r="AF133" i="1"/>
  <c r="AE133" i="1"/>
  <c r="AD133" i="1"/>
  <c r="AC133" i="1"/>
  <c r="AB133" i="1"/>
  <c r="AA133" i="1"/>
  <c r="Z133" i="1"/>
  <c r="Y133" i="1"/>
  <c r="X133" i="1"/>
  <c r="BU132" i="1"/>
  <c r="BK132" i="1"/>
  <c r="BA132" i="1"/>
  <c r="AQ132" i="1"/>
  <c r="AP132" i="1"/>
  <c r="BU131" i="1"/>
  <c r="BK131" i="1"/>
  <c r="BA131" i="1"/>
  <c r="AQ131" i="1"/>
  <c r="AP131" i="1"/>
  <c r="BU130" i="1"/>
  <c r="BJ130" i="1"/>
  <c r="BK130" i="1" s="1"/>
  <c r="BA130" i="1"/>
  <c r="AQ130" i="1"/>
  <c r="AP130" i="1"/>
  <c r="BU129" i="1"/>
  <c r="BK129" i="1"/>
  <c r="BA129" i="1"/>
  <c r="AQ129" i="1"/>
  <c r="AP129" i="1"/>
  <c r="BU128" i="1"/>
  <c r="BK128" i="1"/>
  <c r="BA128" i="1"/>
  <c r="AQ128" i="1"/>
  <c r="AP128" i="1"/>
  <c r="BU127" i="1"/>
  <c r="BK127" i="1"/>
  <c r="BA127" i="1"/>
  <c r="AQ127" i="1"/>
  <c r="AP127" i="1"/>
  <c r="BU126" i="1"/>
  <c r="BK126" i="1"/>
  <c r="BA126" i="1"/>
  <c r="AQ126" i="1"/>
  <c r="AP126" i="1"/>
  <c r="BU125" i="1"/>
  <c r="BK125" i="1"/>
  <c r="BA125" i="1"/>
  <c r="AQ125" i="1"/>
  <c r="AP125" i="1"/>
  <c r="BU124" i="1"/>
  <c r="BK124" i="1"/>
  <c r="BA124" i="1"/>
  <c r="AQ124" i="1"/>
  <c r="AP124" i="1"/>
  <c r="BU123" i="1"/>
  <c r="BA123" i="1"/>
  <c r="BK123" i="1" s="1"/>
  <c r="AQ123" i="1"/>
  <c r="AP123" i="1"/>
  <c r="AO122" i="1"/>
  <c r="AN122" i="1"/>
  <c r="AM122" i="1"/>
  <c r="AL122" i="1"/>
  <c r="AK122" i="1"/>
  <c r="AJ122" i="1"/>
  <c r="AI122" i="1"/>
  <c r="AH122" i="1"/>
  <c r="AG122" i="1"/>
  <c r="AF122" i="1"/>
  <c r="AE122" i="1"/>
  <c r="AD122" i="1"/>
  <c r="AC122" i="1"/>
  <c r="AB122" i="1"/>
  <c r="AA122" i="1"/>
  <c r="Z122" i="1"/>
  <c r="Y122" i="1"/>
  <c r="X122" i="1"/>
  <c r="BV121" i="1"/>
  <c r="AQ121" i="1"/>
  <c r="AP121" i="1"/>
  <c r="BV120" i="1"/>
  <c r="AQ120" i="1"/>
  <c r="AP120" i="1"/>
  <c r="BV119" i="1"/>
  <c r="AQ119" i="1"/>
  <c r="AP119" i="1"/>
  <c r="BV118" i="1"/>
  <c r="AQ118" i="1"/>
  <c r="AP118" i="1"/>
  <c r="BV117" i="1"/>
  <c r="AQ117" i="1"/>
  <c r="AP117" i="1"/>
  <c r="BV116" i="1"/>
  <c r="AQ116" i="1"/>
  <c r="AP116" i="1"/>
  <c r="BU115" i="1"/>
  <c r="BK115" i="1"/>
  <c r="BA115" i="1"/>
  <c r="BA113" i="1" s="1"/>
  <c r="AQ115" i="1"/>
  <c r="AP115" i="1"/>
  <c r="BV114" i="1"/>
  <c r="AQ114" i="1"/>
  <c r="AP114" i="1"/>
  <c r="BU113" i="1"/>
  <c r="BK113" i="1"/>
  <c r="AO113" i="1"/>
  <c r="AN113" i="1"/>
  <c r="AM113" i="1"/>
  <c r="AL113" i="1"/>
  <c r="AK113" i="1"/>
  <c r="AJ113" i="1"/>
  <c r="AI113" i="1"/>
  <c r="AH113" i="1"/>
  <c r="AG113" i="1"/>
  <c r="AF113" i="1"/>
  <c r="AE113" i="1"/>
  <c r="AD113" i="1"/>
  <c r="AC113" i="1"/>
  <c r="AB113" i="1"/>
  <c r="AA113" i="1"/>
  <c r="Z113" i="1"/>
  <c r="Y113" i="1"/>
  <c r="X113" i="1"/>
  <c r="BU111" i="1"/>
  <c r="BU110" i="1" s="1"/>
  <c r="BK111" i="1"/>
  <c r="BK110" i="1" s="1"/>
  <c r="BA111" i="1"/>
  <c r="BA110" i="1" s="1"/>
  <c r="AP111" i="1"/>
  <c r="AP110" i="1" s="1"/>
  <c r="U111" i="1" s="1"/>
  <c r="AK111" i="1"/>
  <c r="AQ111" i="1" s="1"/>
  <c r="AQ110" i="1" s="1"/>
  <c r="AO110" i="1"/>
  <c r="AN110" i="1"/>
  <c r="AM110" i="1"/>
  <c r="AL110" i="1"/>
  <c r="AJ110" i="1"/>
  <c r="AI110" i="1"/>
  <c r="AH110" i="1"/>
  <c r="AG110" i="1"/>
  <c r="AF110" i="1"/>
  <c r="AE110" i="1"/>
  <c r="AD110" i="1"/>
  <c r="AC110" i="1"/>
  <c r="AB110" i="1"/>
  <c r="AA110" i="1"/>
  <c r="Z110" i="1"/>
  <c r="Y110" i="1"/>
  <c r="X110" i="1"/>
  <c r="BU109" i="1"/>
  <c r="BK109" i="1"/>
  <c r="BA109" i="1"/>
  <c r="AQ109" i="1"/>
  <c r="AP109" i="1"/>
  <c r="BU108" i="1"/>
  <c r="BK108" i="1"/>
  <c r="BA108" i="1"/>
  <c r="AQ108" i="1"/>
  <c r="AP108" i="1"/>
  <c r="BU107" i="1"/>
  <c r="BK107" i="1"/>
  <c r="BA107" i="1"/>
  <c r="AQ107" i="1"/>
  <c r="AP107" i="1"/>
  <c r="BU106" i="1"/>
  <c r="BK106" i="1"/>
  <c r="BA106" i="1"/>
  <c r="AQ106" i="1"/>
  <c r="AP106" i="1"/>
  <c r="BR105" i="1"/>
  <c r="BR430" i="1" s="1"/>
  <c r="BN105" i="1"/>
  <c r="BK105" i="1"/>
  <c r="BA105" i="1"/>
  <c r="AQ105" i="1"/>
  <c r="AP105" i="1"/>
  <c r="BU104" i="1"/>
  <c r="BK104" i="1"/>
  <c r="BA104" i="1"/>
  <c r="AQ104" i="1"/>
  <c r="AP104" i="1"/>
  <c r="AO103" i="1"/>
  <c r="AN103" i="1"/>
  <c r="AM103" i="1"/>
  <c r="AL103" i="1"/>
  <c r="AK103" i="1"/>
  <c r="AJ103" i="1"/>
  <c r="AI103" i="1"/>
  <c r="AH103" i="1"/>
  <c r="AG103" i="1"/>
  <c r="AF103" i="1"/>
  <c r="AE103" i="1"/>
  <c r="AD103" i="1"/>
  <c r="AC103" i="1"/>
  <c r="AB103" i="1"/>
  <c r="AA103" i="1"/>
  <c r="Z103" i="1"/>
  <c r="Y103" i="1"/>
  <c r="X103" i="1"/>
  <c r="BM102" i="1"/>
  <c r="BU102" i="1" s="1"/>
  <c r="BC102" i="1"/>
  <c r="BK102" i="1" s="1"/>
  <c r="BA102" i="1"/>
  <c r="AQ102" i="1"/>
  <c r="AP102" i="1"/>
  <c r="BM101" i="1"/>
  <c r="BU101" i="1" s="1"/>
  <c r="BC101" i="1"/>
  <c r="BK101" i="1" s="1"/>
  <c r="BA101" i="1"/>
  <c r="AQ101" i="1"/>
  <c r="AP101" i="1"/>
  <c r="BM100" i="1"/>
  <c r="BU100" i="1" s="1"/>
  <c r="BC100" i="1"/>
  <c r="BK100" i="1" s="1"/>
  <c r="BA100" i="1"/>
  <c r="AQ100" i="1"/>
  <c r="AB100" i="1"/>
  <c r="AB99" i="1" s="1"/>
  <c r="Z100" i="1"/>
  <c r="Z99" i="1" s="1"/>
  <c r="AO99" i="1"/>
  <c r="AN99" i="1"/>
  <c r="AM99" i="1"/>
  <c r="AL99" i="1"/>
  <c r="AK99" i="1"/>
  <c r="AJ99" i="1"/>
  <c r="AI99" i="1"/>
  <c r="AH99" i="1"/>
  <c r="AG99" i="1"/>
  <c r="AF99" i="1"/>
  <c r="AE99" i="1"/>
  <c r="AD99" i="1"/>
  <c r="AC99" i="1"/>
  <c r="AA99" i="1"/>
  <c r="Y99" i="1"/>
  <c r="X99" i="1"/>
  <c r="BU96" i="1"/>
  <c r="BK96" i="1"/>
  <c r="BA96" i="1"/>
  <c r="AQ96" i="1"/>
  <c r="AP96" i="1"/>
  <c r="BM95" i="1"/>
  <c r="BL95" i="1"/>
  <c r="BC95" i="1"/>
  <c r="BK95" i="1" s="1"/>
  <c r="AS95" i="1"/>
  <c r="AQ95" i="1"/>
  <c r="Z95" i="1"/>
  <c r="AP95" i="1" s="1"/>
  <c r="BU94" i="1"/>
  <c r="BK94" i="1"/>
  <c r="BA94" i="1"/>
  <c r="AQ94" i="1"/>
  <c r="AP94" i="1"/>
  <c r="BU93" i="1"/>
  <c r="BK93" i="1"/>
  <c r="BA93" i="1"/>
  <c r="AQ93" i="1"/>
  <c r="AB93" i="1"/>
  <c r="AP93" i="1" s="1"/>
  <c r="BL92" i="1"/>
  <c r="BK92" i="1"/>
  <c r="BA92" i="1"/>
  <c r="AQ92" i="1"/>
  <c r="AP92" i="1"/>
  <c r="BU91" i="1"/>
  <c r="BC91" i="1"/>
  <c r="BK91" i="1" s="1"/>
  <c r="BA91" i="1"/>
  <c r="AP91" i="1"/>
  <c r="AA91" i="1"/>
  <c r="AQ91" i="1" s="1"/>
  <c r="BU90" i="1"/>
  <c r="BK90" i="1"/>
  <c r="BA90" i="1"/>
  <c r="AQ90" i="1"/>
  <c r="AP90" i="1"/>
  <c r="BU89" i="1"/>
  <c r="BC89" i="1"/>
  <c r="BA89" i="1"/>
  <c r="AP89" i="1"/>
  <c r="AA89" i="1"/>
  <c r="AQ89" i="1" s="1"/>
  <c r="AO88" i="1"/>
  <c r="AN88" i="1"/>
  <c r="AM88" i="1"/>
  <c r="AL88" i="1"/>
  <c r="AK88" i="1"/>
  <c r="AJ88" i="1"/>
  <c r="AI88" i="1"/>
  <c r="AH88" i="1"/>
  <c r="AG88" i="1"/>
  <c r="AF88" i="1"/>
  <c r="AE88" i="1"/>
  <c r="AD88" i="1"/>
  <c r="AC88" i="1"/>
  <c r="Y88" i="1"/>
  <c r="X88" i="1"/>
  <c r="BU87" i="1"/>
  <c r="BK87" i="1"/>
  <c r="BA87" i="1"/>
  <c r="AQ87" i="1"/>
  <c r="AP87" i="1"/>
  <c r="BU86" i="1"/>
  <c r="BK86" i="1"/>
  <c r="BA86" i="1"/>
  <c r="AP86" i="1"/>
  <c r="AC86" i="1"/>
  <c r="AQ86" i="1" s="1"/>
  <c r="BU85" i="1"/>
  <c r="BK85" i="1"/>
  <c r="BA85" i="1"/>
  <c r="AA85" i="1"/>
  <c r="AQ85" i="1" s="1"/>
  <c r="Z85" i="1"/>
  <c r="AP85" i="1" s="1"/>
  <c r="AO84" i="1"/>
  <c r="AN84" i="1"/>
  <c r="AM84" i="1"/>
  <c r="AL84" i="1"/>
  <c r="AK84" i="1"/>
  <c r="AJ84" i="1"/>
  <c r="AI84" i="1"/>
  <c r="AH84" i="1"/>
  <c r="AG84" i="1"/>
  <c r="AF84" i="1"/>
  <c r="AE84" i="1"/>
  <c r="AD84" i="1"/>
  <c r="AB84" i="1"/>
  <c r="Y84" i="1"/>
  <c r="X84" i="1"/>
  <c r="BU82" i="1"/>
  <c r="BU81" i="1" s="1"/>
  <c r="BK82" i="1"/>
  <c r="BK81" i="1" s="1"/>
  <c r="BA82" i="1"/>
  <c r="AQ82" i="1"/>
  <c r="AQ81" i="1" s="1"/>
  <c r="AB82" i="1"/>
  <c r="AP82" i="1" s="1"/>
  <c r="AO81" i="1"/>
  <c r="AN81" i="1"/>
  <c r="AM81" i="1"/>
  <c r="AL81" i="1"/>
  <c r="AK81" i="1"/>
  <c r="AJ81" i="1"/>
  <c r="AI81" i="1"/>
  <c r="AH81" i="1"/>
  <c r="AG81" i="1"/>
  <c r="AF81" i="1"/>
  <c r="AE81" i="1"/>
  <c r="AD81" i="1"/>
  <c r="AC81" i="1"/>
  <c r="AA81" i="1"/>
  <c r="Z81" i="1"/>
  <c r="Y81" i="1"/>
  <c r="X81" i="1"/>
  <c r="BU80" i="1"/>
  <c r="BU79" i="1" s="1"/>
  <c r="BK80" i="1"/>
  <c r="BK79" i="1" s="1"/>
  <c r="BA80" i="1"/>
  <c r="AQ80" i="1"/>
  <c r="AQ79" i="1" s="1"/>
  <c r="AP80" i="1"/>
  <c r="AO79" i="1"/>
  <c r="AN79" i="1"/>
  <c r="AM79" i="1"/>
  <c r="AL79" i="1"/>
  <c r="AK79" i="1"/>
  <c r="AJ79" i="1"/>
  <c r="AI79" i="1"/>
  <c r="AH79" i="1"/>
  <c r="AG79" i="1"/>
  <c r="AF79" i="1"/>
  <c r="AE79" i="1"/>
  <c r="AD79" i="1"/>
  <c r="AC79" i="1"/>
  <c r="AB79" i="1"/>
  <c r="AA79" i="1"/>
  <c r="Z79" i="1"/>
  <c r="Y79" i="1"/>
  <c r="X79" i="1"/>
  <c r="BU78" i="1"/>
  <c r="BK78" i="1"/>
  <c r="BA78" i="1"/>
  <c r="AQ78" i="1"/>
  <c r="AP78" i="1"/>
  <c r="BU77" i="1"/>
  <c r="BK77" i="1"/>
  <c r="BA77" i="1"/>
  <c r="AQ77" i="1"/>
  <c r="AP77" i="1"/>
  <c r="AO76" i="1"/>
  <c r="AN76" i="1"/>
  <c r="AM76" i="1"/>
  <c r="AL76" i="1"/>
  <c r="AK76" i="1"/>
  <c r="AJ76" i="1"/>
  <c r="AI76" i="1"/>
  <c r="AH76" i="1"/>
  <c r="AG76" i="1"/>
  <c r="AF76" i="1"/>
  <c r="AE76" i="1"/>
  <c r="AD76" i="1"/>
  <c r="AC76" i="1"/>
  <c r="AB76" i="1"/>
  <c r="AA76" i="1"/>
  <c r="Z76" i="1"/>
  <c r="Y76" i="1"/>
  <c r="X76" i="1"/>
  <c r="BU74" i="1"/>
  <c r="BK74" i="1"/>
  <c r="BA74" i="1"/>
  <c r="AQ74" i="1"/>
  <c r="AP74" i="1"/>
  <c r="BU73" i="1"/>
  <c r="BK73" i="1"/>
  <c r="BA73" i="1"/>
  <c r="AQ73" i="1"/>
  <c r="AP73" i="1"/>
  <c r="BU72" i="1"/>
  <c r="BK72" i="1"/>
  <c r="BA72" i="1"/>
  <c r="AQ72" i="1"/>
  <c r="AP72" i="1"/>
  <c r="AO71" i="1"/>
  <c r="AN71" i="1"/>
  <c r="AM71" i="1"/>
  <c r="AL71" i="1"/>
  <c r="AK71" i="1"/>
  <c r="AJ71" i="1"/>
  <c r="AI71" i="1"/>
  <c r="AH71" i="1"/>
  <c r="AG71" i="1"/>
  <c r="AF71" i="1"/>
  <c r="AE71" i="1"/>
  <c r="AD71" i="1"/>
  <c r="AC71" i="1"/>
  <c r="AB71" i="1"/>
  <c r="AA71" i="1"/>
  <c r="Z71" i="1"/>
  <c r="Y71" i="1"/>
  <c r="X71" i="1"/>
  <c r="BU70" i="1"/>
  <c r="BK70" i="1"/>
  <c r="BA70" i="1"/>
  <c r="AQ70" i="1"/>
  <c r="AP70" i="1"/>
  <c r="BU69" i="1"/>
  <c r="BK69" i="1"/>
  <c r="BA69" i="1"/>
  <c r="AQ69" i="1"/>
  <c r="AP69" i="1"/>
  <c r="BU68" i="1"/>
  <c r="BK68" i="1"/>
  <c r="BA68" i="1"/>
  <c r="AQ68" i="1"/>
  <c r="AP68" i="1"/>
  <c r="BU67" i="1"/>
  <c r="BK67" i="1"/>
  <c r="BA67" i="1"/>
  <c r="AQ67" i="1"/>
  <c r="AP67" i="1"/>
  <c r="AO66" i="1"/>
  <c r="AN66" i="1"/>
  <c r="AM66" i="1"/>
  <c r="AL66" i="1"/>
  <c r="AK66" i="1"/>
  <c r="AJ66" i="1"/>
  <c r="AI66" i="1"/>
  <c r="AH66" i="1"/>
  <c r="AG66" i="1"/>
  <c r="AF66" i="1"/>
  <c r="AE66" i="1"/>
  <c r="AD66" i="1"/>
  <c r="AC66" i="1"/>
  <c r="AB66" i="1"/>
  <c r="AA66" i="1"/>
  <c r="Z66" i="1"/>
  <c r="Y66" i="1"/>
  <c r="X66" i="1"/>
  <c r="BU65" i="1"/>
  <c r="BK65" i="1"/>
  <c r="BA65" i="1"/>
  <c r="AQ65" i="1"/>
  <c r="AP65" i="1"/>
  <c r="BU64" i="1"/>
  <c r="BK64" i="1"/>
  <c r="BA64" i="1"/>
  <c r="AQ64" i="1"/>
  <c r="AP64" i="1"/>
  <c r="BU63" i="1"/>
  <c r="BK63" i="1"/>
  <c r="BA63" i="1"/>
  <c r="AQ63" i="1"/>
  <c r="AP63" i="1"/>
  <c r="BU62" i="1"/>
  <c r="BK62" i="1"/>
  <c r="BA62" i="1"/>
  <c r="AQ62" i="1"/>
  <c r="AP62" i="1"/>
  <c r="BU61" i="1"/>
  <c r="BK61" i="1"/>
  <c r="BA61" i="1"/>
  <c r="AQ61" i="1"/>
  <c r="AP61" i="1"/>
  <c r="AO60" i="1"/>
  <c r="AN60" i="1"/>
  <c r="AM60" i="1"/>
  <c r="AL60" i="1"/>
  <c r="AK60" i="1"/>
  <c r="AJ60" i="1"/>
  <c r="AI60" i="1"/>
  <c r="AH60" i="1"/>
  <c r="AG60" i="1"/>
  <c r="AF60" i="1"/>
  <c r="AE60" i="1"/>
  <c r="AD60" i="1"/>
  <c r="AC60" i="1"/>
  <c r="AB60" i="1"/>
  <c r="AA60" i="1"/>
  <c r="Z60" i="1"/>
  <c r="Y60" i="1"/>
  <c r="X60" i="1"/>
  <c r="BU59" i="1"/>
  <c r="BK59" i="1"/>
  <c r="BA59" i="1"/>
  <c r="AQ59" i="1"/>
  <c r="AP59" i="1"/>
  <c r="BU58" i="1"/>
  <c r="BK58" i="1"/>
  <c r="BA58" i="1"/>
  <c r="AQ58" i="1"/>
  <c r="AB58" i="1"/>
  <c r="AB56" i="1" s="1"/>
  <c r="BU57" i="1"/>
  <c r="BK57" i="1"/>
  <c r="BA57" i="1"/>
  <c r="AQ57" i="1"/>
  <c r="AP57" i="1"/>
  <c r="AO56" i="1"/>
  <c r="AN56" i="1"/>
  <c r="AM56" i="1"/>
  <c r="AL56" i="1"/>
  <c r="AK56" i="1"/>
  <c r="AJ56" i="1"/>
  <c r="AI56" i="1"/>
  <c r="AH56" i="1"/>
  <c r="AG56" i="1"/>
  <c r="AF56" i="1"/>
  <c r="AE56" i="1"/>
  <c r="AD56" i="1"/>
  <c r="AC56" i="1"/>
  <c r="AA56" i="1"/>
  <c r="Z56" i="1"/>
  <c r="Y56" i="1"/>
  <c r="X56" i="1"/>
  <c r="BU55" i="1"/>
  <c r="BK55" i="1"/>
  <c r="BA55" i="1"/>
  <c r="AQ55" i="1"/>
  <c r="AP55" i="1"/>
  <c r="BU54" i="1"/>
  <c r="BK54" i="1"/>
  <c r="BA54" i="1"/>
  <c r="AQ54" i="1"/>
  <c r="AP54" i="1"/>
  <c r="BU53" i="1"/>
  <c r="BK53" i="1"/>
  <c r="BA53" i="1"/>
  <c r="AQ53" i="1"/>
  <c r="AP53" i="1"/>
  <c r="BU52" i="1"/>
  <c r="BK52" i="1"/>
  <c r="BA52" i="1"/>
  <c r="AQ52" i="1"/>
  <c r="AB52" i="1"/>
  <c r="AP52" i="1" s="1"/>
  <c r="AO51" i="1"/>
  <c r="AN51" i="1"/>
  <c r="AM51" i="1"/>
  <c r="AL51" i="1"/>
  <c r="AK51" i="1"/>
  <c r="AJ51" i="1"/>
  <c r="AI51" i="1"/>
  <c r="AH51" i="1"/>
  <c r="AG51" i="1"/>
  <c r="AF51" i="1"/>
  <c r="AE51" i="1"/>
  <c r="AD51" i="1"/>
  <c r="AC51" i="1"/>
  <c r="AA51" i="1"/>
  <c r="Z51" i="1"/>
  <c r="Y51" i="1"/>
  <c r="X51" i="1"/>
  <c r="BU50" i="1"/>
  <c r="BK50" i="1"/>
  <c r="BA50" i="1"/>
  <c r="AQ50" i="1"/>
  <c r="AP50" i="1"/>
  <c r="BU49" i="1"/>
  <c r="BK49" i="1"/>
  <c r="BA49" i="1"/>
  <c r="AQ49" i="1"/>
  <c r="AP49" i="1"/>
  <c r="BU48" i="1"/>
  <c r="BK48" i="1"/>
  <c r="BA48" i="1"/>
  <c r="AQ48" i="1"/>
  <c r="AP48" i="1"/>
  <c r="BU47" i="1"/>
  <c r="BJ47" i="1"/>
  <c r="BA47" i="1"/>
  <c r="AQ47" i="1"/>
  <c r="AP47" i="1"/>
  <c r="BU46" i="1"/>
  <c r="BK46" i="1"/>
  <c r="BA46" i="1"/>
  <c r="AQ46" i="1"/>
  <c r="AP46" i="1"/>
  <c r="BU45" i="1"/>
  <c r="BK45" i="1"/>
  <c r="BA45" i="1"/>
  <c r="AQ45" i="1"/>
  <c r="AP45" i="1"/>
  <c r="AO44" i="1"/>
  <c r="AN44" i="1"/>
  <c r="AM44" i="1"/>
  <c r="AL44" i="1"/>
  <c r="AK44" i="1"/>
  <c r="AJ44" i="1"/>
  <c r="AI44" i="1"/>
  <c r="AH44" i="1"/>
  <c r="AG44" i="1"/>
  <c r="AF44" i="1"/>
  <c r="AE44" i="1"/>
  <c r="AD44" i="1"/>
  <c r="AC44" i="1"/>
  <c r="AB44" i="1"/>
  <c r="AA44" i="1"/>
  <c r="Z44" i="1"/>
  <c r="Y44" i="1"/>
  <c r="X44" i="1"/>
  <c r="BU43" i="1"/>
  <c r="BK43" i="1"/>
  <c r="BA43" i="1"/>
  <c r="AQ43" i="1"/>
  <c r="AP43" i="1"/>
  <c r="BU42" i="1"/>
  <c r="BK42" i="1"/>
  <c r="BA42" i="1"/>
  <c r="AQ42" i="1"/>
  <c r="AP42" i="1"/>
  <c r="BU41" i="1"/>
  <c r="BK41" i="1"/>
  <c r="BA41" i="1"/>
  <c r="AQ41" i="1"/>
  <c r="AP41" i="1"/>
  <c r="BU40" i="1"/>
  <c r="BK40" i="1"/>
  <c r="BA40" i="1"/>
  <c r="AQ40" i="1"/>
  <c r="AP40" i="1"/>
  <c r="AO39" i="1"/>
  <c r="AN39" i="1"/>
  <c r="AM39" i="1"/>
  <c r="AL39" i="1"/>
  <c r="AK39" i="1"/>
  <c r="AJ39" i="1"/>
  <c r="AI39" i="1"/>
  <c r="AH39" i="1"/>
  <c r="AG39" i="1"/>
  <c r="AF39" i="1"/>
  <c r="AE39" i="1"/>
  <c r="AD39" i="1"/>
  <c r="AC39" i="1"/>
  <c r="AB39" i="1"/>
  <c r="AA39" i="1"/>
  <c r="Z39" i="1"/>
  <c r="Y39" i="1"/>
  <c r="X39" i="1"/>
  <c r="BU36" i="1"/>
  <c r="BK36" i="1"/>
  <c r="BA36" i="1"/>
  <c r="AQ36" i="1"/>
  <c r="AP36" i="1"/>
  <c r="BU35" i="1"/>
  <c r="BK35" i="1"/>
  <c r="BA35" i="1"/>
  <c r="AQ35" i="1"/>
  <c r="AB35" i="1"/>
  <c r="BU34" i="1"/>
  <c r="BK34" i="1"/>
  <c r="BA34" i="1"/>
  <c r="AQ34" i="1"/>
  <c r="AP34" i="1"/>
  <c r="BU33" i="1"/>
  <c r="BK33" i="1"/>
  <c r="BA33" i="1"/>
  <c r="AQ33" i="1"/>
  <c r="AP33" i="1"/>
  <c r="BU32" i="1"/>
  <c r="BK32" i="1"/>
  <c r="BA32" i="1"/>
  <c r="AQ32" i="1"/>
  <c r="AP32" i="1"/>
  <c r="BU31" i="1"/>
  <c r="BK31" i="1"/>
  <c r="BA31" i="1"/>
  <c r="AQ31" i="1"/>
  <c r="AB31" i="1"/>
  <c r="AP31" i="1" s="1"/>
  <c r="BU30" i="1"/>
  <c r="BK30" i="1"/>
  <c r="BA30" i="1"/>
  <c r="AQ30" i="1"/>
  <c r="AP30" i="1"/>
  <c r="AO29" i="1"/>
  <c r="AN29" i="1"/>
  <c r="AM29" i="1"/>
  <c r="AL29" i="1"/>
  <c r="AK29" i="1"/>
  <c r="AJ29" i="1"/>
  <c r="AI29" i="1"/>
  <c r="AH29" i="1"/>
  <c r="AG29" i="1"/>
  <c r="AF29" i="1"/>
  <c r="AE29" i="1"/>
  <c r="AD29" i="1"/>
  <c r="AC29" i="1"/>
  <c r="AA29" i="1"/>
  <c r="Z29" i="1"/>
  <c r="Y29" i="1"/>
  <c r="X29" i="1"/>
  <c r="BU28" i="1"/>
  <c r="BK28" i="1"/>
  <c r="BA28" i="1"/>
  <c r="AQ28" i="1"/>
  <c r="AP28" i="1"/>
  <c r="BU27" i="1"/>
  <c r="BK27" i="1"/>
  <c r="BA27" i="1"/>
  <c r="AQ27" i="1"/>
  <c r="AP27" i="1"/>
  <c r="BU26" i="1"/>
  <c r="BK26" i="1"/>
  <c r="BA26" i="1"/>
  <c r="AQ26" i="1"/>
  <c r="AP26" i="1"/>
  <c r="BU25" i="1"/>
  <c r="BK25" i="1"/>
  <c r="AW25" i="1"/>
  <c r="BA25" i="1" s="1"/>
  <c r="AQ25" i="1"/>
  <c r="AP25" i="1"/>
  <c r="BU24" i="1"/>
  <c r="BK24" i="1"/>
  <c r="AW24" i="1"/>
  <c r="BA24" i="1" s="1"/>
  <c r="AQ24" i="1"/>
  <c r="AP24" i="1"/>
  <c r="BQ23" i="1"/>
  <c r="BQ430" i="1" s="1"/>
  <c r="BG23" i="1"/>
  <c r="BA23" i="1"/>
  <c r="AP23" i="1"/>
  <c r="AC23" i="1"/>
  <c r="AQ23" i="1" s="1"/>
  <c r="BU22" i="1"/>
  <c r="BK22" i="1"/>
  <c r="BA22" i="1"/>
  <c r="AQ22" i="1"/>
  <c r="AP22" i="1"/>
  <c r="AO21" i="1"/>
  <c r="AN21" i="1"/>
  <c r="AM21" i="1"/>
  <c r="AL21" i="1"/>
  <c r="AK21" i="1"/>
  <c r="AJ21" i="1"/>
  <c r="AI21" i="1"/>
  <c r="AH21" i="1"/>
  <c r="AG21" i="1"/>
  <c r="AF21" i="1"/>
  <c r="AE21" i="1"/>
  <c r="AD21" i="1"/>
  <c r="AB21" i="1"/>
  <c r="AA21" i="1"/>
  <c r="Z21" i="1"/>
  <c r="Y21" i="1"/>
  <c r="X21" i="1"/>
  <c r="AQ20" i="1"/>
  <c r="AP20" i="1"/>
  <c r="BU19" i="1"/>
  <c r="BK19" i="1"/>
  <c r="BA19" i="1"/>
  <c r="AQ19" i="1"/>
  <c r="AP19" i="1"/>
  <c r="BU18" i="1"/>
  <c r="BK18" i="1"/>
  <c r="BA18" i="1"/>
  <c r="AQ18" i="1"/>
  <c r="AP18" i="1"/>
  <c r="BU17" i="1"/>
  <c r="BK17" i="1"/>
  <c r="BA17" i="1"/>
  <c r="AQ17" i="1"/>
  <c r="AP17" i="1"/>
  <c r="BU16" i="1"/>
  <c r="BK16" i="1"/>
  <c r="BA16" i="1"/>
  <c r="AQ16" i="1"/>
  <c r="AN16" i="1"/>
  <c r="BU15" i="1"/>
  <c r="BK15" i="1"/>
  <c r="BA15" i="1"/>
  <c r="AQ15" i="1"/>
  <c r="AP15" i="1"/>
  <c r="BU14" i="1"/>
  <c r="BK14" i="1"/>
  <c r="BA14" i="1"/>
  <c r="AQ14" i="1"/>
  <c r="AP14" i="1"/>
  <c r="AO13" i="1"/>
  <c r="AM13" i="1"/>
  <c r="AL13" i="1"/>
  <c r="AK13" i="1"/>
  <c r="AJ13" i="1"/>
  <c r="AI13" i="1"/>
  <c r="AH13" i="1"/>
  <c r="AG13" i="1"/>
  <c r="AF13" i="1"/>
  <c r="AE13" i="1"/>
  <c r="AD13" i="1"/>
  <c r="AC13" i="1"/>
  <c r="AB13" i="1"/>
  <c r="AA13" i="1"/>
  <c r="Z13" i="1"/>
  <c r="Y13" i="1"/>
  <c r="X13" i="1"/>
  <c r="AH373" i="1" l="1"/>
  <c r="AB51" i="1"/>
  <c r="BV394" i="1"/>
  <c r="X373" i="1"/>
  <c r="BV423" i="1"/>
  <c r="BV427" i="1"/>
  <c r="AB289" i="1"/>
  <c r="AF362" i="1"/>
  <c r="AJ362" i="1"/>
  <c r="BV424" i="1"/>
  <c r="BV429" i="1"/>
  <c r="BK289" i="1"/>
  <c r="X320" i="1"/>
  <c r="AE382" i="1"/>
  <c r="AI382" i="1"/>
  <c r="AB419" i="1"/>
  <c r="AL362" i="1"/>
  <c r="AL83" i="1"/>
  <c r="AO392" i="1"/>
  <c r="AD362" i="1"/>
  <c r="AH362" i="1"/>
  <c r="AN362" i="1"/>
  <c r="BK369" i="1"/>
  <c r="AN112" i="1"/>
  <c r="AE392" i="1"/>
  <c r="AI392" i="1"/>
  <c r="AM392" i="1"/>
  <c r="AP309" i="1"/>
  <c r="U311" i="1" s="1"/>
  <c r="BA310" i="1"/>
  <c r="BU311" i="1"/>
  <c r="AH83" i="1"/>
  <c r="BV353" i="1"/>
  <c r="X362" i="1"/>
  <c r="AS430" i="1"/>
  <c r="BA321" i="1"/>
  <c r="BA320" i="1" s="1"/>
  <c r="AC382" i="1"/>
  <c r="AG382" i="1"/>
  <c r="AK382" i="1"/>
  <c r="AM382" i="1"/>
  <c r="AO382" i="1"/>
  <c r="AJ382" i="1"/>
  <c r="AN382" i="1"/>
  <c r="Z177" i="1"/>
  <c r="Z288" i="1"/>
  <c r="AP321" i="1"/>
  <c r="U322" i="1" s="1"/>
  <c r="AH382" i="1"/>
  <c r="AL382" i="1"/>
  <c r="AJ112" i="1"/>
  <c r="AP217" i="1"/>
  <c r="U218" i="1" s="1"/>
  <c r="AQ309" i="1"/>
  <c r="AB339" i="1"/>
  <c r="AB331" i="1" s="1"/>
  <c r="AC348" i="1"/>
  <c r="BV371" i="1"/>
  <c r="BV42" i="1"/>
  <c r="BJ430" i="1"/>
  <c r="BV74" i="1"/>
  <c r="X83" i="1"/>
  <c r="AF112" i="1"/>
  <c r="AB167" i="1"/>
  <c r="BU220" i="1"/>
  <c r="BU292" i="1"/>
  <c r="BA311" i="1"/>
  <c r="AD382" i="1"/>
  <c r="BV96" i="1"/>
  <c r="AE177" i="1"/>
  <c r="Y331" i="1"/>
  <c r="BA359" i="1"/>
  <c r="AA12" i="1"/>
  <c r="AA11" i="1" s="1"/>
  <c r="AD83" i="1"/>
  <c r="Z332" i="1"/>
  <c r="Z331" i="1" s="1"/>
  <c r="Y382" i="1"/>
  <c r="BV384" i="1"/>
  <c r="AA112" i="1"/>
  <c r="Z143" i="1"/>
  <c r="AD143" i="1"/>
  <c r="AF143" i="1"/>
  <c r="AH143" i="1"/>
  <c r="AJ143" i="1"/>
  <c r="AL143" i="1"/>
  <c r="AN143" i="1"/>
  <c r="Y143" i="1"/>
  <c r="AC143" i="1"/>
  <c r="AD167" i="1"/>
  <c r="AF167" i="1"/>
  <c r="AL167" i="1"/>
  <c r="AN167" i="1"/>
  <c r="AE183" i="1"/>
  <c r="AG183" i="1"/>
  <c r="AI183" i="1"/>
  <c r="AK183" i="1"/>
  <c r="AM183" i="1"/>
  <c r="AO183" i="1"/>
  <c r="AQ190" i="1"/>
  <c r="AL207" i="1"/>
  <c r="AQ217" i="1"/>
  <c r="BU217" i="1"/>
  <c r="BU233" i="1"/>
  <c r="AD240" i="1"/>
  <c r="AF240" i="1"/>
  <c r="AH240" i="1"/>
  <c r="AJ240" i="1"/>
  <c r="AL240" i="1"/>
  <c r="AN240" i="1"/>
  <c r="BV293" i="1"/>
  <c r="BV304" i="1"/>
  <c r="BU310" i="1"/>
  <c r="Z373" i="1"/>
  <c r="AK133" i="1"/>
  <c r="AK112" i="1" s="1"/>
  <c r="BA168" i="1"/>
  <c r="BV59" i="1"/>
  <c r="Z84" i="1"/>
  <c r="AQ71" i="1"/>
  <c r="BK71" i="1"/>
  <c r="AB88" i="1"/>
  <c r="AB83" i="1" s="1"/>
  <c r="BK103" i="1"/>
  <c r="X143" i="1"/>
  <c r="AB143" i="1"/>
  <c r="AE143" i="1"/>
  <c r="AG143" i="1"/>
  <c r="AI143" i="1"/>
  <c r="AK143" i="1"/>
  <c r="AM143" i="1"/>
  <c r="AO143" i="1"/>
  <c r="BK150" i="1"/>
  <c r="AP157" i="1"/>
  <c r="U159" i="1" s="1"/>
  <c r="BA157" i="1"/>
  <c r="AQ184" i="1"/>
  <c r="BV189" i="1"/>
  <c r="AC183" i="1"/>
  <c r="AP214" i="1"/>
  <c r="AP211" i="1" s="1"/>
  <c r="AQ227" i="1"/>
  <c r="AB240" i="1"/>
  <c r="AQ261" i="1"/>
  <c r="AH308" i="1"/>
  <c r="BV350" i="1"/>
  <c r="BU359" i="1"/>
  <c r="BV397" i="1"/>
  <c r="AL308" i="1"/>
  <c r="AQ359" i="1"/>
  <c r="BV408" i="1"/>
  <c r="BV412" i="1"/>
  <c r="Y392" i="1"/>
  <c r="Z112" i="1"/>
  <c r="BV137" i="1"/>
  <c r="AQ168" i="1"/>
  <c r="AQ167" i="1" s="1"/>
  <c r="BK168" i="1"/>
  <c r="AL220" i="1"/>
  <c r="AP221" i="1"/>
  <c r="AP220" i="1" s="1"/>
  <c r="U222" i="1" s="1"/>
  <c r="BV64" i="1"/>
  <c r="Y12" i="1"/>
  <c r="Y11" i="1" s="1"/>
  <c r="BU23" i="1"/>
  <c r="BU21" i="1" s="1"/>
  <c r="AQ39" i="1"/>
  <c r="BV40" i="1"/>
  <c r="BA39" i="1"/>
  <c r="Y38" i="1"/>
  <c r="BV93" i="1"/>
  <c r="AA143" i="1"/>
  <c r="AQ157" i="1"/>
  <c r="BU44" i="1"/>
  <c r="BU71" i="1"/>
  <c r="AC112" i="1"/>
  <c r="AH112" i="1"/>
  <c r="AL112" i="1"/>
  <c r="Y177" i="1"/>
  <c r="AB297" i="1"/>
  <c r="AQ303" i="1"/>
  <c r="AQ302" i="1" s="1"/>
  <c r="BV306" i="1"/>
  <c r="AD308" i="1"/>
  <c r="BK309" i="1"/>
  <c r="BV315" i="1"/>
  <c r="AA331" i="1"/>
  <c r="Y348" i="1"/>
  <c r="BU379" i="1"/>
  <c r="BV414" i="1"/>
  <c r="BV213" i="1"/>
  <c r="AC194" i="1"/>
  <c r="BV222" i="1"/>
  <c r="BA254" i="1"/>
  <c r="AC331" i="1"/>
  <c r="AE331" i="1"/>
  <c r="AG331" i="1"/>
  <c r="AI331" i="1"/>
  <c r="AK331" i="1"/>
  <c r="AM331" i="1"/>
  <c r="AO331" i="1"/>
  <c r="AD348" i="1"/>
  <c r="AF348" i="1"/>
  <c r="AH348" i="1"/>
  <c r="AJ348" i="1"/>
  <c r="AL348" i="1"/>
  <c r="AN348" i="1"/>
  <c r="BA355" i="1"/>
  <c r="BV358" i="1"/>
  <c r="AD373" i="1"/>
  <c r="AF373" i="1"/>
  <c r="AJ373" i="1"/>
  <c r="AL373" i="1"/>
  <c r="AN373" i="1"/>
  <c r="Z382" i="1"/>
  <c r="AL392" i="1"/>
  <c r="BV404" i="1"/>
  <c r="BV428" i="1"/>
  <c r="X177" i="1"/>
  <c r="AB177" i="1"/>
  <c r="AD177" i="1"/>
  <c r="AF177" i="1"/>
  <c r="AH177" i="1"/>
  <c r="AJ177" i="1"/>
  <c r="AL177" i="1"/>
  <c r="AN177" i="1"/>
  <c r="AP233" i="1"/>
  <c r="U234" i="1" s="1"/>
  <c r="BA261" i="1"/>
  <c r="BV261" i="1" s="1"/>
  <c r="BV267" i="1"/>
  <c r="AD288" i="1"/>
  <c r="AF288" i="1"/>
  <c r="AH288" i="1"/>
  <c r="AJ288" i="1"/>
  <c r="AL288" i="1"/>
  <c r="AN288" i="1"/>
  <c r="AB320" i="1"/>
  <c r="AF320" i="1"/>
  <c r="AJ320" i="1"/>
  <c r="AN320" i="1"/>
  <c r="AC362" i="1"/>
  <c r="AE362" i="1"/>
  <c r="AG362" i="1"/>
  <c r="AI362" i="1"/>
  <c r="AK362" i="1"/>
  <c r="AM362" i="1"/>
  <c r="AO362" i="1"/>
  <c r="BV415" i="1"/>
  <c r="BV416" i="1"/>
  <c r="BK413" i="1"/>
  <c r="X75" i="1"/>
  <c r="BV123" i="1"/>
  <c r="BK122" i="1"/>
  <c r="AB194" i="1"/>
  <c r="BU13" i="1"/>
  <c r="BV16" i="1"/>
  <c r="BV33" i="1"/>
  <c r="BV35" i="1"/>
  <c r="AQ44" i="1"/>
  <c r="BV50" i="1"/>
  <c r="BU56" i="1"/>
  <c r="BV65" i="1"/>
  <c r="BU76" i="1"/>
  <c r="BU75" i="1" s="1"/>
  <c r="BV91" i="1"/>
  <c r="AL98" i="1"/>
  <c r="AN98" i="1"/>
  <c r="AT430" i="1"/>
  <c r="X156" i="1"/>
  <c r="BV179" i="1"/>
  <c r="BK178" i="1"/>
  <c r="BV178" i="1" s="1"/>
  <c r="BK195" i="1"/>
  <c r="AB247" i="1"/>
  <c r="BV22" i="1"/>
  <c r="AQ29" i="1"/>
  <c r="BK29" i="1"/>
  <c r="BV36" i="1"/>
  <c r="AP39" i="1"/>
  <c r="U40" i="1" s="1"/>
  <c r="AA38" i="1"/>
  <c r="AC38" i="1"/>
  <c r="AE38" i="1"/>
  <c r="AG38" i="1"/>
  <c r="AI38" i="1"/>
  <c r="AK38" i="1"/>
  <c r="AM38" i="1"/>
  <c r="AO38" i="1"/>
  <c r="BU60" i="1"/>
  <c r="BV63" i="1"/>
  <c r="Z75" i="1"/>
  <c r="Y183" i="1"/>
  <c r="AP21" i="1"/>
  <c r="U24" i="1" s="1"/>
  <c r="BV45" i="1"/>
  <c r="AQ51" i="1"/>
  <c r="BV52" i="1"/>
  <c r="BV55" i="1"/>
  <c r="AP58" i="1"/>
  <c r="AP56" i="1" s="1"/>
  <c r="U58" i="1" s="1"/>
  <c r="BU66" i="1"/>
  <c r="BV69" i="1"/>
  <c r="AP76" i="1"/>
  <c r="U77" i="1" s="1"/>
  <c r="BA76" i="1"/>
  <c r="BV78" i="1"/>
  <c r="BV82" i="1"/>
  <c r="BV101" i="1"/>
  <c r="BU84" i="1"/>
  <c r="BA84" i="1"/>
  <c r="Y83" i="1"/>
  <c r="BV90" i="1"/>
  <c r="AA98" i="1"/>
  <c r="AE98" i="1"/>
  <c r="AI98" i="1"/>
  <c r="AM98" i="1"/>
  <c r="X112" i="1"/>
  <c r="AQ113" i="1"/>
  <c r="BV125" i="1"/>
  <c r="BV128" i="1"/>
  <c r="BV149" i="1"/>
  <c r="BV152" i="1"/>
  <c r="AP180" i="1"/>
  <c r="U182" i="1" s="1"/>
  <c r="BA180" i="1"/>
  <c r="BA177" i="1" s="1"/>
  <c r="AQ180" i="1"/>
  <c r="AQ177" i="1" s="1"/>
  <c r="BV188" i="1"/>
  <c r="Z183" i="1"/>
  <c r="AQ195" i="1"/>
  <c r="AQ198" i="1"/>
  <c r="BK198" i="1"/>
  <c r="BV202" i="1"/>
  <c r="AQ203" i="1"/>
  <c r="BV205" i="1"/>
  <c r="BV224" i="1"/>
  <c r="AQ223" i="1"/>
  <c r="BV231" i="1"/>
  <c r="BA233" i="1"/>
  <c r="BV257" i="1"/>
  <c r="AQ258" i="1"/>
  <c r="BV262" i="1"/>
  <c r="BV268" i="1"/>
  <c r="BU270" i="1"/>
  <c r="BU269" i="1" s="1"/>
  <c r="AA275" i="1"/>
  <c r="AP113" i="1"/>
  <c r="U115" i="1" s="1"/>
  <c r="BV147" i="1"/>
  <c r="Z156" i="1"/>
  <c r="AB156" i="1"/>
  <c r="AD156" i="1"/>
  <c r="AF156" i="1"/>
  <c r="AH156" i="1"/>
  <c r="AJ156" i="1"/>
  <c r="AL156" i="1"/>
  <c r="AN156" i="1"/>
  <c r="AJ167" i="1"/>
  <c r="AA183" i="1"/>
  <c r="AO194" i="1"/>
  <c r="BK203" i="1"/>
  <c r="AI194" i="1"/>
  <c r="AK194" i="1"/>
  <c r="BV230" i="1"/>
  <c r="AQ236" i="1"/>
  <c r="BK236" i="1"/>
  <c r="X240" i="1"/>
  <c r="AF247" i="1"/>
  <c r="AH247" i="1"/>
  <c r="AJ247" i="1"/>
  <c r="AL247" i="1"/>
  <c r="AN247" i="1"/>
  <c r="AP254" i="1"/>
  <c r="U257" i="1" s="1"/>
  <c r="AQ265" i="1"/>
  <c r="AQ264" i="1" s="1"/>
  <c r="AF83" i="1"/>
  <c r="AJ83" i="1"/>
  <c r="AN83" i="1"/>
  <c r="BV86" i="1"/>
  <c r="AE83" i="1"/>
  <c r="AG83" i="1"/>
  <c r="AI83" i="1"/>
  <c r="AK83" i="1"/>
  <c r="AM83" i="1"/>
  <c r="AO83" i="1"/>
  <c r="BC430" i="1"/>
  <c r="BU95" i="1"/>
  <c r="AQ99" i="1"/>
  <c r="AK110" i="1"/>
  <c r="AK98" i="1" s="1"/>
  <c r="AB112" i="1"/>
  <c r="AD112" i="1"/>
  <c r="BV131" i="1"/>
  <c r="BU133" i="1"/>
  <c r="BK164" i="1"/>
  <c r="X167" i="1"/>
  <c r="BV170" i="1"/>
  <c r="AE167" i="1"/>
  <c r="AA177" i="1"/>
  <c r="AC177" i="1"/>
  <c r="AG177" i="1"/>
  <c r="AI177" i="1"/>
  <c r="AK177" i="1"/>
  <c r="AM177" i="1"/>
  <c r="AO177" i="1"/>
  <c r="X183" i="1"/>
  <c r="BU203" i="1"/>
  <c r="BA217" i="1"/>
  <c r="BU223" i="1"/>
  <c r="BU258" i="1"/>
  <c r="AP265" i="1"/>
  <c r="AP264" i="1" s="1"/>
  <c r="BA265" i="1"/>
  <c r="BA264" i="1" s="1"/>
  <c r="Y275" i="1"/>
  <c r="AC299" i="1"/>
  <c r="BK332" i="1"/>
  <c r="AA348" i="1"/>
  <c r="AQ349" i="1"/>
  <c r="AP391" i="1"/>
  <c r="AP390" i="1" s="1"/>
  <c r="AB390" i="1"/>
  <c r="AB382" i="1" s="1"/>
  <c r="X288" i="1"/>
  <c r="Z308" i="1"/>
  <c r="Z320" i="1"/>
  <c r="AD320" i="1"/>
  <c r="AH320" i="1"/>
  <c r="AL320" i="1"/>
  <c r="AD331" i="1"/>
  <c r="AF331" i="1"/>
  <c r="AH331" i="1"/>
  <c r="AJ331" i="1"/>
  <c r="AL331" i="1"/>
  <c r="AN331" i="1"/>
  <c r="Z348" i="1"/>
  <c r="BV400" i="1"/>
  <c r="BU413" i="1"/>
  <c r="AD392" i="1"/>
  <c r="AQ278" i="1"/>
  <c r="BU289" i="1"/>
  <c r="BV335" i="1"/>
  <c r="X331" i="1"/>
  <c r="BV351" i="1"/>
  <c r="AQ355" i="1"/>
  <c r="BK355" i="1"/>
  <c r="X348" i="1"/>
  <c r="AQ369" i="1"/>
  <c r="BA374" i="1"/>
  <c r="BV291" i="1"/>
  <c r="AE288" i="1"/>
  <c r="AG288" i="1"/>
  <c r="AK288" i="1"/>
  <c r="AM288" i="1"/>
  <c r="AO288" i="1"/>
  <c r="BV336" i="1"/>
  <c r="BV343" i="1"/>
  <c r="BA349" i="1"/>
  <c r="AE348" i="1"/>
  <c r="AG348" i="1"/>
  <c r="AI348" i="1"/>
  <c r="AK348" i="1"/>
  <c r="AM348" i="1"/>
  <c r="AO348" i="1"/>
  <c r="AP359" i="1"/>
  <c r="U361" i="1" s="1"/>
  <c r="BU369" i="1"/>
  <c r="BV401" i="1"/>
  <c r="BV406" i="1"/>
  <c r="BV422" i="1"/>
  <c r="BV19" i="1"/>
  <c r="AC21" i="1"/>
  <c r="AC12" i="1" s="1"/>
  <c r="AC11" i="1" s="1"/>
  <c r="AE12" i="1"/>
  <c r="AE11" i="1" s="1"/>
  <c r="AG12" i="1"/>
  <c r="AG11" i="1" s="1"/>
  <c r="AI12" i="1"/>
  <c r="AI11" i="1" s="1"/>
  <c r="AK12" i="1"/>
  <c r="AK11" i="1" s="1"/>
  <c r="AM12" i="1"/>
  <c r="AM11" i="1" s="1"/>
  <c r="AO12" i="1"/>
  <c r="AO11" i="1" s="1"/>
  <c r="BA21" i="1"/>
  <c r="BV28" i="1"/>
  <c r="BV48" i="1"/>
  <c r="AB98" i="1"/>
  <c r="AD98" i="1"/>
  <c r="AF98" i="1"/>
  <c r="AH98" i="1"/>
  <c r="AJ98" i="1"/>
  <c r="AQ103" i="1"/>
  <c r="BV110" i="1"/>
  <c r="BA51" i="1"/>
  <c r="BV53" i="1"/>
  <c r="BA56" i="1"/>
  <c r="BV67" i="1"/>
  <c r="BV73" i="1"/>
  <c r="BA81" i="1"/>
  <c r="BV81" i="1" s="1"/>
  <c r="AC98" i="1"/>
  <c r="AG98" i="1"/>
  <c r="AO98" i="1"/>
  <c r="BV32" i="1"/>
  <c r="BA29" i="1"/>
  <c r="AB29" i="1"/>
  <c r="AB12" i="1" s="1"/>
  <c r="AB11" i="1" s="1"/>
  <c r="AA88" i="1"/>
  <c r="Y98" i="1"/>
  <c r="AP103" i="1"/>
  <c r="U108" i="1" s="1"/>
  <c r="AG167" i="1"/>
  <c r="AI167" i="1"/>
  <c r="AK167" i="1"/>
  <c r="AM167" i="1"/>
  <c r="AO167" i="1"/>
  <c r="BV185" i="1"/>
  <c r="AE247" i="1"/>
  <c r="AG247" i="1"/>
  <c r="AI247" i="1"/>
  <c r="AK247" i="1"/>
  <c r="AM247" i="1"/>
  <c r="AO247" i="1"/>
  <c r="BV283" i="1"/>
  <c r="BU282" i="1"/>
  <c r="BU275" i="1" s="1"/>
  <c r="BL430" i="1"/>
  <c r="BV94" i="1"/>
  <c r="BV102" i="1"/>
  <c r="BV107" i="1"/>
  <c r="Y112" i="1"/>
  <c r="AE112" i="1"/>
  <c r="AG112" i="1"/>
  <c r="AI112" i="1"/>
  <c r="AM112" i="1"/>
  <c r="AO112" i="1"/>
  <c r="AQ150" i="1"/>
  <c r="Y167" i="1"/>
  <c r="AA167" i="1"/>
  <c r="AC167" i="1"/>
  <c r="BV18" i="1"/>
  <c r="BV26" i="1"/>
  <c r="BV30" i="1"/>
  <c r="BU39" i="1"/>
  <c r="BV43" i="1"/>
  <c r="BV46" i="1"/>
  <c r="BV49" i="1"/>
  <c r="AP60" i="1"/>
  <c r="U63" i="1" s="1"/>
  <c r="BA60" i="1"/>
  <c r="AQ66" i="1"/>
  <c r="BK66" i="1"/>
  <c r="Y75" i="1"/>
  <c r="AA75" i="1"/>
  <c r="AC75" i="1"/>
  <c r="AE75" i="1"/>
  <c r="AG75" i="1"/>
  <c r="AI75" i="1"/>
  <c r="AK75" i="1"/>
  <c r="AM75" i="1"/>
  <c r="AO75" i="1"/>
  <c r="AD75" i="1"/>
  <c r="AF75" i="1"/>
  <c r="AH75" i="1"/>
  <c r="AJ75" i="1"/>
  <c r="AL75" i="1"/>
  <c r="AN75" i="1"/>
  <c r="BV85" i="1"/>
  <c r="Z88" i="1"/>
  <c r="BK99" i="1"/>
  <c r="BV108" i="1"/>
  <c r="BV111" i="1"/>
  <c r="BV135" i="1"/>
  <c r="BV154" i="1"/>
  <c r="BV163" i="1"/>
  <c r="AQ164" i="1"/>
  <c r="BV169" i="1"/>
  <c r="Z167" i="1"/>
  <c r="AH167" i="1"/>
  <c r="BK184" i="1"/>
  <c r="X194" i="1"/>
  <c r="AF194" i="1"/>
  <c r="BU195" i="1"/>
  <c r="Z194" i="1"/>
  <c r="BV212" i="1"/>
  <c r="BK211" i="1"/>
  <c r="AP242" i="1"/>
  <c r="AP241" i="1" s="1"/>
  <c r="U242" i="1" s="1"/>
  <c r="Z241" i="1"/>
  <c r="Z240" i="1" s="1"/>
  <c r="BV243" i="1"/>
  <c r="X247" i="1"/>
  <c r="AQ254" i="1"/>
  <c r="BK254" i="1"/>
  <c r="BV255" i="1"/>
  <c r="BV208" i="1"/>
  <c r="BK207" i="1"/>
  <c r="BA248" i="1"/>
  <c r="BV248" i="1" s="1"/>
  <c r="BV250" i="1"/>
  <c r="AP253" i="1"/>
  <c r="AP252" i="1" s="1"/>
  <c r="U253" i="1" s="1"/>
  <c r="Z252" i="1"/>
  <c r="AP289" i="1"/>
  <c r="U291" i="1" s="1"/>
  <c r="BU122" i="1"/>
  <c r="BV17" i="1"/>
  <c r="X12" i="1"/>
  <c r="X11" i="1" s="1"/>
  <c r="Z12" i="1"/>
  <c r="Z11" i="1" s="1"/>
  <c r="AD12" i="1"/>
  <c r="AD11" i="1" s="1"/>
  <c r="AF12" i="1"/>
  <c r="AF11" i="1" s="1"/>
  <c r="AH12" i="1"/>
  <c r="AH11" i="1" s="1"/>
  <c r="AJ12" i="1"/>
  <c r="AJ11" i="1" s="1"/>
  <c r="AL12" i="1"/>
  <c r="AL11" i="1" s="1"/>
  <c r="BV31" i="1"/>
  <c r="BV41" i="1"/>
  <c r="X38" i="1"/>
  <c r="Z38" i="1"/>
  <c r="AB38" i="1"/>
  <c r="AD38" i="1"/>
  <c r="AF38" i="1"/>
  <c r="AH38" i="1"/>
  <c r="AJ38" i="1"/>
  <c r="AL38" i="1"/>
  <c r="AN38" i="1"/>
  <c r="BU51" i="1"/>
  <c r="BV54" i="1"/>
  <c r="AQ56" i="1"/>
  <c r="BV57" i="1"/>
  <c r="AQ60" i="1"/>
  <c r="BV61" i="1"/>
  <c r="BV68" i="1"/>
  <c r="BV70" i="1"/>
  <c r="BV72" i="1"/>
  <c r="AQ76" i="1"/>
  <c r="AQ75" i="1" s="1"/>
  <c r="BV77" i="1"/>
  <c r="BV80" i="1"/>
  <c r="X98" i="1"/>
  <c r="Z98" i="1"/>
  <c r="BA103" i="1"/>
  <c r="BV109" i="1"/>
  <c r="BV115" i="1"/>
  <c r="AQ122" i="1"/>
  <c r="BV124" i="1"/>
  <c r="BV132" i="1"/>
  <c r="AQ133" i="1"/>
  <c r="BV134" i="1"/>
  <c r="AQ144" i="1"/>
  <c r="BV162" i="1"/>
  <c r="AD183" i="1"/>
  <c r="AF183" i="1"/>
  <c r="AH183" i="1"/>
  <c r="AJ183" i="1"/>
  <c r="AL183" i="1"/>
  <c r="AN183" i="1"/>
  <c r="AA194" i="1"/>
  <c r="AG194" i="1"/>
  <c r="AP206" i="1"/>
  <c r="AP203" i="1" s="1"/>
  <c r="AL203" i="1"/>
  <c r="BA203" i="1"/>
  <c r="BV206" i="1"/>
  <c r="BK223" i="1"/>
  <c r="BV226" i="1"/>
  <c r="BV126" i="1"/>
  <c r="BV129" i="1"/>
  <c r="BV148" i="1"/>
  <c r="Y156" i="1"/>
  <c r="AA156" i="1"/>
  <c r="AC156" i="1"/>
  <c r="AE156" i="1"/>
  <c r="AG156" i="1"/>
  <c r="AI156" i="1"/>
  <c r="AK156" i="1"/>
  <c r="AM156" i="1"/>
  <c r="AO156" i="1"/>
  <c r="BU164" i="1"/>
  <c r="BV197" i="1"/>
  <c r="Y194" i="1"/>
  <c r="AE194" i="1"/>
  <c r="AP198" i="1"/>
  <c r="U200" i="1" s="1"/>
  <c r="BV221" i="1"/>
  <c r="BA220" i="1"/>
  <c r="BV238" i="1"/>
  <c r="AQ240" i="1"/>
  <c r="BK240" i="1"/>
  <c r="BV244" i="1"/>
  <c r="AQ293" i="1"/>
  <c r="AQ292" i="1" s="1"/>
  <c r="AC292" i="1"/>
  <c r="BV166" i="1"/>
  <c r="AP169" i="1"/>
  <c r="BV187" i="1"/>
  <c r="AJ194" i="1"/>
  <c r="BV209" i="1"/>
  <c r="BV228" i="1"/>
  <c r="BV259" i="1"/>
  <c r="BV266" i="1"/>
  <c r="BK265" i="1"/>
  <c r="Y269" i="1"/>
  <c r="AA269" i="1"/>
  <c r="AC269" i="1"/>
  <c r="AE269" i="1"/>
  <c r="AG269" i="1"/>
  <c r="AI269" i="1"/>
  <c r="AK269" i="1"/>
  <c r="AM269" i="1"/>
  <c r="AO269" i="1"/>
  <c r="AP287" i="1"/>
  <c r="AP286" i="1" s="1"/>
  <c r="AB286" i="1"/>
  <c r="Y288" i="1"/>
  <c r="AH194" i="1"/>
  <c r="AN194" i="1"/>
  <c r="BV200" i="1"/>
  <c r="BV210" i="1"/>
  <c r="BV215" i="1"/>
  <c r="BV235" i="1"/>
  <c r="Y240" i="1"/>
  <c r="AA240" i="1"/>
  <c r="AC240" i="1"/>
  <c r="AE240" i="1"/>
  <c r="AG240" i="1"/>
  <c r="AI240" i="1"/>
  <c r="AK240" i="1"/>
  <c r="AM240" i="1"/>
  <c r="AO240" i="1"/>
  <c r="BU254" i="1"/>
  <c r="X269" i="1"/>
  <c r="Z269" i="1"/>
  <c r="AB269" i="1"/>
  <c r="AD269" i="1"/>
  <c r="AF269" i="1"/>
  <c r="AH269" i="1"/>
  <c r="AJ269" i="1"/>
  <c r="AL269" i="1"/>
  <c r="AN269" i="1"/>
  <c r="AQ282" i="1"/>
  <c r="BK282" i="1"/>
  <c r="AA288" i="1"/>
  <c r="AI288" i="1"/>
  <c r="BA332" i="1"/>
  <c r="BV338" i="1"/>
  <c r="AP195" i="1"/>
  <c r="U196" i="1" s="1"/>
  <c r="BV196" i="1"/>
  <c r="BU198" i="1"/>
  <c r="AQ220" i="1"/>
  <c r="BK220" i="1"/>
  <c r="BU240" i="1"/>
  <c r="BV246" i="1"/>
  <c r="AQ248" i="1"/>
  <c r="AA247" i="1"/>
  <c r="AC247" i="1"/>
  <c r="BV274" i="1"/>
  <c r="BA273" i="1"/>
  <c r="BV273" i="1" s="1"/>
  <c r="BV279" i="1"/>
  <c r="AQ289" i="1"/>
  <c r="BV322" i="1"/>
  <c r="BV326" i="1"/>
  <c r="BK325" i="1"/>
  <c r="BV325" i="1" s="1"/>
  <c r="AP375" i="1"/>
  <c r="AP374" i="1" s="1"/>
  <c r="U376" i="1" s="1"/>
  <c r="AB374" i="1"/>
  <c r="AB373" i="1" s="1"/>
  <c r="BV280" i="1"/>
  <c r="X275" i="1"/>
  <c r="Z275" i="1"/>
  <c r="AD275" i="1"/>
  <c r="AF275" i="1"/>
  <c r="AH275" i="1"/>
  <c r="AJ275" i="1"/>
  <c r="AL275" i="1"/>
  <c r="AN275" i="1"/>
  <c r="BK292" i="1"/>
  <c r="BV296" i="1"/>
  <c r="BV297" i="1"/>
  <c r="BK303" i="1"/>
  <c r="BK302" i="1" s="1"/>
  <c r="Y320" i="1"/>
  <c r="AA320" i="1"/>
  <c r="AC320" i="1"/>
  <c r="AE320" i="1"/>
  <c r="AG320" i="1"/>
  <c r="AI320" i="1"/>
  <c r="AK320" i="1"/>
  <c r="AM320" i="1"/>
  <c r="AO320" i="1"/>
  <c r="BK349" i="1"/>
  <c r="BV365" i="1"/>
  <c r="AP393" i="1"/>
  <c r="U394" i="1" s="1"/>
  <c r="BV399" i="1"/>
  <c r="BA393" i="1"/>
  <c r="AQ270" i="1"/>
  <c r="AQ269" i="1" s="1"/>
  <c r="AC275" i="1"/>
  <c r="AE275" i="1"/>
  <c r="AG275" i="1"/>
  <c r="AI275" i="1"/>
  <c r="AK275" i="1"/>
  <c r="AM275" i="1"/>
  <c r="AO275" i="1"/>
  <c r="BV285" i="1"/>
  <c r="AB292" i="1"/>
  <c r="BK295" i="1"/>
  <c r="BV300" i="1"/>
  <c r="X308" i="1"/>
  <c r="AB308" i="1"/>
  <c r="AF308" i="1"/>
  <c r="AJ308" i="1"/>
  <c r="AN308" i="1"/>
  <c r="Y308" i="1"/>
  <c r="AA314" i="1"/>
  <c r="AA308" i="1" s="1"/>
  <c r="AC308" i="1"/>
  <c r="AE308" i="1"/>
  <c r="AG308" i="1"/>
  <c r="AI308" i="1"/>
  <c r="AK308" i="1"/>
  <c r="AM308" i="1"/>
  <c r="AO308" i="1"/>
  <c r="AQ316" i="1"/>
  <c r="AQ308" i="1" s="1"/>
  <c r="AQ321" i="1"/>
  <c r="AQ320" i="1" s="1"/>
  <c r="Y362" i="1"/>
  <c r="AA362" i="1"/>
  <c r="BV388" i="1"/>
  <c r="AQ393" i="1"/>
  <c r="BK393" i="1"/>
  <c r="AQ415" i="1"/>
  <c r="AQ413" i="1" s="1"/>
  <c r="AA413" i="1"/>
  <c r="AA392" i="1" s="1"/>
  <c r="BV366" i="1"/>
  <c r="BV377" i="1"/>
  <c r="Y373" i="1"/>
  <c r="AA373" i="1"/>
  <c r="AC373" i="1"/>
  <c r="AE373" i="1"/>
  <c r="AG373" i="1"/>
  <c r="AG372" i="1" s="1"/>
  <c r="AI373" i="1"/>
  <c r="AK373" i="1"/>
  <c r="AM373" i="1"/>
  <c r="AO373" i="1"/>
  <c r="BU383" i="1"/>
  <c r="BU382" i="1" s="1"/>
  <c r="BV387" i="1"/>
  <c r="BV402" i="1"/>
  <c r="BV407" i="1"/>
  <c r="BV409" i="1"/>
  <c r="BV417" i="1"/>
  <c r="BU332" i="1"/>
  <c r="AQ344" i="1"/>
  <c r="AP349" i="1"/>
  <c r="U350" i="1" s="1"/>
  <c r="BV354" i="1"/>
  <c r="BV367" i="1"/>
  <c r="BV375" i="1"/>
  <c r="BV376" i="1"/>
  <c r="BU374" i="1"/>
  <c r="AQ379" i="1"/>
  <c r="BV386" i="1"/>
  <c r="X392" i="1"/>
  <c r="Z392" i="1"/>
  <c r="AB392" i="1"/>
  <c r="AF392" i="1"/>
  <c r="AH392" i="1"/>
  <c r="AJ392" i="1"/>
  <c r="AN392" i="1"/>
  <c r="BV411" i="1"/>
  <c r="BU419" i="1"/>
  <c r="AP332" i="1"/>
  <c r="U335" i="1" s="1"/>
  <c r="AQ332" i="1"/>
  <c r="BV337" i="1"/>
  <c r="AQ339" i="1"/>
  <c r="BK339" i="1"/>
  <c r="BV361" i="1"/>
  <c r="BU363" i="1"/>
  <c r="BV370" i="1"/>
  <c r="BV389" i="1"/>
  <c r="BV396" i="1"/>
  <c r="BV403" i="1"/>
  <c r="BV410" i="1"/>
  <c r="BV418" i="1"/>
  <c r="BV421" i="1"/>
  <c r="BV426" i="1"/>
  <c r="AP35" i="1"/>
  <c r="AP29" i="1" s="1"/>
  <c r="AQ13" i="1"/>
  <c r="BK13" i="1"/>
  <c r="BV14" i="1"/>
  <c r="AQ21" i="1"/>
  <c r="BG430" i="1"/>
  <c r="BK23" i="1"/>
  <c r="BK21" i="1" s="1"/>
  <c r="BV25" i="1"/>
  <c r="BV27" i="1"/>
  <c r="BV34" i="1"/>
  <c r="AP51" i="1"/>
  <c r="U55" i="1" s="1"/>
  <c r="AQ84" i="1"/>
  <c r="AP88" i="1"/>
  <c r="U93" i="1" s="1"/>
  <c r="AN13" i="1"/>
  <c r="AN12" i="1" s="1"/>
  <c r="AN11" i="1" s="1"/>
  <c r="AP16" i="1"/>
  <c r="AQ88" i="1"/>
  <c r="BA13" i="1"/>
  <c r="BV15" i="1"/>
  <c r="BU29" i="1"/>
  <c r="AP81" i="1"/>
  <c r="U82" i="1" s="1"/>
  <c r="AP84" i="1"/>
  <c r="U87" i="1" s="1"/>
  <c r="AW430" i="1"/>
  <c r="BV24" i="1"/>
  <c r="BK39" i="1"/>
  <c r="AP44" i="1"/>
  <c r="BA44" i="1"/>
  <c r="BK56" i="1"/>
  <c r="BK60" i="1"/>
  <c r="BV62" i="1"/>
  <c r="AP66" i="1"/>
  <c r="U67" i="1" s="1"/>
  <c r="BA66" i="1"/>
  <c r="AP71" i="1"/>
  <c r="U74" i="1" s="1"/>
  <c r="BA71" i="1"/>
  <c r="BK76" i="1"/>
  <c r="AP79" i="1"/>
  <c r="BA79" i="1"/>
  <c r="AA84" i="1"/>
  <c r="AC84" i="1"/>
  <c r="AC83" i="1" s="1"/>
  <c r="BK84" i="1"/>
  <c r="BV87" i="1"/>
  <c r="BU92" i="1"/>
  <c r="BA95" i="1"/>
  <c r="BM430" i="1"/>
  <c r="AP100" i="1"/>
  <c r="BU99" i="1"/>
  <c r="BV106" i="1"/>
  <c r="BV139" i="1"/>
  <c r="BU138" i="1"/>
  <c r="BV138" i="1" s="1"/>
  <c r="BV159" i="1"/>
  <c r="BK157" i="1"/>
  <c r="BU168" i="1"/>
  <c r="BU167" i="1" s="1"/>
  <c r="BV171" i="1"/>
  <c r="AP185" i="1"/>
  <c r="AB184" i="1"/>
  <c r="AB183" i="1" s="1"/>
  <c r="BA184" i="1"/>
  <c r="BV192" i="1"/>
  <c r="BK190" i="1"/>
  <c r="BA195" i="1"/>
  <c r="BV214" i="1"/>
  <c r="AQ211" i="1"/>
  <c r="BU236" i="1"/>
  <c r="BV58" i="1"/>
  <c r="AB81" i="1"/>
  <c r="AB75" i="1" s="1"/>
  <c r="BV100" i="1"/>
  <c r="BV130" i="1"/>
  <c r="BD430" i="1"/>
  <c r="BK136" i="1"/>
  <c r="BK133" i="1" s="1"/>
  <c r="BV145" i="1"/>
  <c r="BK144" i="1"/>
  <c r="BV153" i="1"/>
  <c r="BU150" i="1"/>
  <c r="AX430" i="1"/>
  <c r="BA155" i="1"/>
  <c r="BA150" i="1" s="1"/>
  <c r="BV182" i="1"/>
  <c r="BK180" i="1"/>
  <c r="U199" i="1"/>
  <c r="AM207" i="1"/>
  <c r="AM194" i="1" s="1"/>
  <c r="AQ208" i="1"/>
  <c r="AQ207" i="1" s="1"/>
  <c r="AD211" i="1"/>
  <c r="AD194" i="1" s="1"/>
  <c r="BK217" i="1"/>
  <c r="BV218" i="1"/>
  <c r="BA99" i="1"/>
  <c r="BV104" i="1"/>
  <c r="BN430" i="1"/>
  <c r="BU105" i="1"/>
  <c r="BU103" i="1" s="1"/>
  <c r="BV113" i="1"/>
  <c r="BV158" i="1"/>
  <c r="BU157" i="1"/>
  <c r="AP164" i="1"/>
  <c r="U165" i="1" s="1"/>
  <c r="AP175" i="1"/>
  <c r="BV176" i="1"/>
  <c r="BA175" i="1"/>
  <c r="BV175" i="1" s="1"/>
  <c r="BV186" i="1"/>
  <c r="BU184" i="1"/>
  <c r="BV191" i="1"/>
  <c r="BU190" i="1"/>
  <c r="AP190" i="1"/>
  <c r="U193" i="1" s="1"/>
  <c r="BA190" i="1"/>
  <c r="BV193" i="1"/>
  <c r="BA207" i="1"/>
  <c r="AP223" i="1"/>
  <c r="BA241" i="1"/>
  <c r="BV242" i="1"/>
  <c r="BK47" i="1"/>
  <c r="BK44" i="1" s="1"/>
  <c r="BK51" i="1"/>
  <c r="BK89" i="1"/>
  <c r="BK88" i="1" s="1"/>
  <c r="AP122" i="1"/>
  <c r="U127" i="1" s="1"/>
  <c r="BV127" i="1"/>
  <c r="BA122" i="1"/>
  <c r="BU144" i="1"/>
  <c r="AP144" i="1"/>
  <c r="U146" i="1" s="1"/>
  <c r="BA144" i="1"/>
  <c r="BV146" i="1"/>
  <c r="AP150" i="1"/>
  <c r="U155" i="1" s="1"/>
  <c r="BV151" i="1"/>
  <c r="AP160" i="1"/>
  <c r="BV161" i="1"/>
  <c r="BA160" i="1"/>
  <c r="BV173" i="1"/>
  <c r="BK172" i="1"/>
  <c r="BV181" i="1"/>
  <c r="BU180" i="1"/>
  <c r="BU177" i="1" s="1"/>
  <c r="BV201" i="1"/>
  <c r="BA198" i="1"/>
  <c r="AP207" i="1"/>
  <c r="U208" i="1" s="1"/>
  <c r="AP133" i="1"/>
  <c r="BA136" i="1"/>
  <c r="BA133" i="1" s="1"/>
  <c r="BA165" i="1"/>
  <c r="BA164" i="1" s="1"/>
  <c r="BA211" i="1"/>
  <c r="BV216" i="1"/>
  <c r="BV219" i="1"/>
  <c r="BV225" i="1"/>
  <c r="BU227" i="1"/>
  <c r="AP230" i="1"/>
  <c r="AP227" i="1" s="1"/>
  <c r="U229" i="1" s="1"/>
  <c r="AL227" i="1"/>
  <c r="BV232" i="1"/>
  <c r="AQ233" i="1"/>
  <c r="BV234" i="1"/>
  <c r="BK233" i="1"/>
  <c r="U256" i="1"/>
  <c r="BV256" i="1"/>
  <c r="AP270" i="1"/>
  <c r="U272" i="1" s="1"/>
  <c r="BA270" i="1"/>
  <c r="BV272" i="1"/>
  <c r="U277" i="1"/>
  <c r="BK299" i="1"/>
  <c r="BV299" i="1" s="1"/>
  <c r="AP283" i="1"/>
  <c r="AB282" i="1"/>
  <c r="BV287" i="1"/>
  <c r="BA286" i="1"/>
  <c r="BV286" i="1" s="1"/>
  <c r="AP304" i="1"/>
  <c r="AB303" i="1"/>
  <c r="AB302" i="1" s="1"/>
  <c r="BV356" i="1"/>
  <c r="BU355" i="1"/>
  <c r="BU211" i="1"/>
  <c r="BV229" i="1"/>
  <c r="BK227" i="1"/>
  <c r="AD248" i="1"/>
  <c r="AD247" i="1" s="1"/>
  <c r="AP250" i="1"/>
  <c r="BV260" i="1"/>
  <c r="BK258" i="1"/>
  <c r="BV271" i="1"/>
  <c r="BK270" i="1"/>
  <c r="BK269" i="1" s="1"/>
  <c r="BV277" i="1"/>
  <c r="BK276" i="1"/>
  <c r="AP279" i="1"/>
  <c r="AB278" i="1"/>
  <c r="BV290" i="1"/>
  <c r="BA289" i="1"/>
  <c r="BV345" i="1"/>
  <c r="BU344" i="1"/>
  <c r="AP344" i="1"/>
  <c r="U347" i="1" s="1"/>
  <c r="BA344" i="1"/>
  <c r="BV347" i="1"/>
  <c r="BV199" i="1"/>
  <c r="BV204" i="1"/>
  <c r="AP236" i="1"/>
  <c r="U238" i="1" s="1"/>
  <c r="BV237" i="1"/>
  <c r="BA236" i="1"/>
  <c r="BV239" i="1"/>
  <c r="BA252" i="1"/>
  <c r="BV253" i="1"/>
  <c r="Y247" i="1"/>
  <c r="AP262" i="1"/>
  <c r="Z261" i="1"/>
  <c r="BA282" i="1"/>
  <c r="AP292" i="1"/>
  <c r="AP277" i="1"/>
  <c r="AP276" i="1" s="1"/>
  <c r="BV284" i="1"/>
  <c r="BA292" i="1"/>
  <c r="AP297" i="1"/>
  <c r="U298" i="1" s="1"/>
  <c r="BV298" i="1"/>
  <c r="BV314" i="1"/>
  <c r="BV317" i="1"/>
  <c r="BU316" i="1"/>
  <c r="AP316" i="1"/>
  <c r="U319" i="1" s="1"/>
  <c r="BA316" i="1"/>
  <c r="BV319" i="1"/>
  <c r="BU321" i="1"/>
  <c r="BU320" i="1" s="1"/>
  <c r="BV323" i="1"/>
  <c r="AP328" i="1"/>
  <c r="AP327" i="1" s="1"/>
  <c r="BV329" i="1"/>
  <c r="BA328" i="1"/>
  <c r="AP339" i="1"/>
  <c r="BA339" i="1"/>
  <c r="BV341" i="1"/>
  <c r="BV360" i="1"/>
  <c r="BK359" i="1"/>
  <c r="BA223" i="1"/>
  <c r="BA227" i="1"/>
  <c r="AP245" i="1"/>
  <c r="U246" i="1" s="1"/>
  <c r="BA245" i="1"/>
  <c r="BV245" i="1" s="1"/>
  <c r="AP258" i="1"/>
  <c r="U260" i="1" s="1"/>
  <c r="BA258" i="1"/>
  <c r="BV294" i="1"/>
  <c r="BV313" i="1"/>
  <c r="BK312" i="1"/>
  <c r="BV312" i="1" s="1"/>
  <c r="BV318" i="1"/>
  <c r="BK316" i="1"/>
  <c r="BV324" i="1"/>
  <c r="BK321" i="1"/>
  <c r="BV340" i="1"/>
  <c r="BU339" i="1"/>
  <c r="AP355" i="1"/>
  <c r="U358" i="1" s="1"/>
  <c r="BV391" i="1"/>
  <c r="BA390" i="1"/>
  <c r="BV390" i="1" s="1"/>
  <c r="BV281" i="1"/>
  <c r="BV305" i="1"/>
  <c r="BU303" i="1"/>
  <c r="BU302" i="1" s="1"/>
  <c r="BV333" i="1"/>
  <c r="BV346" i="1"/>
  <c r="BK344" i="1"/>
  <c r="BA307" i="1"/>
  <c r="BV307" i="1" s="1"/>
  <c r="AP314" i="1"/>
  <c r="U315" i="1" s="1"/>
  <c r="BV342" i="1"/>
  <c r="BU349" i="1"/>
  <c r="AB355" i="1"/>
  <c r="AB359" i="1"/>
  <c r="AB363" i="1"/>
  <c r="AB362" i="1" s="1"/>
  <c r="AP365" i="1"/>
  <c r="BA363" i="1"/>
  <c r="AQ363" i="1"/>
  <c r="BV364" i="1"/>
  <c r="BK363" i="1"/>
  <c r="AP369" i="1"/>
  <c r="U371" i="1" s="1"/>
  <c r="AP383" i="1"/>
  <c r="U389" i="1" s="1"/>
  <c r="BV352" i="1"/>
  <c r="BV357" i="1"/>
  <c r="U360" i="1"/>
  <c r="BA369" i="1"/>
  <c r="BA383" i="1"/>
  <c r="BV378" i="1"/>
  <c r="AP379" i="1"/>
  <c r="BV381" i="1"/>
  <c r="BA379" i="1"/>
  <c r="AQ383" i="1"/>
  <c r="AQ382" i="1" s="1"/>
  <c r="BK383" i="1"/>
  <c r="BK382" i="1" s="1"/>
  <c r="BV395" i="1"/>
  <c r="BV405" i="1"/>
  <c r="BV425" i="1"/>
  <c r="BK379" i="1"/>
  <c r="BV380" i="1"/>
  <c r="BU393" i="1"/>
  <c r="BV368" i="1"/>
  <c r="AQ374" i="1"/>
  <c r="BK374" i="1"/>
  <c r="BV385" i="1"/>
  <c r="BV398" i="1"/>
  <c r="BV420" i="1"/>
  <c r="AQ419" i="1"/>
  <c r="BK419" i="1"/>
  <c r="AP413" i="1"/>
  <c r="U416" i="1" s="1"/>
  <c r="BA413" i="1"/>
  <c r="AP419" i="1"/>
  <c r="U421" i="1" s="1"/>
  <c r="BA419" i="1"/>
  <c r="AF372" i="1" l="1"/>
  <c r="U336" i="1"/>
  <c r="AI372" i="1"/>
  <c r="BV310" i="1"/>
  <c r="U310" i="1"/>
  <c r="U290" i="1"/>
  <c r="BK143" i="1"/>
  <c r="X372" i="1"/>
  <c r="AB288" i="1"/>
  <c r="BV233" i="1"/>
  <c r="U202" i="1"/>
  <c r="BK112" i="1"/>
  <c r="AN372" i="1"/>
  <c r="BV203" i="1"/>
  <c r="BU309" i="1"/>
  <c r="BU308" i="1" s="1"/>
  <c r="U201" i="1"/>
  <c r="AP177" i="1"/>
  <c r="AE372" i="1"/>
  <c r="X37" i="1"/>
  <c r="Z83" i="1"/>
  <c r="BK362" i="1"/>
  <c r="U181" i="1"/>
  <c r="AJ372" i="1"/>
  <c r="AK372" i="1"/>
  <c r="AC372" i="1"/>
  <c r="BK98" i="1"/>
  <c r="AJ330" i="1"/>
  <c r="AQ183" i="1"/>
  <c r="AO372" i="1"/>
  <c r="AD372" i="1"/>
  <c r="BV311" i="1"/>
  <c r="U213" i="1"/>
  <c r="U214" i="1"/>
  <c r="U401" i="1"/>
  <c r="AQ362" i="1"/>
  <c r="U337" i="1"/>
  <c r="AQ275" i="1"/>
  <c r="AH372" i="1"/>
  <c r="AM372" i="1"/>
  <c r="BK288" i="1"/>
  <c r="AQ143" i="1"/>
  <c r="AE37" i="1"/>
  <c r="U333" i="1"/>
  <c r="AQ373" i="1"/>
  <c r="U338" i="1"/>
  <c r="U158" i="1"/>
  <c r="U219" i="1"/>
  <c r="BV133" i="1"/>
  <c r="BU247" i="1"/>
  <c r="AL37" i="1"/>
  <c r="AD37" i="1"/>
  <c r="BU288" i="1"/>
  <c r="U323" i="1"/>
  <c r="U57" i="1"/>
  <c r="U410" i="1"/>
  <c r="AK37" i="1"/>
  <c r="U324" i="1"/>
  <c r="AL194" i="1"/>
  <c r="AL97" i="1" s="1"/>
  <c r="U197" i="1"/>
  <c r="U94" i="1"/>
  <c r="U26" i="1"/>
  <c r="U27" i="1"/>
  <c r="AP320" i="1"/>
  <c r="AQ98" i="1"/>
  <c r="AO330" i="1"/>
  <c r="AG330" i="1"/>
  <c r="U23" i="1"/>
  <c r="AB372" i="1"/>
  <c r="AQ288" i="1"/>
  <c r="AN330" i="1"/>
  <c r="AF330" i="1"/>
  <c r="BV295" i="1"/>
  <c r="U255" i="1"/>
  <c r="BU88" i="1"/>
  <c r="BU83" i="1" s="1"/>
  <c r="U59" i="1"/>
  <c r="AC330" i="1"/>
  <c r="BA309" i="1"/>
  <c r="Y330" i="1"/>
  <c r="BV265" i="1"/>
  <c r="AF37" i="1"/>
  <c r="BK373" i="1"/>
  <c r="BV103" i="1"/>
  <c r="BK392" i="1"/>
  <c r="AA83" i="1"/>
  <c r="AA37" i="1" s="1"/>
  <c r="Y372" i="1"/>
  <c r="AC288" i="1"/>
  <c r="AC97" i="1" s="1"/>
  <c r="AQ38" i="1"/>
  <c r="AM37" i="1"/>
  <c r="AL372" i="1"/>
  <c r="U215" i="1"/>
  <c r="AQ156" i="1"/>
  <c r="BV56" i="1"/>
  <c r="AM330" i="1"/>
  <c r="AE330" i="1"/>
  <c r="BV254" i="1"/>
  <c r="BV413" i="1"/>
  <c r="BK247" i="1"/>
  <c r="AP75" i="1"/>
  <c r="BU373" i="1"/>
  <c r="AN37" i="1"/>
  <c r="AK330" i="1"/>
  <c r="AH330" i="1"/>
  <c r="BV332" i="1"/>
  <c r="BU348" i="1"/>
  <c r="BA167" i="1"/>
  <c r="BV71" i="1"/>
  <c r="U64" i="1"/>
  <c r="U402" i="1"/>
  <c r="AA330" i="1"/>
  <c r="AQ247" i="1"/>
  <c r="U25" i="1"/>
  <c r="BV349" i="1"/>
  <c r="AL330" i="1"/>
  <c r="AD330" i="1"/>
  <c r="BV211" i="1"/>
  <c r="BV207" i="1"/>
  <c r="U62" i="1"/>
  <c r="U22" i="1"/>
  <c r="U61" i="1"/>
  <c r="BU362" i="1"/>
  <c r="AQ331" i="1"/>
  <c r="Z372" i="1"/>
  <c r="U267" i="1"/>
  <c r="BU112" i="1"/>
  <c r="AI330" i="1"/>
  <c r="BU38" i="1"/>
  <c r="U375" i="1"/>
  <c r="BV369" i="1"/>
  <c r="BV292" i="1"/>
  <c r="Z247" i="1"/>
  <c r="Z97" i="1" s="1"/>
  <c r="BK194" i="1"/>
  <c r="U28" i="1"/>
  <c r="U65" i="1"/>
  <c r="AQ112" i="1"/>
  <c r="AO37" i="1"/>
  <c r="AG37" i="1"/>
  <c r="Y37" i="1"/>
  <c r="AQ392" i="1"/>
  <c r="AQ372" i="1" s="1"/>
  <c r="U395" i="1"/>
  <c r="BV355" i="1"/>
  <c r="U406" i="1"/>
  <c r="U409" i="1"/>
  <c r="U403" i="1"/>
  <c r="U404" i="1"/>
  <c r="BA348" i="1"/>
  <c r="BK331" i="1"/>
  <c r="U391" i="1"/>
  <c r="BV236" i="1"/>
  <c r="AB275" i="1"/>
  <c r="AB97" i="1" s="1"/>
  <c r="U287" i="1"/>
  <c r="U216" i="1"/>
  <c r="BV198" i="1"/>
  <c r="U53" i="1"/>
  <c r="U54" i="1"/>
  <c r="U212" i="1"/>
  <c r="BV92" i="1"/>
  <c r="AN97" i="1"/>
  <c r="AH37" i="1"/>
  <c r="AI37" i="1"/>
  <c r="X330" i="1"/>
  <c r="BU392" i="1"/>
  <c r="U109" i="1"/>
  <c r="BK183" i="1"/>
  <c r="U106" i="1"/>
  <c r="BV66" i="1"/>
  <c r="BV60" i="1"/>
  <c r="BU12" i="1"/>
  <c r="BU11" i="1" s="1"/>
  <c r="U107" i="1"/>
  <c r="BV21" i="1"/>
  <c r="BU331" i="1"/>
  <c r="AI97" i="1"/>
  <c r="AQ348" i="1"/>
  <c r="U398" i="1"/>
  <c r="BV51" i="1"/>
  <c r="U397" i="1"/>
  <c r="AP288" i="1"/>
  <c r="Y97" i="1"/>
  <c r="U209" i="1"/>
  <c r="U105" i="1"/>
  <c r="U52" i="1"/>
  <c r="AJ37" i="1"/>
  <c r="AA97" i="1"/>
  <c r="Z330" i="1"/>
  <c r="U204" i="1"/>
  <c r="U205" i="1"/>
  <c r="U206" i="1"/>
  <c r="BV393" i="1"/>
  <c r="U418" i="1"/>
  <c r="U353" i="1"/>
  <c r="AP156" i="1"/>
  <c r="BV168" i="1"/>
  <c r="U95" i="1"/>
  <c r="AA372" i="1"/>
  <c r="AP168" i="1"/>
  <c r="U169" i="1" s="1"/>
  <c r="AJ97" i="1"/>
  <c r="U415" i="1"/>
  <c r="U399" i="1"/>
  <c r="U411" i="1"/>
  <c r="U412" i="1"/>
  <c r="U354" i="1"/>
  <c r="BV258" i="1"/>
  <c r="BV227" i="1"/>
  <c r="U294" i="1"/>
  <c r="BA303" i="1"/>
  <c r="BV303" i="1" s="1"/>
  <c r="BV165" i="1"/>
  <c r="BV122" i="1"/>
  <c r="U210" i="1"/>
  <c r="BU183" i="1"/>
  <c r="AM97" i="1"/>
  <c r="BV150" i="1"/>
  <c r="U104" i="1"/>
  <c r="U92" i="1"/>
  <c r="U408" i="1"/>
  <c r="U378" i="1"/>
  <c r="Z37" i="1"/>
  <c r="AH97" i="1"/>
  <c r="X97" i="1"/>
  <c r="AG97" i="1"/>
  <c r="U400" i="1"/>
  <c r="AK97" i="1"/>
  <c r="AF97" i="1"/>
  <c r="U396" i="1"/>
  <c r="U407" i="1"/>
  <c r="U405" i="1"/>
  <c r="U377" i="1"/>
  <c r="U352" i="1"/>
  <c r="U351" i="1"/>
  <c r="BK320" i="1"/>
  <c r="BV320" i="1" s="1"/>
  <c r="BV223" i="1"/>
  <c r="BK264" i="1"/>
  <c r="BV264" i="1" s="1"/>
  <c r="BV164" i="1"/>
  <c r="BU156" i="1"/>
  <c r="AD97" i="1"/>
  <c r="AB37" i="1"/>
  <c r="AC37" i="1"/>
  <c r="BV220" i="1"/>
  <c r="AO97" i="1"/>
  <c r="AE97" i="1"/>
  <c r="U34" i="1"/>
  <c r="U36" i="1"/>
  <c r="U33" i="1"/>
  <c r="U32" i="1"/>
  <c r="U30" i="1"/>
  <c r="U31" i="1"/>
  <c r="U426" i="1"/>
  <c r="U420" i="1"/>
  <c r="U380" i="1"/>
  <c r="AP373" i="1"/>
  <c r="U424" i="1"/>
  <c r="U381" i="1"/>
  <c r="BA362" i="1"/>
  <c r="BV363" i="1"/>
  <c r="BV321" i="1"/>
  <c r="U414" i="1"/>
  <c r="BV379" i="1"/>
  <c r="BA373" i="1"/>
  <c r="U357" i="1"/>
  <c r="U386" i="1"/>
  <c r="U384" i="1"/>
  <c r="AP382" i="1"/>
  <c r="U388" i="1"/>
  <c r="BV419" i="1"/>
  <c r="U428" i="1"/>
  <c r="U385" i="1"/>
  <c r="U429" i="1"/>
  <c r="U417" i="1"/>
  <c r="BV383" i="1"/>
  <c r="BA382" i="1"/>
  <c r="BV382" i="1" s="1"/>
  <c r="U387" i="1"/>
  <c r="U370" i="1"/>
  <c r="BV339" i="1"/>
  <c r="BV328" i="1"/>
  <c r="BA327" i="1"/>
  <c r="BV327" i="1" s="1"/>
  <c r="BV316" i="1"/>
  <c r="U293" i="1"/>
  <c r="U239" i="1"/>
  <c r="U237" i="1"/>
  <c r="BV344" i="1"/>
  <c r="BK275" i="1"/>
  <c r="BV276" i="1"/>
  <c r="U259" i="1"/>
  <c r="BU194" i="1"/>
  <c r="BK308" i="1"/>
  <c r="AP282" i="1"/>
  <c r="U283" i="1" s="1"/>
  <c r="BA269" i="1"/>
  <c r="BV269" i="1" s="1"/>
  <c r="BV270" i="1"/>
  <c r="U232" i="1"/>
  <c r="BV136" i="1"/>
  <c r="BA143" i="1"/>
  <c r="BV144" i="1"/>
  <c r="U131" i="1"/>
  <c r="AP112" i="1"/>
  <c r="U130" i="1"/>
  <c r="AP240" i="1"/>
  <c r="BV217" i="1"/>
  <c r="BV190" i="1"/>
  <c r="U166" i="1"/>
  <c r="U221" i="1"/>
  <c r="AQ194" i="1"/>
  <c r="AP184" i="1"/>
  <c r="U185" i="1" s="1"/>
  <c r="AP99" i="1"/>
  <c r="U100" i="1" s="1"/>
  <c r="U73" i="1"/>
  <c r="U96" i="1"/>
  <c r="U91" i="1"/>
  <c r="U90" i="1"/>
  <c r="U89" i="1"/>
  <c r="AQ12" i="1"/>
  <c r="AQ11" i="1" s="1"/>
  <c r="BV23" i="1"/>
  <c r="BV374" i="1"/>
  <c r="BA392" i="1"/>
  <c r="U356" i="1"/>
  <c r="AP348" i="1"/>
  <c r="U340" i="1"/>
  <c r="U342" i="1"/>
  <c r="U343" i="1"/>
  <c r="BV289" i="1"/>
  <c r="BA288" i="1"/>
  <c r="U154" i="1"/>
  <c r="U153" i="1"/>
  <c r="U152" i="1"/>
  <c r="BV79" i="1"/>
  <c r="BA75" i="1"/>
  <c r="BV44" i="1"/>
  <c r="BA38" i="1"/>
  <c r="BA12" i="1"/>
  <c r="BV13" i="1"/>
  <c r="U80" i="1"/>
  <c r="AP194" i="1"/>
  <c r="BV29" i="1"/>
  <c r="BK430" i="1"/>
  <c r="BV359" i="1"/>
  <c r="BK348" i="1"/>
  <c r="U341" i="1"/>
  <c r="U318" i="1"/>
  <c r="U317" i="1"/>
  <c r="BV282" i="1"/>
  <c r="BA275" i="1"/>
  <c r="AP261" i="1"/>
  <c r="U262" i="1" s="1"/>
  <c r="BA247" i="1"/>
  <c r="BV252" i="1"/>
  <c r="U346" i="1"/>
  <c r="U345" i="1"/>
  <c r="U271" i="1"/>
  <c r="AP269" i="1"/>
  <c r="U230" i="1"/>
  <c r="U136" i="1"/>
  <c r="U137" i="1"/>
  <c r="BV172" i="1"/>
  <c r="BK167" i="1"/>
  <c r="U161" i="1"/>
  <c r="U151" i="1"/>
  <c r="U149" i="1"/>
  <c r="U145" i="1"/>
  <c r="AP143" i="1"/>
  <c r="U148" i="1"/>
  <c r="U147" i="1"/>
  <c r="BA112" i="1"/>
  <c r="U225" i="1"/>
  <c r="U226" i="1"/>
  <c r="U192" i="1"/>
  <c r="U191" i="1"/>
  <c r="BV99" i="1"/>
  <c r="BA98" i="1"/>
  <c r="BK177" i="1"/>
  <c r="BV177" i="1" s="1"/>
  <c r="BV180" i="1"/>
  <c r="BV184" i="1"/>
  <c r="BA183" i="1"/>
  <c r="BK156" i="1"/>
  <c r="BV157" i="1"/>
  <c r="BV105" i="1"/>
  <c r="BV95" i="1"/>
  <c r="BA88" i="1"/>
  <c r="BK83" i="1"/>
  <c r="AP38" i="1"/>
  <c r="AP83" i="1"/>
  <c r="U86" i="1"/>
  <c r="BV155" i="1"/>
  <c r="BV89" i="1"/>
  <c r="U72" i="1"/>
  <c r="BV47" i="1"/>
  <c r="U35" i="1"/>
  <c r="U427" i="1"/>
  <c r="U423" i="1"/>
  <c r="U425" i="1"/>
  <c r="AB348" i="1"/>
  <c r="AB330" i="1" s="1"/>
  <c r="AP392" i="1"/>
  <c r="AP363" i="1"/>
  <c r="U365" i="1" s="1"/>
  <c r="AP308" i="1"/>
  <c r="U329" i="1"/>
  <c r="U422" i="1"/>
  <c r="AP278" i="1"/>
  <c r="U279" i="1" s="1"/>
  <c r="AP248" i="1"/>
  <c r="U228" i="1"/>
  <c r="AP331" i="1"/>
  <c r="AP303" i="1"/>
  <c r="U304" i="1" s="1"/>
  <c r="BA331" i="1"/>
  <c r="BV160" i="1"/>
  <c r="BA156" i="1"/>
  <c r="BU143" i="1"/>
  <c r="BA240" i="1"/>
  <c r="BV240" i="1" s="1"/>
  <c r="BV241" i="1"/>
  <c r="U224" i="1"/>
  <c r="U176" i="1"/>
  <c r="U135" i="1"/>
  <c r="BV195" i="1"/>
  <c r="BA194" i="1"/>
  <c r="BU98" i="1"/>
  <c r="BV76" i="1"/>
  <c r="BK75" i="1"/>
  <c r="U70" i="1"/>
  <c r="U69" i="1"/>
  <c r="BK38" i="1"/>
  <c r="BV39" i="1"/>
  <c r="U85" i="1"/>
  <c r="AP13" i="1"/>
  <c r="U16" i="1" s="1"/>
  <c r="U68" i="1"/>
  <c r="U47" i="1"/>
  <c r="BV84" i="1"/>
  <c r="AQ83" i="1"/>
  <c r="BK12" i="1"/>
  <c r="BK11" i="1" s="1"/>
  <c r="BK330" i="1" l="1"/>
  <c r="AQ37" i="1"/>
  <c r="BK372" i="1"/>
  <c r="BV309" i="1"/>
  <c r="AP247" i="1"/>
  <c r="BU372" i="1"/>
  <c r="BU430" i="1"/>
  <c r="BA308" i="1"/>
  <c r="BV308" i="1" s="1"/>
  <c r="AF430" i="1"/>
  <c r="BV288" i="1"/>
  <c r="AE430" i="1"/>
  <c r="BU37" i="1"/>
  <c r="BV247" i="1"/>
  <c r="AM430" i="1"/>
  <c r="BV392" i="1"/>
  <c r="AQ97" i="1"/>
  <c r="BU330" i="1"/>
  <c r="BV194" i="1"/>
  <c r="AK430" i="1"/>
  <c r="AI430" i="1"/>
  <c r="BV112" i="1"/>
  <c r="AG430" i="1"/>
  <c r="AP167" i="1"/>
  <c r="BV362" i="1"/>
  <c r="AO430" i="1"/>
  <c r="AL430" i="1"/>
  <c r="BV348" i="1"/>
  <c r="AQ330" i="1"/>
  <c r="BV167" i="1"/>
  <c r="BA302" i="1"/>
  <c r="BV302" i="1" s="1"/>
  <c r="AD430" i="1"/>
  <c r="Y430" i="1"/>
  <c r="AN430" i="1"/>
  <c r="Z430" i="1"/>
  <c r="BV183" i="1"/>
  <c r="AB430" i="1"/>
  <c r="AC430" i="1"/>
  <c r="AJ430" i="1"/>
  <c r="AA430" i="1"/>
  <c r="AP275" i="1"/>
  <c r="AH430" i="1"/>
  <c r="X430" i="1"/>
  <c r="BK97" i="1"/>
  <c r="BV156" i="1"/>
  <c r="AP372" i="1"/>
  <c r="U171" i="1"/>
  <c r="U170" i="1"/>
  <c r="BV143" i="1"/>
  <c r="BV88" i="1"/>
  <c r="BA83" i="1"/>
  <c r="BV83" i="1" s="1"/>
  <c r="BV38" i="1"/>
  <c r="BK37" i="1"/>
  <c r="BV331" i="1"/>
  <c r="BA330" i="1"/>
  <c r="U280" i="1"/>
  <c r="U281" i="1"/>
  <c r="U364" i="1"/>
  <c r="AP362" i="1"/>
  <c r="AP330" i="1" s="1"/>
  <c r="U368" i="1"/>
  <c r="U366" i="1"/>
  <c r="U367" i="1"/>
  <c r="BV98" i="1"/>
  <c r="BV275" i="1"/>
  <c r="U17" i="1"/>
  <c r="U14" i="1"/>
  <c r="AP12" i="1"/>
  <c r="AP11" i="1" s="1"/>
  <c r="U19" i="1"/>
  <c r="U15" i="1"/>
  <c r="U18" i="1"/>
  <c r="BU97" i="1"/>
  <c r="U306" i="1"/>
  <c r="U307" i="1"/>
  <c r="U305" i="1"/>
  <c r="AP302" i="1"/>
  <c r="U250" i="1"/>
  <c r="AP37" i="1"/>
  <c r="BV75" i="1"/>
  <c r="BV373" i="1"/>
  <c r="BA372" i="1"/>
  <c r="BA11" i="1"/>
  <c r="BV11" i="1" s="1"/>
  <c r="BV12" i="1"/>
  <c r="U284" i="1"/>
  <c r="U285" i="1"/>
  <c r="U101" i="1"/>
  <c r="AP98" i="1"/>
  <c r="U102" i="1"/>
  <c r="BA430" i="1"/>
  <c r="U187" i="1"/>
  <c r="U186" i="1"/>
  <c r="AP183" i="1"/>
  <c r="U189" i="1"/>
  <c r="U188" i="1"/>
  <c r="BV430" i="1" l="1"/>
  <c r="BV372" i="1"/>
  <c r="BA97" i="1"/>
  <c r="BV97" i="1" s="1"/>
  <c r="AQ430" i="1"/>
  <c r="BV330" i="1"/>
  <c r="BA37" i="1"/>
  <c r="BV37" i="1" s="1"/>
  <c r="AP97" i="1"/>
  <c r="AP430" i="1" s="1"/>
  <c r="AP431" i="1" s="1"/>
</calcChain>
</file>

<file path=xl/sharedStrings.xml><?xml version="1.0" encoding="utf-8"?>
<sst xmlns="http://schemas.openxmlformats.org/spreadsheetml/2006/main" count="2128" uniqueCount="932">
  <si>
    <t xml:space="preserve"> </t>
  </si>
  <si>
    <t>orden</t>
  </si>
  <si>
    <t>ORDEN ESTRATEGIA</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</si>
  <si>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</si>
  <si>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</si>
  <si>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</si>
  <si>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</si>
  <si>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</si>
  <si>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</si>
  <si>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</si>
  <si>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</si>
  <si>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</si>
  <si>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</si>
  <si>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</si>
  <si>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</si>
  <si>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</si>
  <si>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</si>
  <si>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</si>
  <si>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</si>
  <si>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</si>
  <si>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</si>
  <si>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</si>
  <si>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</si>
  <si>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</si>
  <si>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</si>
  <si>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</si>
  <si>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</si>
  <si>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</si>
  <si>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</si>
  <si>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2018</t>
  </si>
  <si>
    <t>Estrategia</t>
  </si>
  <si>
    <t>Programa</t>
  </si>
  <si>
    <t>Subprograma</t>
  </si>
  <si>
    <t>MATRIZ PLURIANUAL</t>
  </si>
  <si>
    <t>POAI</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</si>
  <si>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</si>
  <si>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</si>
  <si>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</si>
  <si>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</si>
  <si>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</si>
  <si>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</si>
  <si>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 xml:space="preserve">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</si>
  <si>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</si>
  <si>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</si>
  <si>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</si>
  <si>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</si>
  <si>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</si>
  <si>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</si>
  <si>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</si>
  <si>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</si>
  <si>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</si>
  <si>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</si>
  <si>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</si>
  <si>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</si>
  <si>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</si>
  <si>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</si>
  <si>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</si>
  <si>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</si>
  <si>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</si>
  <si>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</si>
  <si>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</si>
  <si>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</si>
  <si>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</si>
  <si>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</si>
  <si>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Disminuir la presión por cargas contaminantes, medida por el Índice de Alteración Potencial de la Calidad del Agua (IACAL), a categoría “moderada”</t>
  </si>
  <si>
    <t>Muy Alta</t>
  </si>
  <si>
    <t>Moderada</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</si>
  <si>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</si>
  <si>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</si>
  <si>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</si>
  <si>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</si>
  <si>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</si>
  <si>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</si>
  <si>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</si>
  <si>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</si>
  <si>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</si>
  <si>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</si>
  <si>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</si>
  <si>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</si>
  <si>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</si>
  <si>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</si>
  <si>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</si>
  <si>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</si>
  <si>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</si>
  <si>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</si>
  <si>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</si>
  <si>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</si>
  <si>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</si>
  <si>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</si>
  <si>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</si>
  <si>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</si>
  <si>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</si>
  <si>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</si>
  <si>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</si>
  <si>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</si>
  <si>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</si>
  <si>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</si>
  <si>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</si>
  <si>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</si>
  <si>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</si>
  <si>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</si>
  <si>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</si>
  <si>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</si>
  <si>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</si>
  <si>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</si>
  <si>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</si>
  <si>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</si>
  <si>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</si>
  <si>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</si>
  <si>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</si>
  <si>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</si>
  <si>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</si>
  <si>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</si>
  <si>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</si>
  <si>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</si>
  <si>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</si>
  <si>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</si>
  <si>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</si>
  <si>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</si>
  <si>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</si>
  <si>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</si>
  <si>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</si>
  <si>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</si>
  <si>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</si>
  <si>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</si>
  <si>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</si>
  <si>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</si>
  <si>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</si>
  <si>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</si>
  <si>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</si>
  <si>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</si>
  <si>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</si>
  <si>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</si>
  <si>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</si>
  <si>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</si>
  <si>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</si>
  <si>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</si>
  <si>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</si>
  <si>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</si>
  <si>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</si>
  <si>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</si>
  <si>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</si>
  <si>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</si>
  <si>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</si>
  <si>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</si>
  <si>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</si>
  <si>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</si>
  <si>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</si>
  <si>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</si>
  <si>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</si>
  <si>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</si>
  <si>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</si>
  <si>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</si>
  <si>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</si>
  <si>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</si>
  <si>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</si>
  <si>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</si>
  <si>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</si>
  <si>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</si>
  <si>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</si>
  <si>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</si>
  <si>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</si>
  <si>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</si>
  <si>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</si>
  <si>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</si>
  <si>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</si>
  <si>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</si>
  <si>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</si>
  <si>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</si>
  <si>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</si>
  <si>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</si>
  <si>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</si>
  <si>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</si>
  <si>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</si>
  <si>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 xml:space="preserve">Diseñar un ecosistema regional de emprendimiento Y asociatividad                                                                                     </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</si>
  <si>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</si>
  <si>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</si>
  <si>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</si>
  <si>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</si>
  <si>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</si>
  <si>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</si>
  <si>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</si>
  <si>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</si>
  <si>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</si>
  <si>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</si>
  <si>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</si>
  <si>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</si>
  <si>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</si>
  <si>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</si>
  <si>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</si>
  <si>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</si>
  <si>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</si>
  <si>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</si>
  <si>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</si>
  <si>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</si>
  <si>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</si>
  <si>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</si>
  <si>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</si>
  <si>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</si>
  <si>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</si>
  <si>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</si>
  <si>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</si>
  <si>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</si>
  <si>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</si>
  <si>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</si>
  <si>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</si>
  <si>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</si>
  <si>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</si>
  <si>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</si>
  <si>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</si>
  <si>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</si>
  <si>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</si>
  <si>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</si>
  <si>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</si>
  <si>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</si>
  <si>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</si>
  <si>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</si>
  <si>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</si>
  <si>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construcción, mejoramiento y/o rehabilitación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</si>
  <si>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</si>
  <si>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</si>
  <si>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</si>
  <si>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</si>
  <si>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</si>
  <si>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</si>
  <si>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</si>
  <si>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</si>
  <si>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</si>
  <si>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</si>
  <si>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</si>
  <si>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</si>
  <si>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</si>
  <si>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</si>
  <si>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</si>
  <si>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</si>
  <si>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</si>
  <si>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</si>
  <si>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</si>
  <si>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</si>
  <si>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</si>
  <si>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</si>
  <si>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</si>
  <si>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</si>
  <si>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</si>
  <si>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</si>
  <si>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</si>
  <si>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</si>
  <si>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</si>
  <si>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</si>
  <si>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</si>
  <si>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</si>
  <si>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</si>
  <si>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</si>
  <si>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</si>
  <si>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</si>
  <si>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</si>
  <si>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</si>
  <si>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</si>
  <si>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</si>
  <si>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</si>
  <si>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</si>
  <si>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</si>
  <si>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</si>
  <si>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</si>
  <si>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</si>
  <si>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</si>
  <si>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</si>
  <si>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</si>
  <si>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</si>
  <si>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</si>
  <si>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</si>
  <si>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</si>
  <si>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</si>
  <si>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</si>
  <si>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</si>
  <si>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</si>
  <si>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</si>
  <si>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</si>
  <si>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</si>
  <si>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</si>
  <si>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</si>
  <si>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</si>
  <si>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</si>
  <si>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</si>
  <si>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</si>
  <si>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</si>
  <si>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</si>
  <si>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</si>
  <si>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</si>
  <si>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</si>
  <si>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</si>
  <si>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</si>
  <si>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</si>
  <si>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</si>
  <si>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8,06% EBS               5,77% EM</t>
  </si>
  <si>
    <t>5% EBS                          4% EM</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</si>
  <si>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</si>
  <si>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</si>
  <si>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</si>
  <si>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</si>
  <si>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</si>
  <si>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</si>
  <si>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</si>
  <si>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</si>
  <si>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</si>
  <si>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</si>
  <si>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</si>
  <si>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</si>
  <si>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</si>
  <si>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</si>
  <si>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</si>
  <si>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</si>
  <si>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</si>
  <si>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</si>
  <si>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</si>
  <si>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</si>
  <si>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</si>
  <si>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 xml:space="preserve">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</si>
  <si>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</si>
  <si>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</si>
  <si>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</si>
  <si>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</si>
  <si>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</si>
  <si>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</si>
  <si>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</si>
  <si>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</si>
  <si>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</si>
  <si>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</si>
  <si>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</si>
  <si>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</si>
  <si>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</si>
  <si>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</si>
  <si>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</si>
  <si>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</si>
  <si>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</si>
  <si>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</si>
  <si>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</si>
  <si>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</si>
  <si>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</si>
  <si>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</si>
  <si>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</si>
  <si>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</si>
  <si>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</si>
  <si>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</si>
  <si>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</si>
  <si>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</si>
  <si>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</si>
  <si>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</si>
  <si>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</si>
  <si>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</si>
  <si>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</si>
  <si>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</si>
  <si>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</si>
  <si>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</si>
  <si>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</si>
  <si>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</si>
  <si>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</si>
  <si>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</si>
  <si>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</si>
  <si>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</si>
  <si>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</si>
  <si>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</si>
  <si>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</si>
  <si>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</si>
  <si>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</si>
  <si>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</si>
  <si>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</si>
  <si>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</si>
  <si>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</si>
  <si>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</si>
  <si>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</si>
  <si>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</si>
  <si>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</si>
  <si>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</si>
  <si>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</si>
  <si>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</si>
  <si>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</si>
  <si>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</si>
  <si>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</si>
  <si>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</si>
  <si>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</si>
  <si>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</si>
  <si>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</si>
  <si>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</si>
  <si>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</si>
  <si>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</si>
  <si>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</si>
  <si>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</si>
  <si>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</si>
  <si>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</si>
  <si>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</si>
  <si>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</si>
  <si>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</si>
  <si>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</si>
  <si>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</si>
  <si>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</si>
  <si>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</si>
  <si>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</si>
  <si>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</si>
  <si>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</si>
  <si>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</si>
  <si>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</si>
  <si>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</si>
  <si>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</si>
  <si>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</si>
  <si>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</si>
  <si>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</si>
  <si>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</si>
  <si>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</si>
  <si>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</si>
  <si>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</si>
  <si>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</si>
  <si>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</si>
  <si>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</si>
  <si>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</si>
  <si>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</si>
  <si>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</si>
  <si>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</si>
  <si>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</si>
  <si>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</si>
  <si>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</si>
  <si>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</si>
  <si>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</si>
  <si>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</si>
  <si>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</si>
  <si>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</si>
  <si>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</si>
  <si>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</si>
  <si>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</si>
  <si>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</si>
  <si>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</si>
  <si>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</si>
  <si>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</si>
  <si>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</si>
  <si>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</si>
  <si>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</si>
  <si>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</si>
  <si>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</si>
  <si>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</si>
  <si>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</si>
  <si>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</si>
  <si>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</si>
  <si>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</si>
  <si>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</si>
  <si>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</si>
  <si>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</si>
  <si>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</si>
  <si>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</si>
  <si>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</si>
  <si>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</si>
  <si>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</si>
  <si>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</si>
  <si>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</si>
  <si>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</si>
  <si>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</si>
  <si>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</si>
  <si>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</si>
  <si>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</si>
  <si>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</si>
  <si>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</si>
  <si>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</si>
  <si>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</si>
  <si>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</si>
  <si>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</si>
  <si>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</si>
  <si>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</si>
  <si>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</si>
  <si>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</si>
  <si>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</si>
  <si>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</si>
  <si>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</si>
  <si>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</si>
  <si>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</si>
  <si>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</si>
  <si>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</si>
  <si>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</si>
  <si>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</si>
  <si>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</si>
  <si>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</si>
  <si>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</si>
  <si>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</si>
  <si>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</si>
  <si>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</si>
  <si>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</si>
  <si>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</si>
  <si>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</si>
  <si>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</si>
  <si>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</si>
  <si>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</si>
  <si>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</si>
  <si>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</si>
  <si>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</si>
  <si>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</si>
  <si>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</si>
  <si>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</si>
  <si>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</si>
  <si>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</si>
  <si>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</si>
  <si>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</si>
  <si>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</si>
  <si>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</si>
  <si>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</si>
  <si>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</si>
  <si>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</si>
  <si>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</si>
  <si>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</si>
  <si>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</si>
  <si>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</si>
  <si>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</si>
  <si>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</si>
  <si>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</si>
  <si>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</si>
  <si>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</si>
  <si>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</si>
  <si>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</si>
  <si>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</si>
  <si>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</si>
  <si>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</si>
  <si>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</si>
  <si>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</si>
  <si>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</si>
  <si>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</si>
  <si>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</si>
  <si>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</si>
  <si>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</si>
  <si>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</si>
  <si>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</si>
  <si>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</si>
  <si>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</si>
  <si>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</si>
  <si>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</si>
  <si>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</si>
  <si>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</si>
  <si>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</si>
  <si>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</si>
  <si>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</si>
  <si>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</si>
  <si>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</si>
  <si>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</si>
  <si>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</si>
  <si>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</si>
  <si>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</si>
  <si>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</si>
  <si>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</si>
  <si>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</si>
  <si>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</si>
  <si>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</si>
  <si>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</si>
  <si>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25                 29          30          28</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</si>
  <si>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</si>
  <si>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</si>
  <si>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</si>
  <si>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</si>
  <si>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</si>
  <si>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</si>
  <si>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</si>
  <si>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</si>
  <si>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24              25          29            30         PTS-45</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</si>
  <si>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</si>
  <si>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</si>
  <si>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</si>
  <si>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</si>
  <si>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</si>
  <si>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</si>
  <si>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</si>
  <si>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</si>
  <si>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</si>
  <si>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</si>
  <si>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</si>
  <si>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</si>
  <si>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</si>
  <si>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</si>
  <si>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</si>
  <si>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</si>
  <si>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</si>
  <si>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</si>
  <si>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</si>
  <si>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</si>
  <si>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</si>
  <si>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</si>
  <si>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</si>
  <si>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</si>
  <si>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</si>
  <si>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</si>
  <si>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</si>
  <si>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</si>
  <si>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</si>
  <si>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</si>
  <si>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</si>
  <si>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</si>
  <si>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</si>
  <si>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</si>
  <si>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</si>
  <si>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</si>
  <si>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</si>
  <si>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</si>
  <si>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</si>
  <si>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</si>
  <si>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</si>
  <si>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</si>
  <si>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</si>
  <si>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</si>
  <si>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</si>
  <si>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</si>
  <si>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</si>
  <si>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</si>
  <si>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</si>
  <si>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</si>
  <si>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</si>
  <si>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</si>
  <si>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</si>
  <si>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</si>
  <si>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</si>
  <si>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</si>
  <si>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</si>
  <si>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</si>
  <si>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</si>
  <si>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</si>
  <si>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</si>
  <si>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</si>
  <si>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</si>
  <si>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</si>
  <si>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</si>
  <si>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</si>
  <si>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</si>
  <si>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</si>
  <si>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</si>
  <si>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</si>
  <si>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</si>
  <si>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</si>
  <si>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</si>
  <si>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</si>
  <si>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</si>
  <si>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</si>
  <si>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</si>
  <si>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</si>
  <si>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</si>
  <si>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</si>
  <si>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</si>
  <si>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</si>
  <si>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</si>
  <si>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</si>
  <si>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</si>
  <si>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</si>
  <si>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</si>
  <si>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</si>
  <si>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</si>
  <si>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</si>
  <si>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</si>
  <si>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</si>
  <si>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</si>
  <si>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</si>
  <si>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</si>
  <si>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</si>
  <si>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</si>
  <si>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</si>
  <si>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</si>
  <si>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</si>
  <si>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</si>
  <si>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</si>
  <si>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</si>
  <si>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</si>
  <si>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</si>
  <si>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</si>
  <si>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</si>
  <si>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</si>
  <si>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</si>
  <si>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</si>
  <si>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</si>
  <si>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</si>
  <si>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</si>
  <si>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</si>
  <si>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21                                      22</t>
  </si>
  <si>
    <t xml:space="preserve">  Disminuir el porcentaje de mujeres amenazadas por sus compañeros sentimentales                                                               - Disminuir incidencia de violencia intrafamiliar                                Disminuir incidencia de violencia intrafamiliar</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</si>
  <si>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</si>
  <si>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</si>
  <si>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</si>
  <si>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</si>
  <si>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</si>
  <si>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</si>
  <si>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</si>
  <si>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</si>
  <si>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</si>
  <si>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</si>
  <si>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</si>
  <si>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</si>
  <si>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</si>
  <si>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</si>
  <si>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</si>
  <si>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</si>
  <si>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 xml:space="preserve">Atención Grupos Vulnerables- Promoción Social </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</si>
  <si>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</si>
  <si>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</si>
  <si>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</si>
  <si>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</si>
  <si>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</si>
  <si>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</si>
  <si>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</si>
  <si>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</si>
  <si>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</si>
  <si>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</si>
  <si>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</si>
  <si>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</si>
  <si>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</si>
  <si>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</si>
  <si>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</si>
  <si>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</si>
  <si>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</si>
  <si>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</si>
  <si>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</si>
  <si>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</si>
  <si>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</si>
  <si>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</si>
  <si>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</si>
  <si>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</si>
  <si>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</si>
  <si>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</si>
  <si>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</si>
  <si>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</si>
  <si>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</si>
  <si>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</si>
  <si>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</si>
  <si>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</si>
  <si>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</si>
  <si>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</si>
  <si>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</si>
  <si>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</si>
  <si>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</si>
  <si>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</si>
  <si>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</si>
  <si>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</si>
  <si>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</si>
  <si>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</si>
  <si>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</si>
  <si>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</si>
  <si>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</si>
  <si>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</si>
  <si>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</si>
  <si>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</si>
  <si>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</si>
  <si>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</si>
  <si>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</si>
  <si>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</si>
  <si>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</si>
  <si>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</si>
  <si>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</si>
  <si>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 del departamento con elementos tecnológicos y logísticos que faciliten su operatividad y capacidad de respuesta</t>
  </si>
  <si>
    <t xml:space="preserve">Número de organismos de seguridad y/o de régimen carcelario dotados
</t>
  </si>
  <si>
    <t xml:space="preserve">5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</si>
  <si>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</si>
  <si>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</si>
  <si>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</si>
  <si>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</si>
  <si>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</si>
  <si>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</si>
  <si>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</si>
  <si>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</si>
  <si>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</si>
  <si>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</si>
  <si>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</si>
  <si>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</si>
  <si>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</si>
  <si>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</si>
  <si>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</si>
  <si>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</si>
  <si>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</si>
  <si>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</si>
  <si>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</si>
  <si>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</si>
  <si>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</si>
  <si>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</si>
  <si>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</si>
  <si>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</si>
  <si>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</si>
  <si>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</si>
  <si>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</si>
  <si>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</si>
  <si>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</si>
  <si>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</si>
  <si>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</si>
  <si>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</si>
  <si>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</si>
  <si>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</si>
  <si>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</si>
  <si>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</si>
  <si>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</si>
  <si>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</si>
  <si>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</si>
  <si>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</si>
  <si>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</si>
  <si>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</si>
  <si>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</si>
  <si>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</si>
  <si>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</si>
  <si>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</si>
  <si>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</si>
  <si>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</si>
  <si>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</si>
  <si>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</si>
  <si>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</si>
  <si>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</si>
  <si>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</si>
  <si>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</si>
  <si>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</si>
  <si>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</si>
  <si>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</si>
  <si>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</si>
  <si>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</si>
  <si>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</si>
  <si>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</si>
  <si>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</si>
  <si>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</si>
  <si>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</si>
  <si>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</si>
  <si>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</si>
  <si>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</si>
  <si>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</si>
  <si>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</si>
  <si>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</si>
  <si>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</si>
  <si>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</si>
  <si>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</si>
  <si>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</si>
  <si>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</si>
  <si>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</si>
  <si>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</si>
  <si>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</si>
  <si>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</si>
  <si>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</si>
  <si>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</si>
  <si>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</si>
  <si>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</si>
  <si>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</si>
  <si>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</si>
  <si>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</si>
  <si>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</si>
  <si>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</si>
  <si>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</si>
  <si>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</si>
  <si>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</si>
  <si>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</si>
  <si>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</si>
  <si>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</si>
  <si>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</si>
  <si>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</si>
  <si>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</si>
  <si>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ecpide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</si>
  <si>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</si>
  <si>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</si>
  <si>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</si>
  <si>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</si>
  <si>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</si>
  <si>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</si>
  <si>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</si>
  <si>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</si>
  <si>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</si>
  <si>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</si>
  <si>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</si>
  <si>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</si>
  <si>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</si>
  <si>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Territorioen los doce (12) municipios</t>
  </si>
  <si>
    <t>Entes territoriales municipales asistidos</t>
  </si>
  <si>
    <t xml:space="preserve">Adoptar dos (2) mecanismo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</si>
  <si>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</si>
  <si>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</si>
  <si>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</si>
  <si>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</si>
  <si>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</si>
  <si>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</si>
  <si>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</si>
  <si>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 xml:space="preserve">Diseñar e implementar  de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</si>
  <si>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</si>
  <si>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</si>
  <si>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</si>
  <si>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</si>
  <si>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</si>
  <si>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</si>
  <si>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</si>
  <si>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</si>
  <si>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</si>
  <si>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</si>
  <si>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</si>
  <si>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</si>
  <si>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</si>
  <si>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</si>
  <si>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</si>
  <si>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</si>
  <si>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</si>
  <si>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</si>
  <si>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</si>
  <si>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</si>
  <si>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</si>
  <si>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</si>
  <si>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</si>
  <si>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</si>
  <si>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</si>
  <si>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</si>
  <si>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</si>
  <si>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</si>
  <si>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</si>
  <si>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</si>
  <si>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</si>
  <si>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</si>
  <si>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</si>
  <si>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</si>
  <si>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</si>
  <si>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</si>
  <si>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 hadware, aplicativos, redes, y capacitación)</t>
  </si>
  <si>
    <t>Programa de infraestructura tecnologica de la administracion fortalecido</t>
  </si>
  <si>
    <t xml:space="preserve">Fortalecer el programa de sostenibilidad de la  Tecnologias de la Información de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</si>
  <si>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</si>
  <si>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</si>
  <si>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</si>
  <si>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</si>
  <si>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</si>
  <si>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</si>
  <si>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</si>
  <si>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</si>
  <si>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</si>
  <si>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 xml:space="preserve">VALOR TOTAL </t>
  </si>
  <si>
    <t xml:space="preserve">MATRIZ PLURIANUAL </t>
  </si>
  <si>
    <t>TOTAL 2019</t>
  </si>
  <si>
    <t xml:space="preserve">TOTAL </t>
  </si>
  <si>
    <t>Código</t>
  </si>
  <si>
    <t xml:space="preserve"> F-PLA-04</t>
  </si>
  <si>
    <t>Version: 05</t>
  </si>
  <si>
    <t xml:space="preserve">Fecha: </t>
  </si>
  <si>
    <t>Agosto 1 de 2016</t>
  </si>
  <si>
    <t xml:space="preserve">Página </t>
  </si>
  <si>
    <t>1 de 1</t>
  </si>
  <si>
    <t>DEPARTAMENTO DEL QUINDIO</t>
  </si>
  <si>
    <t>PLAN INDICATIVO 2016 - 2019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</si>
</sst>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10" x14ac:knownFonts="1">
    <font>
      <sz val="11"/>
      <color theme="1"/>
      <name val="Calibri"/>
      <family val="2"/>
      <scheme val="minor"/>
    </font>
    <font>
      <sz val="11"/>
      <color theme="1"/>
      <name val="Calibri"/>
      <family val="2"/>
      <scheme val="minor"/>
    </font>
    <font>
      <sz val="11"/>
      <name val="Arial"/>
      <family val="2"/>
    </font>
    <font>
      <b/>
      <sz val="11"/>
      <name val="Arial"/>
      <family val="2"/>
    </font>
    <font>
      <b/>
      <sz val="11"/>
      <color rgb="FFFF0000"/>
      <name val="Arial"/>
      <family val="2"/>
    </font>
    <font>
      <b/>
      <sz val="10"/>
      <name val="Arial"/>
      <family val="2"/>
    </font>
    <font>
      <b/>
      <sz val="10"/>
      <color rgb="FFFF0000"/>
      <name val="Arial"/>
      <family val="2"/>
    </font>
    <font>
      <sz val="11"/>
      <color indexed="8"/>
      <name val="Calibri"/>
      <family val="2"/>
    </font>
    <font>
      <sz val="11"/>
      <color rgb="FFFF0000"/>
      <name val="Arial"/>
      <family val="2"/>
    </font>
    <font>
      <b/>
      <sz val="16"/>
      <name val="Arial"/>
      <family val="2"/>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79998168889431442"/>
        <bgColor indexed="64"/>
      </patternFill>
    </fill>
  </fills>
  <borders count="20">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auto="1"/>
      </right>
      <top style="thin">
        <color indexed="64"/>
      </top>
      <bottom/>
      <diagonal/>
    </border>
    <border>
      <left/>
      <right style="thin">
        <color auto="1"/>
      </right>
      <top/>
      <bottom style="thin">
        <color auto="1"/>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64"/>
      </left>
      <right style="thin">
        <color indexed="64"/>
      </right>
      <top style="medium">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676">
    <xf numFmtId="0" fontId="0" fillId="0" borderId="0" xfId="0"/>
    <xf numFmtId="0" fontId="2" fillId="2" borderId="0" xfId="0" applyFont="1" applyFill="1" applyBorder="1"/>
    <xf numFmtId="0" fontId="3" fillId="2" borderId="0" xfId="0" applyFont="1" applyFill="1" applyBorder="1" applyAlignment="1"/>
    <xf numFmtId="0" fontId="3" fillId="2" borderId="0" xfId="0" applyFont="1" applyFill="1" applyBorder="1" applyAlignment="1">
      <alignment wrapText="1"/>
    </xf>
    <xf numFmtId="0" fontId="4" fillId="2" borderId="0" xfId="0" applyFont="1" applyFill="1" applyBorder="1" applyAlignment="1"/>
    <xf numFmtId="4" fontId="3" fillId="2" borderId="0" xfId="0" applyNumberFormat="1" applyFont="1" applyFill="1" applyBorder="1" applyAlignment="1"/>
    <xf numFmtId="43" fontId="3" fillId="2" borderId="0" xfId="1" applyFont="1" applyFill="1" applyBorder="1" applyAlignment="1"/>
    <xf numFmtId="0" fontId="3" fillId="2" borderId="0" xfId="0" applyFont="1" applyFill="1" applyBorder="1" applyAlignment="1">
      <alignment horizontal="center"/>
    </xf>
    <xf numFmtId="4" fontId="3" fillId="2" borderId="0" xfId="1" applyNumberFormat="1"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vertical="distributed"/>
    </xf>
    <xf numFmtId="0" fontId="3" fillId="2" borderId="0" xfId="0" applyFont="1" applyFill="1" applyBorder="1" applyAlignment="1">
      <alignment horizontal="center" vertical="center"/>
    </xf>
    <xf numFmtId="0" fontId="3" fillId="7" borderId="2" xfId="0" applyFont="1" applyFill="1" applyBorder="1" applyAlignment="1">
      <alignment vertical="center" wrapText="1"/>
    </xf>
    <xf numFmtId="0" fontId="3" fillId="8" borderId="2" xfId="0" applyFont="1" applyFill="1" applyBorder="1" applyAlignment="1">
      <alignment vertical="center" wrapText="1"/>
    </xf>
    <xf numFmtId="0" fontId="3" fillId="9" borderId="2" xfId="0" applyFont="1" applyFill="1" applyBorder="1" applyAlignment="1">
      <alignment vertical="center" wrapText="1"/>
    </xf>
    <xf numFmtId="3" fontId="5" fillId="3" borderId="2" xfId="1" applyNumberFormat="1" applyFont="1" applyFill="1" applyBorder="1" applyAlignment="1">
      <alignment horizontal="center" vertical="center" wrapText="1"/>
    </xf>
    <xf numFmtId="3" fontId="5" fillId="3" borderId="2" xfId="1" applyNumberFormat="1" applyFont="1" applyFill="1" applyBorder="1" applyAlignment="1">
      <alignment horizontal="center" vertical="center"/>
    </xf>
    <xf numFmtId="4" fontId="5" fillId="3" borderId="2" xfId="1" applyNumberFormat="1" applyFont="1" applyFill="1" applyBorder="1" applyAlignment="1">
      <alignment horizontal="center" vertical="center" wrapText="1"/>
    </xf>
    <xf numFmtId="4" fontId="5" fillId="3" borderId="2" xfId="1" applyNumberFormat="1" applyFont="1" applyFill="1" applyBorder="1" applyAlignment="1">
      <alignment horizontal="center" vertical="center"/>
    </xf>
    <xf numFmtId="43" fontId="5" fillId="3" borderId="2" xfId="1" applyFont="1" applyFill="1" applyBorder="1" applyAlignment="1">
      <alignment horizontal="center" vertical="center" wrapText="1"/>
    </xf>
    <xf numFmtId="43" fontId="5" fillId="3" borderId="2" xfId="1" applyFont="1" applyFill="1" applyBorder="1" applyAlignment="1">
      <alignment horizontal="center" vertical="center"/>
    </xf>
    <xf numFmtId="4" fontId="5" fillId="3" borderId="3" xfId="1"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7" borderId="6" xfId="0" applyFont="1" applyFill="1" applyBorder="1" applyAlignment="1">
      <alignment vertical="center" wrapText="1"/>
    </xf>
    <xf numFmtId="0" fontId="3" fillId="8" borderId="7" xfId="0" applyFont="1" applyFill="1" applyBorder="1" applyAlignment="1">
      <alignment vertical="center" wrapText="1"/>
    </xf>
    <xf numFmtId="0" fontId="3" fillId="9" borderId="8"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0" fontId="5" fillId="3" borderId="8" xfId="0" applyFont="1" applyFill="1" applyBorder="1" applyAlignment="1">
      <alignment horizontal="center" vertical="center"/>
    </xf>
    <xf numFmtId="0" fontId="6" fillId="3" borderId="8" xfId="0" applyNumberFormat="1" applyFont="1" applyFill="1" applyBorder="1" applyAlignment="1">
      <alignment horizontal="center" vertical="center" wrapText="1"/>
    </xf>
    <xf numFmtId="10" fontId="5" fillId="3" borderId="6" xfId="0" applyNumberFormat="1" applyFont="1" applyFill="1" applyBorder="1" applyAlignment="1">
      <alignment horizontal="center" vertical="center" wrapText="1"/>
    </xf>
    <xf numFmtId="4" fontId="5" fillId="3" borderId="8" xfId="1" applyNumberFormat="1" applyFont="1" applyFill="1" applyBorder="1" applyAlignment="1">
      <alignment horizontal="center" vertical="center" wrapText="1"/>
    </xf>
    <xf numFmtId="3" fontId="5" fillId="4" borderId="8" xfId="1" applyNumberFormat="1" applyFont="1" applyFill="1" applyBorder="1" applyAlignment="1">
      <alignment horizontal="center" vertical="center"/>
    </xf>
    <xf numFmtId="3" fontId="5" fillId="4" borderId="8" xfId="0" applyNumberFormat="1" applyFont="1" applyFill="1" applyBorder="1" applyAlignment="1">
      <alignment horizontal="center" vertical="center" wrapText="1"/>
    </xf>
    <xf numFmtId="3" fontId="5" fillId="5" borderId="8" xfId="1" applyNumberFormat="1" applyFont="1" applyFill="1" applyBorder="1" applyAlignment="1">
      <alignment horizontal="center" vertical="center"/>
    </xf>
    <xf numFmtId="3" fontId="5" fillId="5" borderId="8" xfId="0" applyNumberFormat="1" applyFont="1" applyFill="1" applyBorder="1" applyAlignment="1">
      <alignment horizontal="center" vertical="center" wrapText="1"/>
    </xf>
    <xf numFmtId="3" fontId="5" fillId="6" borderId="8" xfId="1" applyNumberFormat="1" applyFont="1" applyFill="1" applyBorder="1" applyAlignment="1">
      <alignment horizontal="center" vertical="center"/>
    </xf>
    <xf numFmtId="3" fontId="5" fillId="6" borderId="8"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7" borderId="6" xfId="0" applyFont="1" applyFill="1" applyBorder="1" applyAlignment="1">
      <alignment horizontal="left" vertical="center" wrapText="1"/>
    </xf>
    <xf numFmtId="0" fontId="3" fillId="7" borderId="7" xfId="0" applyFont="1" applyFill="1" applyBorder="1" applyAlignment="1">
      <alignment vertical="center"/>
    </xf>
    <xf numFmtId="0" fontId="3" fillId="7" borderId="8" xfId="0" applyFont="1" applyFill="1" applyBorder="1" applyAlignment="1">
      <alignment horizontal="center" vertical="center"/>
    </xf>
    <xf numFmtId="0" fontId="3" fillId="7" borderId="8" xfId="0" applyFont="1" applyFill="1" applyBorder="1" applyAlignment="1">
      <alignment vertical="center"/>
    </xf>
    <xf numFmtId="0" fontId="3" fillId="7"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7" borderId="8" xfId="0" applyFont="1" applyFill="1" applyBorder="1" applyAlignment="1">
      <alignment vertical="center"/>
    </xf>
    <xf numFmtId="10" fontId="3" fillId="7" borderId="6" xfId="0" applyNumberFormat="1" applyFont="1" applyFill="1" applyBorder="1" applyAlignment="1">
      <alignment horizontal="center" vertical="center"/>
    </xf>
    <xf numFmtId="43" fontId="3" fillId="7" borderId="2" xfId="1" applyFont="1" applyFill="1" applyBorder="1" applyAlignment="1">
      <alignment vertical="center"/>
    </xf>
    <xf numFmtId="43" fontId="3" fillId="7" borderId="8" xfId="1" applyFont="1" applyFill="1" applyBorder="1" applyAlignment="1">
      <alignment vertical="center"/>
    </xf>
    <xf numFmtId="43" fontId="3" fillId="7" borderId="8" xfId="1" applyFont="1" applyFill="1" applyBorder="1" applyAlignment="1">
      <alignment horizontal="right" vertical="center"/>
    </xf>
    <xf numFmtId="43" fontId="3" fillId="7" borderId="4" xfId="1" applyFont="1" applyFill="1" applyBorder="1" applyAlignment="1">
      <alignment horizontal="right" vertical="center"/>
    </xf>
    <xf numFmtId="43" fontId="3" fillId="6" borderId="4" xfId="1" applyFont="1" applyFill="1" applyBorder="1" applyAlignment="1">
      <alignment horizontal="right" vertical="center"/>
    </xf>
    <xf numFmtId="43" fontId="3" fillId="7" borderId="4" xfId="1" applyFont="1" applyFill="1" applyBorder="1" applyAlignment="1">
      <alignment horizontal="center" vertical="center"/>
    </xf>
    <xf numFmtId="0" fontId="3" fillId="2" borderId="1" xfId="0" applyFont="1" applyFill="1" applyBorder="1" applyAlignment="1">
      <alignmen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vertical="center"/>
    </xf>
    <xf numFmtId="0" fontId="3" fillId="8" borderId="3"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4" xfId="0" applyFont="1" applyFill="1" applyBorder="1" applyAlignment="1">
      <alignment horizontal="center" vertical="center"/>
    </xf>
    <xf numFmtId="0" fontId="3" fillId="8" borderId="4" xfId="0" applyFont="1" applyFill="1" applyBorder="1" applyAlignment="1">
      <alignment vertical="center"/>
    </xf>
    <xf numFmtId="0" fontId="3" fillId="8" borderId="4"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8" borderId="4" xfId="0" applyFont="1" applyFill="1" applyBorder="1" applyAlignment="1">
      <alignment vertical="center"/>
    </xf>
    <xf numFmtId="10" fontId="3" fillId="8" borderId="2" xfId="0" applyNumberFormat="1" applyFont="1" applyFill="1" applyBorder="1" applyAlignment="1">
      <alignment horizontal="center" vertical="center"/>
    </xf>
    <xf numFmtId="43" fontId="3" fillId="8" borderId="2" xfId="1" applyFont="1" applyFill="1" applyBorder="1" applyAlignment="1">
      <alignment vertical="center"/>
    </xf>
    <xf numFmtId="43" fontId="3" fillId="8" borderId="4" xfId="1" applyFont="1" applyFill="1" applyBorder="1" applyAlignment="1">
      <alignment vertical="center"/>
    </xf>
    <xf numFmtId="43" fontId="3" fillId="8" borderId="4" xfId="1" applyFont="1" applyFill="1" applyBorder="1" applyAlignment="1">
      <alignment horizontal="right" vertical="center"/>
    </xf>
    <xf numFmtId="43" fontId="3" fillId="8" borderId="4" xfId="1" applyFont="1" applyFill="1" applyBorder="1" applyAlignment="1">
      <alignment horizontal="center" vertical="center"/>
    </xf>
    <xf numFmtId="0" fontId="3" fillId="2" borderId="9" xfId="0" applyFont="1" applyFill="1" applyBorder="1" applyAlignment="1">
      <alignment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vertical="center"/>
    </xf>
    <xf numFmtId="0" fontId="3" fillId="9" borderId="2" xfId="0" applyFont="1" applyFill="1" applyBorder="1" applyAlignment="1">
      <alignment horizontal="left" vertical="center" wrapText="1"/>
    </xf>
    <xf numFmtId="0" fontId="3" fillId="9" borderId="4" xfId="0" applyFont="1" applyFill="1" applyBorder="1" applyAlignment="1">
      <alignment horizontal="center" vertical="center" wrapText="1"/>
    </xf>
    <xf numFmtId="0" fontId="3" fillId="9" borderId="4" xfId="0" applyFont="1" applyFill="1" applyBorder="1" applyAlignment="1">
      <alignment vertical="center"/>
    </xf>
    <xf numFmtId="0" fontId="3" fillId="9" borderId="4"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4" xfId="0" applyFont="1" applyFill="1" applyBorder="1" applyAlignment="1">
      <alignment vertical="center"/>
    </xf>
    <xf numFmtId="10" fontId="3" fillId="9" borderId="2" xfId="0" applyNumberFormat="1" applyFont="1" applyFill="1" applyBorder="1" applyAlignment="1">
      <alignment horizontal="center" vertical="center"/>
    </xf>
    <xf numFmtId="43" fontId="3" fillId="9" borderId="2" xfId="1" applyFont="1" applyFill="1" applyBorder="1" applyAlignment="1">
      <alignment vertical="center"/>
    </xf>
    <xf numFmtId="43" fontId="3" fillId="9" borderId="4" xfId="1" applyFont="1" applyFill="1" applyBorder="1" applyAlignment="1">
      <alignment vertical="center"/>
    </xf>
    <xf numFmtId="43" fontId="3" fillId="9" borderId="4" xfId="1" applyFont="1" applyFill="1" applyBorder="1" applyAlignment="1">
      <alignment horizontal="right" vertical="center"/>
    </xf>
    <xf numFmtId="43" fontId="3" fillId="9" borderId="2" xfId="1" applyFont="1" applyFill="1" applyBorder="1" applyAlignment="1">
      <alignment horizontal="center" vertical="center"/>
    </xf>
    <xf numFmtId="0" fontId="2" fillId="2" borderId="2" xfId="0" applyFont="1" applyFill="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10" fontId="2" fillId="0" borderId="2" xfId="2"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43" fontId="2" fillId="0" borderId="3" xfId="1" applyFont="1" applyFill="1" applyBorder="1" applyAlignment="1">
      <alignment vertical="center" wrapText="1"/>
    </xf>
    <xf numFmtId="43" fontId="2" fillId="0" borderId="2" xfId="1" applyFont="1" applyFill="1" applyBorder="1" applyAlignment="1">
      <alignment vertical="center" wrapText="1"/>
    </xf>
    <xf numFmtId="43" fontId="2" fillId="0" borderId="2" xfId="1" applyFont="1" applyBorder="1" applyAlignment="1">
      <alignment vertical="center"/>
    </xf>
    <xf numFmtId="43" fontId="2" fillId="2" borderId="3" xfId="1" applyFont="1" applyFill="1" applyBorder="1" applyAlignment="1">
      <alignment horizontal="right" vertical="center" wrapText="1"/>
    </xf>
    <xf numFmtId="43" fontId="3" fillId="2" borderId="2" xfId="1" applyFont="1" applyFill="1" applyBorder="1" applyAlignment="1">
      <alignment horizontal="center" vertical="center"/>
    </xf>
    <xf numFmtId="0" fontId="2" fillId="2" borderId="0" xfId="0" applyFont="1" applyFill="1" applyBorder="1" applyAlignment="1">
      <alignment vertical="center"/>
    </xf>
    <xf numFmtId="0" fontId="2" fillId="2" borderId="2" xfId="0" applyFont="1" applyFill="1" applyBorder="1"/>
    <xf numFmtId="0" fontId="2" fillId="0" borderId="2" xfId="0" applyFont="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3" fontId="2" fillId="2" borderId="3" xfId="1" applyFont="1" applyFill="1" applyBorder="1" applyAlignment="1">
      <alignment horizontal="right"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justify" vertical="center" wrapText="1"/>
    </xf>
    <xf numFmtId="0" fontId="2" fillId="0" borderId="1" xfId="0" applyFont="1" applyBorder="1" applyAlignment="1">
      <alignment horizontal="center" vertical="center"/>
    </xf>
    <xf numFmtId="0" fontId="2" fillId="2" borderId="6" xfId="0" applyFont="1" applyFill="1" applyBorder="1" applyAlignment="1">
      <alignment horizontal="justify" vertical="center" wrapText="1"/>
    </xf>
    <xf numFmtId="0" fontId="2" fillId="2" borderId="6" xfId="0" applyFont="1" applyFill="1" applyBorder="1" applyAlignment="1">
      <alignment horizontal="center" vertical="center" wrapText="1"/>
    </xf>
    <xf numFmtId="0" fontId="2" fillId="0" borderId="6" xfId="0" applyFont="1" applyBorder="1" applyAlignment="1">
      <alignment horizontal="center" vertical="center"/>
    </xf>
    <xf numFmtId="0" fontId="2" fillId="2" borderId="2" xfId="0" applyFont="1" applyFill="1" applyBorder="1" applyAlignment="1">
      <alignment horizontal="center" vertical="center"/>
    </xf>
    <xf numFmtId="43" fontId="2" fillId="2" borderId="10" xfId="1" applyFont="1" applyFill="1" applyBorder="1" applyAlignment="1">
      <alignment horizontal="right" vertical="center"/>
    </xf>
    <xf numFmtId="43" fontId="2" fillId="2" borderId="10" xfId="1" applyFont="1" applyFill="1" applyBorder="1" applyAlignment="1">
      <alignment horizontal="right" vertical="center" wrapText="1"/>
    </xf>
    <xf numFmtId="0" fontId="2" fillId="0" borderId="0" xfId="0" applyFont="1" applyAlignment="1">
      <alignment horizontal="center" vertical="center"/>
    </xf>
    <xf numFmtId="43" fontId="2" fillId="2" borderId="7" xfId="1" applyFont="1" applyFill="1" applyBorder="1" applyAlignment="1">
      <alignment horizontal="right" vertical="center"/>
    </xf>
    <xf numFmtId="43" fontId="2" fillId="2" borderId="7" xfId="1" applyFont="1" applyFill="1" applyBorder="1" applyAlignment="1">
      <alignment horizontal="right" vertical="center" wrapText="1"/>
    </xf>
    <xf numFmtId="0" fontId="3" fillId="9" borderId="3" xfId="0" applyFont="1" applyFill="1" applyBorder="1" applyAlignment="1">
      <alignment horizontal="left" vertical="center"/>
    </xf>
    <xf numFmtId="0" fontId="3" fillId="9" borderId="4" xfId="0" applyFont="1" applyFill="1" applyBorder="1" applyAlignment="1">
      <alignment horizontal="left" vertical="center" wrapText="1"/>
    </xf>
    <xf numFmtId="0" fontId="3" fillId="9" borderId="4" xfId="0" applyFont="1" applyFill="1" applyBorder="1" applyAlignment="1">
      <alignment vertical="center" wrapText="1"/>
    </xf>
    <xf numFmtId="0" fontId="4" fillId="9" borderId="4" xfId="0" applyFont="1" applyFill="1" applyBorder="1" applyAlignment="1">
      <alignment horizontal="center" vertical="center" wrapText="1"/>
    </xf>
    <xf numFmtId="0" fontId="4" fillId="9" borderId="4" xfId="0" applyFont="1" applyFill="1" applyBorder="1" applyAlignment="1">
      <alignment vertical="center" wrapText="1"/>
    </xf>
    <xf numFmtId="10" fontId="3" fillId="9" borderId="4" xfId="0" applyNumberFormat="1" applyFont="1" applyFill="1" applyBorder="1" applyAlignment="1">
      <alignment horizontal="center" vertical="center" wrapText="1"/>
    </xf>
    <xf numFmtId="43" fontId="3" fillId="9" borderId="2" xfId="1" applyFont="1" applyFill="1" applyBorder="1" applyAlignment="1">
      <alignment vertical="center" wrapText="1"/>
    </xf>
    <xf numFmtId="43" fontId="3" fillId="9" borderId="4" xfId="1" applyFont="1" applyFill="1" applyBorder="1" applyAlignment="1">
      <alignment vertical="center" wrapText="1"/>
    </xf>
    <xf numFmtId="43" fontId="3" fillId="9" borderId="4" xfId="1" applyFont="1" applyFill="1" applyBorder="1" applyAlignment="1">
      <alignment horizontal="right" vertical="center" wrapText="1"/>
    </xf>
    <xf numFmtId="43" fontId="3" fillId="9" borderId="2" xfId="1"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Border="1" applyAlignment="1"/>
    <xf numFmtId="43" fontId="2" fillId="0" borderId="3" xfId="1" applyFont="1" applyBorder="1" applyAlignment="1">
      <alignment vertical="center"/>
    </xf>
    <xf numFmtId="43" fontId="2" fillId="0" borderId="2" xfId="1" applyFont="1" applyFill="1" applyBorder="1" applyAlignment="1">
      <alignment vertical="center"/>
    </xf>
    <xf numFmtId="43" fontId="2" fillId="0" borderId="2" xfId="1" applyFont="1" applyBorder="1" applyAlignment="1">
      <alignment vertical="center" wrapText="1"/>
    </xf>
    <xf numFmtId="43" fontId="2" fillId="0" borderId="3" xfId="1" applyFont="1" applyBorder="1" applyAlignment="1">
      <alignment horizontal="right" vertical="center"/>
    </xf>
    <xf numFmtId="0" fontId="2" fillId="2" borderId="9" xfId="0" applyFont="1" applyFill="1" applyBorder="1" applyAlignment="1">
      <alignment vertical="center" wrapText="1"/>
    </xf>
    <xf numFmtId="0" fontId="2" fillId="0" borderId="9" xfId="0" applyFont="1" applyBorder="1" applyAlignment="1"/>
    <xf numFmtId="43" fontId="2" fillId="2" borderId="3" xfId="1" applyFont="1" applyFill="1" applyBorder="1" applyAlignment="1">
      <alignment vertical="center"/>
    </xf>
    <xf numFmtId="43" fontId="2" fillId="2" borderId="2" xfId="1" applyFont="1" applyFill="1" applyBorder="1" applyAlignment="1">
      <alignment vertical="center"/>
    </xf>
    <xf numFmtId="43" fontId="2" fillId="2" borderId="2" xfId="1" applyFont="1" applyFill="1" applyBorder="1" applyAlignment="1">
      <alignment vertical="center" wrapText="1"/>
    </xf>
    <xf numFmtId="0" fontId="2" fillId="2" borderId="6" xfId="0" applyFont="1" applyFill="1" applyBorder="1" applyAlignment="1">
      <alignment vertical="center" wrapText="1"/>
    </xf>
    <xf numFmtId="0" fontId="2" fillId="0" borderId="3" xfId="0" applyNumberFormat="1" applyFont="1" applyFill="1" applyBorder="1" applyAlignment="1">
      <alignment horizontal="center" vertical="center" wrapText="1"/>
    </xf>
    <xf numFmtId="43" fontId="2" fillId="0" borderId="2" xfId="1" applyFont="1" applyBorder="1" applyAlignment="1">
      <alignment horizontal="right" vertical="center"/>
    </xf>
    <xf numFmtId="0" fontId="2" fillId="2" borderId="3" xfId="0" applyFont="1" applyFill="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164" fontId="2" fillId="2" borderId="2" xfId="2" applyNumberFormat="1" applyFont="1" applyFill="1" applyBorder="1" applyAlignment="1">
      <alignment horizontal="justify" vertical="center" wrapText="1"/>
    </xf>
    <xf numFmtId="0" fontId="2" fillId="0" borderId="3"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43" fontId="2" fillId="2" borderId="3" xfId="1" applyFont="1" applyFill="1" applyBorder="1" applyAlignment="1">
      <alignment vertical="center" wrapText="1"/>
    </xf>
    <xf numFmtId="0" fontId="2" fillId="2" borderId="9" xfId="0" applyFont="1" applyFill="1" applyBorder="1" applyAlignment="1">
      <alignment horizontal="justify" vertical="center" wrapText="1"/>
    </xf>
    <xf numFmtId="0" fontId="3" fillId="9" borderId="3" xfId="0" applyFont="1" applyFill="1" applyBorder="1" applyAlignment="1">
      <alignment horizontal="center" vertical="center" wrapText="1"/>
    </xf>
    <xf numFmtId="43" fontId="2" fillId="9" borderId="3" xfId="1" applyFont="1" applyFill="1" applyBorder="1" applyAlignment="1">
      <alignment horizontal="right" vertical="center"/>
    </xf>
    <xf numFmtId="10" fontId="2" fillId="0" borderId="3" xfId="2" applyNumberFormat="1" applyFont="1" applyFill="1" applyBorder="1" applyAlignment="1">
      <alignment horizontal="center" vertical="center" wrapText="1"/>
    </xf>
    <xf numFmtId="0" fontId="3" fillId="2" borderId="6" xfId="0" applyFont="1" applyFill="1" applyBorder="1" applyAlignment="1">
      <alignment vertical="center" wrapText="1"/>
    </xf>
    <xf numFmtId="0" fontId="3" fillId="7" borderId="2" xfId="0" applyFont="1" applyFill="1" applyBorder="1" applyAlignment="1">
      <alignment horizontal="left" vertical="center" wrapText="1"/>
    </xf>
    <xf numFmtId="0" fontId="3" fillId="7" borderId="3" xfId="0" applyFont="1" applyFill="1" applyBorder="1" applyAlignment="1">
      <alignment vertical="center"/>
    </xf>
    <xf numFmtId="0" fontId="3" fillId="7" borderId="4" xfId="0" applyFont="1" applyFill="1" applyBorder="1" applyAlignment="1">
      <alignment horizontal="center" vertical="center"/>
    </xf>
    <xf numFmtId="0" fontId="3" fillId="7" borderId="4" xfId="0" applyFont="1" applyFill="1" applyBorder="1" applyAlignment="1">
      <alignment vertical="center"/>
    </xf>
    <xf numFmtId="0" fontId="3"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4" xfId="0" applyFont="1" applyFill="1" applyBorder="1" applyAlignment="1">
      <alignment vertical="center"/>
    </xf>
    <xf numFmtId="10" fontId="3" fillId="7" borderId="4" xfId="0" applyNumberFormat="1" applyFont="1" applyFill="1" applyBorder="1" applyAlignment="1">
      <alignment horizontal="center" vertical="center"/>
    </xf>
    <xf numFmtId="43" fontId="3" fillId="7" borderId="4" xfId="1" applyFont="1" applyFill="1" applyBorder="1" applyAlignment="1">
      <alignment vertical="center"/>
    </xf>
    <xf numFmtId="43" fontId="3" fillId="7" borderId="2" xfId="1" applyFont="1" applyFill="1" applyBorder="1" applyAlignment="1">
      <alignment horizontal="center" vertical="center"/>
    </xf>
    <xf numFmtId="0" fontId="2" fillId="2" borderId="1" xfId="0" applyFont="1" applyFill="1" applyBorder="1" applyAlignment="1">
      <alignment vertical="center"/>
    </xf>
    <xf numFmtId="0" fontId="3" fillId="8" borderId="3" xfId="0" applyFont="1" applyFill="1" applyBorder="1" applyAlignment="1">
      <alignment horizontal="left" vertical="center"/>
    </xf>
    <xf numFmtId="10" fontId="3" fillId="8" borderId="4" xfId="0" applyNumberFormat="1" applyFont="1" applyFill="1" applyBorder="1" applyAlignment="1">
      <alignment horizontal="center" vertical="center"/>
    </xf>
    <xf numFmtId="43" fontId="3" fillId="8" borderId="2" xfId="1" applyFont="1" applyFill="1" applyBorder="1" applyAlignment="1">
      <alignment horizontal="center" vertical="center"/>
    </xf>
    <xf numFmtId="0" fontId="2" fillId="2" borderId="9" xfId="0" applyFont="1" applyFill="1" applyBorder="1" applyAlignment="1">
      <alignment vertical="center"/>
    </xf>
    <xf numFmtId="10" fontId="3" fillId="9" borderId="4"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10" fontId="2" fillId="0" borderId="2" xfId="0" applyNumberFormat="1" applyFont="1" applyFill="1" applyBorder="1" applyAlignment="1">
      <alignment horizontal="center" vertical="center" wrapText="1"/>
    </xf>
    <xf numFmtId="9" fontId="2" fillId="0" borderId="1" xfId="0" applyNumberFormat="1" applyFont="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horizontal="center" vertical="center"/>
    </xf>
    <xf numFmtId="0" fontId="2" fillId="2" borderId="14" xfId="0" applyFont="1" applyFill="1" applyBorder="1" applyAlignment="1">
      <alignment vertical="justify"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vertical="center"/>
    </xf>
    <xf numFmtId="0" fontId="3" fillId="9" borderId="8" xfId="0" applyFont="1" applyFill="1" applyBorder="1" applyAlignment="1">
      <alignment vertical="center"/>
    </xf>
    <xf numFmtId="0" fontId="3" fillId="9" borderId="5" xfId="0" applyFont="1" applyFill="1" applyBorder="1" applyAlignment="1">
      <alignment vertical="center"/>
    </xf>
    <xf numFmtId="43" fontId="3" fillId="9" borderId="3" xfId="1" applyFont="1" applyFill="1" applyBorder="1" applyAlignment="1">
      <alignment vertical="center"/>
    </xf>
    <xf numFmtId="43" fontId="3" fillId="9" borderId="2" xfId="1" applyFont="1" applyFill="1" applyBorder="1" applyAlignment="1">
      <alignment horizontal="right" vertical="center"/>
    </xf>
    <xf numFmtId="43" fontId="3" fillId="9" borderId="3" xfId="1" applyFont="1" applyFill="1" applyBorder="1" applyAlignment="1">
      <alignment horizontal="right" vertical="center"/>
    </xf>
    <xf numFmtId="0" fontId="2" fillId="2" borderId="10" xfId="0" applyFont="1" applyFill="1" applyBorder="1" applyAlignment="1">
      <alignment horizontal="center" vertical="center" wrapText="1"/>
    </xf>
    <xf numFmtId="10" fontId="2" fillId="0" borderId="3" xfId="0" applyNumberFormat="1" applyFont="1" applyFill="1" applyBorder="1" applyAlignment="1">
      <alignment horizontal="center" vertical="center" wrapText="1"/>
    </xf>
    <xf numFmtId="43" fontId="2" fillId="2" borderId="2" xfId="1" applyFont="1" applyFill="1" applyBorder="1" applyAlignment="1">
      <alignment horizontal="right" vertical="center"/>
    </xf>
    <xf numFmtId="0" fontId="2" fillId="0" borderId="9" xfId="0" applyFont="1" applyBorder="1" applyAlignment="1">
      <alignment horizontal="center" vertical="center" wrapText="1"/>
    </xf>
    <xf numFmtId="0" fontId="2" fillId="2" borderId="14" xfId="0" applyFont="1" applyFill="1" applyBorder="1" applyAlignment="1">
      <alignment horizontal="justify" vertical="center"/>
    </xf>
    <xf numFmtId="0" fontId="2" fillId="2" borderId="14" xfId="0" applyFont="1" applyFill="1" applyBorder="1"/>
    <xf numFmtId="0" fontId="2" fillId="0" borderId="6" xfId="0" applyFont="1" applyBorder="1" applyAlignment="1">
      <alignment horizontal="center" vertical="center" wrapText="1"/>
    </xf>
    <xf numFmtId="9" fontId="2" fillId="0" borderId="14" xfId="0" applyNumberFormat="1" applyFont="1" applyBorder="1" applyAlignment="1">
      <alignment horizontal="center" vertical="center"/>
    </xf>
    <xf numFmtId="0" fontId="2" fillId="0" borderId="2" xfId="0" applyFont="1" applyFill="1" applyBorder="1"/>
    <xf numFmtId="0" fontId="2" fillId="0" borderId="2" xfId="0" applyFont="1" applyFill="1" applyBorder="1" applyAlignment="1">
      <alignment vertical="center"/>
    </xf>
    <xf numFmtId="0" fontId="2" fillId="0" borderId="9" xfId="0" applyFont="1" applyFill="1" applyBorder="1" applyAlignment="1">
      <alignment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43" fontId="2" fillId="0" borderId="3" xfId="1" applyFont="1" applyFill="1" applyBorder="1" applyAlignment="1">
      <alignment horizontal="right" vertical="center"/>
    </xf>
    <xf numFmtId="43" fontId="2" fillId="0" borderId="2" xfId="1" applyFont="1" applyFill="1" applyBorder="1" applyAlignment="1">
      <alignment horizontal="right" vertical="center"/>
    </xf>
    <xf numFmtId="43" fontId="3" fillId="0" borderId="2" xfId="1" applyFont="1" applyFill="1" applyBorder="1" applyAlignment="1">
      <alignment horizontal="center" vertical="center"/>
    </xf>
    <xf numFmtId="0" fontId="2" fillId="0" borderId="0" xfId="0" applyFont="1" applyFill="1" applyBorder="1"/>
    <xf numFmtId="0" fontId="3" fillId="9" borderId="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43" fontId="2" fillId="0" borderId="7" xfId="1" applyFont="1" applyFill="1" applyBorder="1" applyAlignment="1">
      <alignment vertical="center" wrapText="1"/>
    </xf>
    <xf numFmtId="43" fontId="2" fillId="2" borderId="7" xfId="1" applyFont="1" applyFill="1" applyBorder="1" applyAlignment="1">
      <alignment vertical="center"/>
    </xf>
    <xf numFmtId="0" fontId="2" fillId="0" borderId="6" xfId="0" applyFont="1" applyBorder="1" applyAlignment="1">
      <alignment horizontal="center" wrapText="1"/>
    </xf>
    <xf numFmtId="3" fontId="2" fillId="2" borderId="2" xfId="0" applyNumberFormat="1" applyFont="1" applyFill="1" applyBorder="1" applyAlignment="1">
      <alignment horizontal="center" vertical="center" wrapText="1"/>
    </xf>
    <xf numFmtId="9" fontId="2" fillId="0" borderId="9" xfId="0" applyNumberFormat="1" applyFont="1" applyBorder="1" applyAlignment="1">
      <alignment horizontal="center" vertical="center"/>
    </xf>
    <xf numFmtId="0" fontId="4" fillId="9" borderId="8" xfId="0" applyFont="1" applyFill="1" applyBorder="1" applyAlignment="1">
      <alignment vertical="center" wrapText="1"/>
    </xf>
    <xf numFmtId="0" fontId="3" fillId="9" borderId="8" xfId="0" applyFont="1" applyFill="1" applyBorder="1" applyAlignment="1">
      <alignment horizontal="center" vertical="center" wrapText="1"/>
    </xf>
    <xf numFmtId="0" fontId="2" fillId="0" borderId="2" xfId="0" applyFont="1" applyBorder="1" applyAlignment="1">
      <alignment horizontal="center" wrapText="1"/>
    </xf>
    <xf numFmtId="10" fontId="2" fillId="0" borderId="7" xfId="2" applyNumberFormat="1" applyFont="1" applyFill="1" applyBorder="1" applyAlignment="1">
      <alignment horizontal="center" vertical="center" wrapText="1"/>
    </xf>
    <xf numFmtId="0" fontId="2" fillId="2" borderId="6" xfId="0" applyFont="1" applyFill="1" applyBorder="1" applyAlignment="1">
      <alignment horizontal="justify" wrapText="1"/>
    </xf>
    <xf numFmtId="10" fontId="2" fillId="0" borderId="9" xfId="0" applyNumberFormat="1" applyFont="1" applyBorder="1" applyAlignment="1">
      <alignment horizontal="center" vertical="center"/>
    </xf>
    <xf numFmtId="0" fontId="2" fillId="0" borderId="6" xfId="0" applyFont="1" applyBorder="1" applyAlignment="1">
      <alignment vertical="center"/>
    </xf>
    <xf numFmtId="9" fontId="2" fillId="0" borderId="6" xfId="0" applyNumberFormat="1" applyFont="1" applyBorder="1" applyAlignment="1">
      <alignment vertical="center"/>
    </xf>
    <xf numFmtId="0" fontId="2" fillId="9" borderId="2" xfId="0" applyFont="1" applyFill="1" applyBorder="1" applyAlignment="1">
      <alignment vertical="center"/>
    </xf>
    <xf numFmtId="0" fontId="2" fillId="9" borderId="0" xfId="0" applyFont="1" applyFill="1" applyBorder="1" applyAlignment="1">
      <alignment horizontal="center" vertical="center" wrapText="1"/>
    </xf>
    <xf numFmtId="0" fontId="3" fillId="9" borderId="3" xfId="0" applyFont="1" applyFill="1" applyBorder="1" applyAlignment="1">
      <alignment vertical="center" wrapText="1"/>
    </xf>
    <xf numFmtId="43" fontId="2" fillId="0" borderId="1" xfId="1" applyFont="1" applyFill="1" applyBorder="1" applyAlignment="1">
      <alignment vertical="center" wrapText="1"/>
    </xf>
    <xf numFmtId="43" fontId="2" fillId="0" borderId="3" xfId="1" applyFont="1" applyFill="1" applyBorder="1" applyAlignment="1">
      <alignment vertical="center"/>
    </xf>
    <xf numFmtId="0" fontId="3" fillId="9" borderId="3" xfId="0" applyFont="1" applyFill="1" applyBorder="1" applyAlignment="1">
      <alignment horizontal="justify" vertical="center" wrapText="1"/>
    </xf>
    <xf numFmtId="0" fontId="3" fillId="9" borderId="4" xfId="0" applyFont="1" applyFill="1" applyBorder="1" applyAlignment="1">
      <alignment horizontal="justify" vertical="center" wrapText="1"/>
    </xf>
    <xf numFmtId="0" fontId="4" fillId="9" borderId="4" xfId="0" applyNumberFormat="1" applyFont="1" applyFill="1" applyBorder="1" applyAlignment="1">
      <alignment horizontal="center" vertical="center" wrapText="1"/>
    </xf>
    <xf numFmtId="0" fontId="3" fillId="9" borderId="4" xfId="0" applyNumberFormat="1" applyFont="1" applyFill="1" applyBorder="1" applyAlignment="1">
      <alignment horizontal="center" vertical="center" wrapText="1"/>
    </xf>
    <xf numFmtId="0" fontId="2" fillId="2" borderId="2" xfId="0" applyFont="1" applyFill="1" applyBorder="1" applyAlignment="1">
      <alignment horizontal="justify" wrapText="1"/>
    </xf>
    <xf numFmtId="0" fontId="2" fillId="2" borderId="6" xfId="0" applyFont="1" applyFill="1" applyBorder="1" applyAlignment="1">
      <alignment vertical="center"/>
    </xf>
    <xf numFmtId="0" fontId="2" fillId="2"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0" fontId="2" fillId="0" borderId="10" xfId="2"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3" fontId="2" fillId="0" borderId="10" xfId="1" applyFont="1" applyFill="1" applyBorder="1" applyAlignment="1">
      <alignment vertical="center" wrapText="1"/>
    </xf>
    <xf numFmtId="43" fontId="2" fillId="0" borderId="0" xfId="1" applyFont="1" applyFill="1" applyBorder="1" applyAlignment="1">
      <alignment vertical="center"/>
    </xf>
    <xf numFmtId="0" fontId="2" fillId="0" borderId="1" xfId="0" applyFont="1" applyFill="1" applyBorder="1" applyAlignment="1">
      <alignment vertical="center"/>
    </xf>
    <xf numFmtId="0" fontId="2" fillId="0" borderId="5" xfId="0" applyFont="1" applyFill="1" applyBorder="1" applyAlignment="1">
      <alignment horizontal="center" vertical="center"/>
    </xf>
    <xf numFmtId="0" fontId="2" fillId="0" borderId="2" xfId="0" applyFont="1" applyFill="1" applyBorder="1" applyAlignment="1">
      <alignment horizontal="justify" vertical="center"/>
    </xf>
    <xf numFmtId="0" fontId="2" fillId="0" borderId="2" xfId="0" applyFont="1" applyFill="1" applyBorder="1" applyAlignment="1">
      <alignment horizontal="center" vertical="center"/>
    </xf>
    <xf numFmtId="43" fontId="2" fillId="10" borderId="2" xfId="1" applyFont="1" applyFill="1" applyBorder="1" applyAlignment="1">
      <alignment vertical="center"/>
    </xf>
    <xf numFmtId="9" fontId="2" fillId="0" borderId="6" xfId="0" applyNumberFormat="1" applyFont="1" applyBorder="1" applyAlignment="1">
      <alignment horizontal="center" vertical="center"/>
    </xf>
    <xf numFmtId="0" fontId="8" fillId="2" borderId="3" xfId="0" applyFont="1" applyFill="1" applyBorder="1" applyAlignment="1">
      <alignment horizontal="center" vertical="center" wrapText="1"/>
    </xf>
    <xf numFmtId="9" fontId="2" fillId="0" borderId="2" xfId="0" applyNumberFormat="1" applyFont="1" applyBorder="1" applyAlignment="1">
      <alignment horizontal="center" vertical="center"/>
    </xf>
    <xf numFmtId="43" fontId="2" fillId="10" borderId="3" xfId="1" applyFont="1" applyFill="1" applyBorder="1" applyAlignment="1">
      <alignment vertical="center"/>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justify" vertical="center" wrapText="1"/>
    </xf>
    <xf numFmtId="9" fontId="2" fillId="0" borderId="0" xfId="0" applyNumberFormat="1" applyFont="1" applyAlignment="1">
      <alignment horizontal="center" vertical="center"/>
    </xf>
    <xf numFmtId="0" fontId="2" fillId="0" borderId="5" xfId="0" applyFont="1" applyBorder="1" applyAlignment="1">
      <alignment horizontal="center" vertical="center"/>
    </xf>
    <xf numFmtId="9" fontId="2" fillId="0" borderId="2"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0" fontId="2" fillId="0" borderId="6" xfId="0" applyFont="1" applyFill="1" applyBorder="1" applyAlignment="1">
      <alignment vertical="center"/>
    </xf>
    <xf numFmtId="0" fontId="2" fillId="0" borderId="0" xfId="0" applyFont="1" applyAlignment="1">
      <alignment horizontal="center" vertical="center" wrapText="1"/>
    </xf>
    <xf numFmtId="0" fontId="3" fillId="7" borderId="4" xfId="0" applyFont="1" applyFill="1" applyBorder="1" applyAlignment="1">
      <alignment vertical="center" wrapText="1"/>
    </xf>
    <xf numFmtId="0" fontId="4" fillId="7" borderId="4" xfId="0" applyFont="1" applyFill="1" applyBorder="1" applyAlignment="1">
      <alignment horizontal="center" vertical="center" wrapText="1"/>
    </xf>
    <xf numFmtId="0" fontId="4" fillId="7" borderId="4" xfId="0" applyFont="1" applyFill="1" applyBorder="1" applyAlignment="1">
      <alignment vertical="center" wrapText="1"/>
    </xf>
    <xf numFmtId="10" fontId="3" fillId="7" borderId="4" xfId="0" applyNumberFormat="1" applyFont="1" applyFill="1" applyBorder="1" applyAlignment="1">
      <alignment horizontal="center" vertical="center" wrapText="1"/>
    </xf>
    <xf numFmtId="43" fontId="3" fillId="7" borderId="2" xfId="1" applyFont="1" applyFill="1" applyBorder="1" applyAlignment="1">
      <alignment vertical="center" wrapText="1"/>
    </xf>
    <xf numFmtId="43" fontId="3" fillId="7" borderId="3" xfId="1" applyFont="1" applyFill="1" applyBorder="1" applyAlignment="1">
      <alignment vertical="center" wrapText="1"/>
    </xf>
    <xf numFmtId="43" fontId="3" fillId="7" borderId="2" xfId="1" applyFont="1" applyFill="1" applyBorder="1" applyAlignment="1">
      <alignment horizontal="right" vertical="center" wrapText="1"/>
    </xf>
    <xf numFmtId="43" fontId="3" fillId="7" borderId="2" xfId="1" applyFont="1" applyFill="1" applyBorder="1" applyAlignment="1">
      <alignment horizontal="center" vertical="center" wrapText="1"/>
    </xf>
    <xf numFmtId="3" fontId="2" fillId="2" borderId="2" xfId="0" applyNumberFormat="1" applyFont="1" applyFill="1" applyBorder="1" applyAlignment="1">
      <alignment horizontal="justify" vertical="center" wrapText="1"/>
    </xf>
    <xf numFmtId="3" fontId="2" fillId="0" borderId="3" xfId="0" applyNumberFormat="1" applyFont="1" applyFill="1" applyBorder="1" applyAlignment="1">
      <alignment horizontal="center" vertical="center" wrapText="1"/>
    </xf>
    <xf numFmtId="10" fontId="2" fillId="0" borderId="3" xfId="2" applyNumberFormat="1" applyFont="1" applyFill="1" applyBorder="1" applyAlignment="1">
      <alignment horizontal="center" vertical="center"/>
    </xf>
    <xf numFmtId="43" fontId="2" fillId="11" borderId="2" xfId="1" applyFont="1" applyFill="1" applyBorder="1" applyAlignment="1">
      <alignment vertical="center"/>
    </xf>
    <xf numFmtId="43" fontId="3" fillId="9" borderId="4" xfId="1" applyFont="1" applyFill="1" applyBorder="1" applyAlignment="1">
      <alignment horizontal="left" vertical="center"/>
    </xf>
    <xf numFmtId="0" fontId="2" fillId="0" borderId="2" xfId="0" applyFont="1" applyFill="1" applyBorder="1" applyAlignment="1">
      <alignment vertical="center" wrapText="1"/>
    </xf>
    <xf numFmtId="3" fontId="2" fillId="0" borderId="3" xfId="0"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10" fontId="2" fillId="0" borderId="2" xfId="0" applyNumberFormat="1" applyFont="1" applyBorder="1" applyAlignment="1">
      <alignment horizontal="center" vertical="center"/>
    </xf>
    <xf numFmtId="0" fontId="2" fillId="0" borderId="2" xfId="0" applyFont="1" applyBorder="1" applyAlignment="1">
      <alignment horizontal="justify" vertical="center" wrapText="1"/>
    </xf>
    <xf numFmtId="3" fontId="2" fillId="0" borderId="2"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0" fontId="3" fillId="9" borderId="2" xfId="0" applyFont="1" applyFill="1" applyBorder="1" applyAlignment="1">
      <alignment horizontal="center" vertical="center"/>
    </xf>
    <xf numFmtId="3" fontId="2" fillId="2" borderId="3" xfId="0" applyNumberFormat="1" applyFont="1" applyFill="1" applyBorder="1" applyAlignment="1">
      <alignment horizontal="center" vertical="center" wrapText="1"/>
    </xf>
    <xf numFmtId="43" fontId="2" fillId="0" borderId="2" xfId="1" applyFont="1" applyFill="1" applyBorder="1" applyAlignment="1">
      <alignment horizontal="right" vertical="center" wrapText="1"/>
    </xf>
    <xf numFmtId="0" fontId="2" fillId="9" borderId="4" xfId="0" applyFont="1" applyFill="1" applyBorder="1" applyAlignment="1">
      <alignment vertical="center"/>
    </xf>
    <xf numFmtId="3" fontId="8" fillId="0" borderId="3" xfId="0" applyNumberFormat="1" applyFont="1" applyFill="1" applyBorder="1" applyAlignment="1">
      <alignment horizontal="center" vertical="center"/>
    </xf>
    <xf numFmtId="0" fontId="2" fillId="2" borderId="6" xfId="0" applyNumberFormat="1" applyFont="1" applyFill="1" applyBorder="1" applyAlignment="1">
      <alignment horizontal="justify" vertical="center" wrapText="1"/>
    </xf>
    <xf numFmtId="0" fontId="2" fillId="0" borderId="8" xfId="0" applyFont="1" applyBorder="1" applyAlignment="1">
      <alignment horizontal="center" vertical="center"/>
    </xf>
    <xf numFmtId="9" fontId="2" fillId="2" borderId="6" xfId="0" applyNumberFormat="1" applyFont="1" applyFill="1" applyBorder="1" applyAlignment="1">
      <alignment horizontal="center" vertical="center" wrapText="1"/>
    </xf>
    <xf numFmtId="0" fontId="2" fillId="0" borderId="9" xfId="0" applyFont="1" applyBorder="1" applyAlignment="1">
      <alignment horizontal="center" wrapText="1"/>
    </xf>
    <xf numFmtId="3" fontId="2" fillId="2" borderId="2" xfId="0" applyNumberFormat="1" applyFont="1" applyFill="1" applyBorder="1" applyAlignment="1">
      <alignment horizontal="justify" vertical="center"/>
    </xf>
    <xf numFmtId="10" fontId="2" fillId="0" borderId="3" xfId="0" applyNumberFormat="1" applyFont="1" applyFill="1" applyBorder="1" applyAlignment="1">
      <alignment horizontal="center" vertical="center"/>
    </xf>
    <xf numFmtId="0" fontId="2" fillId="0" borderId="0" xfId="0" applyFont="1" applyAlignment="1">
      <alignment horizontal="center" wrapText="1"/>
    </xf>
    <xf numFmtId="0" fontId="2" fillId="2" borderId="9" xfId="0" applyFont="1" applyFill="1" applyBorder="1" applyAlignment="1">
      <alignment horizontal="center" vertical="top" wrapText="1"/>
    </xf>
    <xf numFmtId="0" fontId="2" fillId="0" borderId="0" xfId="0" applyFont="1" applyAlignment="1">
      <alignment horizontal="center" vertical="top"/>
    </xf>
    <xf numFmtId="0" fontId="2" fillId="2" borderId="2" xfId="0" applyNumberFormat="1" applyFont="1" applyFill="1" applyBorder="1" applyAlignment="1">
      <alignment horizontal="justify" vertical="center" wrapText="1"/>
    </xf>
    <xf numFmtId="0" fontId="2" fillId="0" borderId="4" xfId="0" applyFont="1" applyBorder="1" applyAlignment="1">
      <alignment horizontal="center" vertical="center"/>
    </xf>
    <xf numFmtId="9" fontId="2" fillId="2" borderId="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3" fontId="2" fillId="0" borderId="1" xfId="0" applyNumberFormat="1" applyFont="1" applyFill="1" applyBorder="1" applyAlignment="1">
      <alignment horizontal="center" vertical="center"/>
    </xf>
    <xf numFmtId="43" fontId="2" fillId="2" borderId="1" xfId="1" applyFont="1" applyFill="1" applyBorder="1" applyAlignment="1">
      <alignment horizontal="right" vertical="center" wrapText="1"/>
    </xf>
    <xf numFmtId="43" fontId="2" fillId="2" borderId="9" xfId="1" applyFont="1" applyFill="1" applyBorder="1" applyAlignment="1">
      <alignment horizontal="right" vertical="center" wrapText="1"/>
    </xf>
    <xf numFmtId="43" fontId="2" fillId="2" borderId="6" xfId="1" applyFont="1" applyFill="1" applyBorder="1" applyAlignment="1">
      <alignment horizontal="right" vertical="center" wrapText="1"/>
    </xf>
    <xf numFmtId="0" fontId="2" fillId="2" borderId="14" xfId="0" applyFont="1" applyFill="1" applyBorder="1" applyAlignment="1">
      <alignment horizontal="justify" vertical="center" wrapText="1"/>
    </xf>
    <xf numFmtId="10" fontId="2" fillId="0" borderId="3" xfId="1" applyNumberFormat="1" applyFont="1" applyFill="1" applyBorder="1" applyAlignment="1">
      <alignment horizontal="center" vertical="center"/>
    </xf>
    <xf numFmtId="0" fontId="2" fillId="0" borderId="3" xfId="0" applyFont="1" applyFill="1" applyBorder="1" applyAlignment="1">
      <alignment horizontal="center" vertical="center"/>
    </xf>
    <xf numFmtId="0" fontId="3" fillId="9" borderId="10" xfId="0" applyFont="1" applyFill="1" applyBorder="1" applyAlignment="1">
      <alignment horizontal="left" vertical="center" wrapText="1"/>
    </xf>
    <xf numFmtId="0" fontId="3" fillId="9" borderId="16" xfId="0" applyFont="1" applyFill="1" applyBorder="1" applyAlignment="1">
      <alignment vertical="center"/>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0" fontId="2" fillId="0" borderId="1" xfId="2" applyNumberFormat="1" applyFont="1" applyFill="1" applyBorder="1" applyAlignment="1">
      <alignment horizontal="center" vertical="center"/>
    </xf>
    <xf numFmtId="0" fontId="2" fillId="0" borderId="1" xfId="0" applyFont="1" applyFill="1" applyBorder="1" applyAlignment="1">
      <alignment horizontal="center" vertical="center" wrapText="1"/>
    </xf>
    <xf numFmtId="43" fontId="2" fillId="0" borderId="1" xfId="1" applyFont="1" applyFill="1" applyBorder="1" applyAlignment="1">
      <alignment vertical="center"/>
    </xf>
    <xf numFmtId="43" fontId="3" fillId="2" borderId="1" xfId="1" applyFont="1" applyFill="1" applyBorder="1" applyAlignment="1">
      <alignment horizontal="center" vertical="center"/>
    </xf>
    <xf numFmtId="0" fontId="2" fillId="2"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43" fontId="2" fillId="0" borderId="10" xfId="1" applyFont="1" applyFill="1" applyBorder="1" applyAlignment="1">
      <alignment vertical="center"/>
    </xf>
    <xf numFmtId="43" fontId="2" fillId="2" borderId="10" xfId="1" applyFont="1" applyFill="1" applyBorder="1" applyAlignment="1">
      <alignment vertical="center" wrapText="1"/>
    </xf>
    <xf numFmtId="43" fontId="2" fillId="2" borderId="2" xfId="1" applyFont="1" applyFill="1" applyBorder="1" applyAlignment="1">
      <alignment horizontal="right" vertical="center" wrapText="1"/>
    </xf>
    <xf numFmtId="0" fontId="3" fillId="9" borderId="1"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6" xfId="0" applyFont="1" applyFill="1" applyBorder="1" applyAlignment="1">
      <alignment horizontal="center" vertical="center"/>
    </xf>
    <xf numFmtId="0" fontId="4" fillId="9" borderId="16" xfId="0" applyFont="1" applyFill="1" applyBorder="1" applyAlignment="1">
      <alignment horizontal="center" vertical="center"/>
    </xf>
    <xf numFmtId="0" fontId="4" fillId="9" borderId="16" xfId="0" applyFont="1" applyFill="1" applyBorder="1" applyAlignment="1">
      <alignment vertical="center"/>
    </xf>
    <xf numFmtId="10" fontId="3" fillId="9" borderId="16"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xf>
    <xf numFmtId="43" fontId="2" fillId="0" borderId="1" xfId="1" applyFont="1" applyFill="1" applyBorder="1" applyAlignment="1">
      <alignment horizontal="right" vertical="center"/>
    </xf>
    <xf numFmtId="0" fontId="3" fillId="9" borderId="16" xfId="0" applyFont="1" applyFill="1" applyBorder="1" applyAlignment="1">
      <alignment horizontal="left" vertical="center" wrapText="1"/>
    </xf>
    <xf numFmtId="9" fontId="2" fillId="2" borderId="2" xfId="0" applyNumberFormat="1" applyFont="1" applyFill="1" applyBorder="1" applyAlignment="1">
      <alignment horizontal="justify" vertical="center" wrapText="1"/>
    </xf>
    <xf numFmtId="9" fontId="2" fillId="2" borderId="3" xfId="0" applyNumberFormat="1" applyFont="1" applyFill="1" applyBorder="1" applyAlignment="1">
      <alignment horizontal="center" vertical="center"/>
    </xf>
    <xf numFmtId="9" fontId="2" fillId="2" borderId="2" xfId="2" applyFont="1" applyFill="1" applyBorder="1" applyAlignment="1">
      <alignment horizontal="center" vertical="center" wrapText="1"/>
    </xf>
    <xf numFmtId="9" fontId="2" fillId="0" borderId="2" xfId="0" applyNumberFormat="1" applyFont="1" applyFill="1" applyBorder="1" applyAlignment="1">
      <alignment horizontal="center" vertical="center"/>
    </xf>
    <xf numFmtId="9" fontId="2" fillId="2" borderId="2" xfId="0" applyNumberFormat="1" applyFont="1" applyFill="1" applyBorder="1" applyAlignment="1">
      <alignment horizontal="center" vertical="center"/>
    </xf>
    <xf numFmtId="0" fontId="2" fillId="2" borderId="9" xfId="0" applyFont="1" applyFill="1" applyBorder="1" applyAlignment="1">
      <alignment horizontal="center" vertical="justify"/>
    </xf>
    <xf numFmtId="10" fontId="2" fillId="2" borderId="3" xfId="2" applyNumberFormat="1" applyFont="1" applyFill="1" applyBorder="1" applyAlignment="1">
      <alignment horizontal="center" vertical="center"/>
    </xf>
    <xf numFmtId="0" fontId="2" fillId="2" borderId="7" xfId="0" applyFont="1" applyFill="1" applyBorder="1" applyAlignment="1">
      <alignment vertical="center"/>
    </xf>
    <xf numFmtId="0" fontId="3" fillId="8" borderId="7" xfId="0" applyFont="1" applyFill="1" applyBorder="1" applyAlignment="1">
      <alignment horizontal="left" vertical="center"/>
    </xf>
    <xf numFmtId="0" fontId="3" fillId="8" borderId="7" xfId="0" applyFont="1" applyFill="1" applyBorder="1" applyAlignment="1">
      <alignment horizontal="left" vertical="center" wrapText="1"/>
    </xf>
    <xf numFmtId="0" fontId="3" fillId="8" borderId="8" xfId="0" applyFont="1" applyFill="1" applyBorder="1" applyAlignment="1">
      <alignment horizontal="left" vertical="center" wrapText="1"/>
    </xf>
    <xf numFmtId="0" fontId="3" fillId="9" borderId="10" xfId="0" applyFont="1" applyFill="1" applyBorder="1" applyAlignment="1">
      <alignment vertical="center"/>
    </xf>
    <xf numFmtId="0" fontId="2" fillId="2" borderId="2" xfId="0" applyFont="1" applyFill="1" applyBorder="1" applyAlignment="1">
      <alignment horizontal="justify" vertical="center"/>
    </xf>
    <xf numFmtId="0" fontId="2" fillId="2" borderId="5" xfId="0" applyFont="1" applyFill="1" applyBorder="1" applyAlignment="1">
      <alignment horizontal="center" vertical="center"/>
    </xf>
    <xf numFmtId="0" fontId="2" fillId="0" borderId="13" xfId="0" applyFont="1" applyFill="1" applyBorder="1" applyAlignment="1">
      <alignment horizontal="center" vertical="center"/>
    </xf>
    <xf numFmtId="0" fontId="2" fillId="2" borderId="13" xfId="0" applyFont="1" applyFill="1" applyBorder="1" applyAlignment="1">
      <alignment horizontal="center" vertical="center"/>
    </xf>
    <xf numFmtId="0" fontId="3" fillId="9" borderId="0" xfId="0" applyFont="1" applyFill="1" applyBorder="1" applyAlignment="1">
      <alignment horizontal="left" vertical="center" wrapText="1"/>
    </xf>
    <xf numFmtId="0" fontId="2" fillId="0" borderId="4" xfId="0" applyFont="1" applyBorder="1" applyAlignment="1">
      <alignment horizontal="justify" vertical="center" wrapText="1"/>
    </xf>
    <xf numFmtId="43" fontId="2" fillId="0" borderId="1" xfId="1" applyFont="1" applyFill="1" applyBorder="1" applyAlignment="1">
      <alignment horizontal="right" vertical="center" wrapText="1"/>
    </xf>
    <xf numFmtId="0" fontId="2" fillId="0" borderId="0" xfId="0" applyFont="1" applyAlignment="1">
      <alignment horizontal="justify" vertical="center" wrapText="1"/>
    </xf>
    <xf numFmtId="43" fontId="2" fillId="0" borderId="6" xfId="1" applyFont="1" applyFill="1" applyBorder="1" applyAlignment="1">
      <alignment horizontal="right" vertical="center" wrapText="1"/>
    </xf>
    <xf numFmtId="0" fontId="2" fillId="0" borderId="10" xfId="0" applyFont="1" applyFill="1" applyBorder="1" applyAlignment="1">
      <alignment horizontal="center" vertical="center"/>
    </xf>
    <xf numFmtId="0" fontId="2" fillId="2" borderId="10" xfId="0" applyFont="1" applyFill="1" applyBorder="1" applyAlignment="1">
      <alignment horizontal="center" vertical="center"/>
    </xf>
    <xf numFmtId="10" fontId="2" fillId="0" borderId="10" xfId="2" applyNumberFormat="1" applyFont="1" applyFill="1" applyBorder="1" applyAlignment="1">
      <alignment horizontal="center" vertical="center"/>
    </xf>
    <xf numFmtId="0" fontId="3" fillId="8" borderId="3" xfId="0" applyFont="1" applyFill="1" applyBorder="1" applyAlignment="1">
      <alignment horizontal="center" vertical="center"/>
    </xf>
    <xf numFmtId="0" fontId="2" fillId="2" borderId="2" xfId="0" applyFont="1" applyFill="1" applyBorder="1" applyAlignment="1">
      <alignment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1" fontId="2" fillId="2" borderId="3"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0" fontId="2" fillId="2" borderId="8" xfId="0" applyFont="1" applyFill="1" applyBorder="1" applyAlignment="1">
      <alignment horizontal="justify" vertical="center" wrapText="1"/>
    </xf>
    <xf numFmtId="9" fontId="2" fillId="0" borderId="12" xfId="0" applyNumberFormat="1" applyFont="1" applyBorder="1" applyAlignment="1">
      <alignment horizontal="center" vertic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9" fontId="2" fillId="0" borderId="1" xfId="0" applyNumberFormat="1" applyFont="1" applyBorder="1" applyAlignment="1">
      <alignment horizontal="center" vertical="center" wrapText="1"/>
    </xf>
    <xf numFmtId="37" fontId="2" fillId="2" borderId="3" xfId="1" applyNumberFormat="1" applyFont="1" applyFill="1" applyBorder="1" applyAlignment="1">
      <alignment horizontal="center" vertical="center"/>
    </xf>
    <xf numFmtId="37" fontId="2" fillId="0" borderId="2" xfId="1" applyNumberFormat="1" applyFont="1" applyFill="1" applyBorder="1" applyAlignment="1">
      <alignment horizontal="left" vertical="center" indent="2"/>
    </xf>
    <xf numFmtId="37" fontId="2" fillId="2" borderId="2" xfId="1" applyNumberFormat="1" applyFont="1" applyFill="1" applyBorder="1" applyAlignment="1">
      <alignment horizontal="left" vertical="center" indent="2"/>
    </xf>
    <xf numFmtId="37" fontId="2" fillId="2" borderId="2" xfId="1" applyNumberFormat="1" applyFont="1" applyFill="1" applyBorder="1" applyAlignment="1">
      <alignment horizontal="center" vertical="center"/>
    </xf>
    <xf numFmtId="9" fontId="2" fillId="0" borderId="9" xfId="0" applyNumberFormat="1" applyFont="1" applyBorder="1" applyAlignment="1">
      <alignment horizontal="center" vertical="center" wrapText="1"/>
    </xf>
    <xf numFmtId="37" fontId="2" fillId="0" borderId="2" xfId="1" applyNumberFormat="1" applyFont="1" applyFill="1" applyBorder="1" applyAlignment="1">
      <alignment horizontal="center" vertical="center"/>
    </xf>
    <xf numFmtId="37" fontId="2" fillId="2" borderId="1" xfId="1" applyNumberFormat="1" applyFont="1" applyFill="1" applyBorder="1" applyAlignment="1">
      <alignment horizontal="center" vertical="center"/>
    </xf>
    <xf numFmtId="37" fontId="2" fillId="0" borderId="1" xfId="1" applyNumberFormat="1" applyFont="1" applyFill="1" applyBorder="1" applyAlignment="1">
      <alignment horizontal="center" vertical="center"/>
    </xf>
    <xf numFmtId="10" fontId="2" fillId="2" borderId="1" xfId="2" applyNumberFormat="1" applyFont="1" applyFill="1" applyBorder="1" applyAlignment="1">
      <alignment horizontal="center" vertical="center"/>
    </xf>
    <xf numFmtId="43" fontId="2" fillId="2" borderId="1" xfId="1" applyFont="1" applyFill="1" applyBorder="1" applyAlignment="1">
      <alignment vertical="center"/>
    </xf>
    <xf numFmtId="43" fontId="2" fillId="2" borderId="1" xfId="1" applyFont="1" applyFill="1" applyBorder="1" applyAlignment="1">
      <alignment horizontal="right" vertical="center"/>
    </xf>
    <xf numFmtId="43" fontId="2" fillId="2" borderId="10" xfId="1" applyFont="1" applyFill="1" applyBorder="1" applyAlignment="1">
      <alignment vertical="center"/>
    </xf>
    <xf numFmtId="37" fontId="2" fillId="0" borderId="3" xfId="1" applyNumberFormat="1" applyFont="1" applyFill="1" applyBorder="1" applyAlignment="1">
      <alignment horizontal="center" vertical="center"/>
    </xf>
    <xf numFmtId="9" fontId="2" fillId="0" borderId="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6" xfId="0" applyFont="1" applyFill="1" applyBorder="1" applyAlignment="1">
      <alignment vertical="center" wrapText="1"/>
    </xf>
    <xf numFmtId="0" fontId="3" fillId="9" borderId="16" xfId="0" applyFont="1" applyFill="1" applyBorder="1" applyAlignment="1">
      <alignment vertical="center" wrapText="1"/>
    </xf>
    <xf numFmtId="1" fontId="2" fillId="2" borderId="2" xfId="2" applyNumberFormat="1" applyFont="1" applyFill="1" applyBorder="1" applyAlignment="1">
      <alignment horizontal="center" vertical="center" wrapText="1"/>
    </xf>
    <xf numFmtId="10" fontId="2" fillId="0" borderId="7" xfId="2" applyNumberFormat="1" applyFont="1" applyFill="1" applyBorder="1" applyAlignment="1">
      <alignment horizontal="center" vertical="center"/>
    </xf>
    <xf numFmtId="43" fontId="2" fillId="0" borderId="7" xfId="1" applyFont="1" applyFill="1" applyBorder="1" applyAlignment="1">
      <alignment vertical="center"/>
    </xf>
    <xf numFmtId="43" fontId="3" fillId="9" borderId="3" xfId="1" applyFont="1" applyFill="1" applyBorder="1" applyAlignment="1">
      <alignment horizontal="right" vertical="center" wrapText="1"/>
    </xf>
    <xf numFmtId="0" fontId="2" fillId="2" borderId="2" xfId="0" applyFont="1" applyFill="1" applyBorder="1" applyAlignment="1">
      <alignment horizontal="justify" vertical="top" wrapText="1"/>
    </xf>
    <xf numFmtId="37" fontId="2" fillId="2" borderId="7" xfId="1" applyNumberFormat="1" applyFont="1" applyFill="1" applyBorder="1" applyAlignment="1">
      <alignment horizontal="center" vertical="center"/>
    </xf>
    <xf numFmtId="37" fontId="2" fillId="0" borderId="15" xfId="1" applyNumberFormat="1" applyFont="1" applyFill="1" applyBorder="1" applyAlignment="1">
      <alignment horizontal="center" vertical="center"/>
    </xf>
    <xf numFmtId="37" fontId="2" fillId="2" borderId="15" xfId="1" applyNumberFormat="1" applyFont="1" applyFill="1" applyBorder="1" applyAlignment="1">
      <alignment horizontal="center" vertical="center"/>
    </xf>
    <xf numFmtId="1" fontId="2" fillId="0" borderId="1" xfId="1" applyNumberFormat="1" applyFont="1" applyFill="1" applyBorder="1" applyAlignment="1">
      <alignment horizontal="center" vertical="center"/>
    </xf>
    <xf numFmtId="43" fontId="2" fillId="0" borderId="3" xfId="1" applyFont="1" applyFill="1" applyBorder="1" applyAlignment="1">
      <alignment horizontal="right" vertical="center" wrapText="1"/>
    </xf>
    <xf numFmtId="0" fontId="2" fillId="0" borderId="6" xfId="0" applyFont="1" applyFill="1" applyBorder="1" applyAlignment="1">
      <alignment horizontal="justify" vertical="center" wrapText="1"/>
    </xf>
    <xf numFmtId="165" fontId="2" fillId="0" borderId="6" xfId="1" applyNumberFormat="1" applyFont="1" applyFill="1" applyBorder="1" applyAlignment="1">
      <alignment vertical="center" wrapText="1"/>
    </xf>
    <xf numFmtId="37" fontId="2" fillId="2" borderId="14" xfId="1" applyNumberFormat="1" applyFont="1" applyFill="1" applyBorder="1" applyAlignment="1">
      <alignment horizontal="center" vertical="center"/>
    </xf>
    <xf numFmtId="165" fontId="2" fillId="2" borderId="2" xfId="1"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xf>
    <xf numFmtId="9" fontId="2" fillId="2" borderId="6" xfId="0" applyNumberFormat="1" applyFont="1" applyFill="1" applyBorder="1" applyAlignment="1">
      <alignment horizontal="center" vertical="center"/>
    </xf>
    <xf numFmtId="37" fontId="2" fillId="2" borderId="10" xfId="1" applyNumberFormat="1" applyFont="1" applyFill="1" applyBorder="1" applyAlignment="1">
      <alignment horizontal="center" vertical="center"/>
    </xf>
    <xf numFmtId="0" fontId="2" fillId="0" borderId="7" xfId="0" applyFont="1" applyFill="1" applyBorder="1" applyAlignment="1">
      <alignment horizontal="center" vertical="center"/>
    </xf>
    <xf numFmtId="10" fontId="2" fillId="2" borderId="7" xfId="2" applyNumberFormat="1" applyFont="1" applyFill="1" applyBorder="1" applyAlignment="1">
      <alignment horizontal="center" vertical="center"/>
    </xf>
    <xf numFmtId="43" fontId="2" fillId="0" borderId="17" xfId="1" applyFont="1" applyFill="1" applyBorder="1" applyAlignment="1">
      <alignment horizontal="right"/>
    </xf>
    <xf numFmtId="0" fontId="2" fillId="0" borderId="12" xfId="0" applyFont="1" applyBorder="1" applyAlignment="1">
      <alignment horizontal="center" vertical="center"/>
    </xf>
    <xf numFmtId="43" fontId="2" fillId="2" borderId="6" xfId="1" applyFont="1" applyFill="1" applyBorder="1" applyAlignment="1">
      <alignment horizontal="right" vertical="center"/>
    </xf>
    <xf numFmtId="0" fontId="2" fillId="0" borderId="6" xfId="0" applyFont="1" applyBorder="1" applyAlignment="1">
      <alignment horizontal="justify" vertical="center"/>
    </xf>
    <xf numFmtId="10" fontId="2" fillId="2" borderId="2" xfId="2" applyNumberFormat="1" applyFont="1" applyFill="1" applyBorder="1" applyAlignment="1">
      <alignment horizontal="center" vertical="center"/>
    </xf>
    <xf numFmtId="0" fontId="2" fillId="0" borderId="1" xfId="0" applyFont="1" applyFill="1" applyBorder="1" applyAlignment="1">
      <alignment horizontal="justify" vertical="justify" wrapText="1"/>
    </xf>
    <xf numFmtId="0" fontId="2" fillId="0" borderId="14"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10" fontId="2" fillId="2" borderId="14" xfId="2" applyNumberFormat="1" applyFont="1" applyFill="1" applyBorder="1" applyAlignment="1">
      <alignment horizontal="center" vertical="center"/>
    </xf>
    <xf numFmtId="43" fontId="2" fillId="2" borderId="14" xfId="1" applyFont="1" applyFill="1" applyBorder="1" applyAlignment="1">
      <alignment vertical="center"/>
    </xf>
    <xf numFmtId="9" fontId="2" fillId="2" borderId="0" xfId="0" applyNumberFormat="1" applyFont="1" applyFill="1" applyAlignment="1">
      <alignment horizontal="center" vertical="center"/>
    </xf>
    <xf numFmtId="9" fontId="2" fillId="2" borderId="3"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 fontId="3" fillId="8" borderId="2" xfId="0" applyNumberFormat="1" applyFont="1" applyFill="1" applyBorder="1" applyAlignment="1">
      <alignment horizontal="left" vertical="center" wrapText="1"/>
    </xf>
    <xf numFmtId="2" fontId="3" fillId="8" borderId="3" xfId="0" applyNumberFormat="1" applyFont="1" applyFill="1" applyBorder="1" applyAlignment="1">
      <alignment horizontal="left" vertical="center" wrapText="1"/>
    </xf>
    <xf numFmtId="0" fontId="2" fillId="0" borderId="1" xfId="0" applyFont="1" applyBorder="1" applyAlignment="1">
      <alignment horizontal="justify" vertical="center" wrapText="1"/>
    </xf>
    <xf numFmtId="10" fontId="2" fillId="2" borderId="3" xfId="1" applyNumberFormat="1" applyFont="1" applyFill="1" applyBorder="1" applyAlignment="1">
      <alignment horizontal="center" vertical="center"/>
    </xf>
    <xf numFmtId="0" fontId="2" fillId="0" borderId="9" xfId="0" applyFont="1" applyBorder="1" applyAlignment="1">
      <alignment horizontal="justify" vertical="center" wrapText="1"/>
    </xf>
    <xf numFmtId="43" fontId="2" fillId="0" borderId="0" xfId="1" applyFont="1" applyAlignment="1">
      <alignment vertical="center"/>
    </xf>
    <xf numFmtId="43" fontId="2" fillId="0" borderId="0" xfId="1" applyFont="1" applyBorder="1" applyAlignment="1">
      <alignment horizontal="right" vertical="center"/>
    </xf>
    <xf numFmtId="0" fontId="2" fillId="0" borderId="6" xfId="0" applyFont="1" applyBorder="1" applyAlignment="1">
      <alignment horizontal="justify" vertical="center" wrapText="1"/>
    </xf>
    <xf numFmtId="9" fontId="2" fillId="0" borderId="6" xfId="0" applyNumberFormat="1" applyFont="1" applyFill="1" applyBorder="1" applyAlignment="1">
      <alignment horizontal="center" vertical="center" wrapText="1"/>
    </xf>
    <xf numFmtId="1" fontId="2" fillId="2" borderId="2" xfId="2" applyNumberFormat="1" applyFont="1" applyFill="1" applyBorder="1" applyAlignment="1">
      <alignment horizontal="justify" vertical="center" wrapText="1"/>
    </xf>
    <xf numFmtId="9" fontId="2" fillId="2" borderId="2" xfId="2" applyFont="1" applyFill="1" applyBorder="1" applyAlignment="1">
      <alignment horizontal="justify" vertical="center" wrapText="1"/>
    </xf>
    <xf numFmtId="9" fontId="2" fillId="2" borderId="2" xfId="4" applyFont="1" applyFill="1" applyBorder="1" applyAlignment="1">
      <alignment horizontal="center" vertical="center" wrapText="1"/>
    </xf>
    <xf numFmtId="10" fontId="2" fillId="2" borderId="3" xfId="2"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2" borderId="16" xfId="0" applyFont="1" applyFill="1" applyBorder="1" applyAlignment="1">
      <alignment vertical="center"/>
    </xf>
    <xf numFmtId="0" fontId="2" fillId="0" borderId="14" xfId="0" applyFont="1" applyBorder="1" applyAlignment="1">
      <alignment horizontal="center" vertical="center"/>
    </xf>
    <xf numFmtId="10" fontId="2" fillId="2" borderId="2" xfId="0" applyNumberFormat="1" applyFont="1" applyFill="1" applyBorder="1" applyAlignment="1">
      <alignment horizontal="center" vertical="center"/>
    </xf>
    <xf numFmtId="0" fontId="2" fillId="2" borderId="2" xfId="0" applyFont="1" applyFill="1" applyBorder="1" applyAlignment="1">
      <alignment horizontal="center" vertical="justify"/>
    </xf>
    <xf numFmtId="0" fontId="2" fillId="0" borderId="2" xfId="0" applyFont="1" applyBorder="1" applyAlignment="1">
      <alignment horizontal="justify" wrapText="1"/>
    </xf>
    <xf numFmtId="10" fontId="2" fillId="0" borderId="5" xfId="0" applyNumberFormat="1" applyFont="1" applyBorder="1" applyAlignment="1">
      <alignment horizontal="center" vertical="center"/>
    </xf>
    <xf numFmtId="9" fontId="2" fillId="0" borderId="5" xfId="0" applyNumberFormat="1" applyFont="1" applyBorder="1" applyAlignment="1">
      <alignment horizontal="center" vertical="center"/>
    </xf>
    <xf numFmtId="43" fontId="2" fillId="0" borderId="18" xfId="1" applyFont="1" applyFill="1" applyBorder="1" applyAlignment="1">
      <alignment vertical="center"/>
    </xf>
    <xf numFmtId="43" fontId="3" fillId="2" borderId="4" xfId="1" applyFont="1" applyFill="1" applyBorder="1" applyAlignment="1">
      <alignment horizontal="right" vertical="center"/>
    </xf>
    <xf numFmtId="9" fontId="2" fillId="2" borderId="9" xfId="0" applyNumberFormat="1" applyFont="1" applyFill="1" applyBorder="1" applyAlignment="1">
      <alignment horizontal="center" vertical="center"/>
    </xf>
    <xf numFmtId="43" fontId="2" fillId="2" borderId="18" xfId="1" applyFont="1" applyFill="1" applyBorder="1" applyAlignment="1">
      <alignment vertical="center"/>
    </xf>
    <xf numFmtId="43" fontId="3" fillId="8" borderId="2" xfId="1" applyFont="1" applyFill="1" applyBorder="1" applyAlignment="1">
      <alignment horizontal="right" vertical="center"/>
    </xf>
    <xf numFmtId="0" fontId="2" fillId="2" borderId="3" xfId="0" applyFont="1" applyFill="1" applyBorder="1" applyAlignment="1">
      <alignment vertical="center" wrapText="1"/>
    </xf>
    <xf numFmtId="0" fontId="2" fillId="2" borderId="7" xfId="0" applyFont="1" applyFill="1" applyBorder="1" applyAlignment="1">
      <alignment vertical="center" wrapText="1"/>
    </xf>
    <xf numFmtId="0" fontId="2" fillId="2" borderId="7" xfId="0" applyFont="1" applyFill="1" applyBorder="1" applyAlignment="1">
      <alignment horizontal="center" vertical="center"/>
    </xf>
    <xf numFmtId="0" fontId="2" fillId="2" borderId="2" xfId="0" applyNumberFormat="1" applyFont="1" applyFill="1" applyBorder="1" applyAlignment="1">
      <alignment horizontal="center" vertical="center"/>
    </xf>
    <xf numFmtId="0" fontId="4" fillId="9" borderId="2" xfId="0" applyFont="1" applyFill="1" applyBorder="1" applyAlignment="1">
      <alignment vertical="center"/>
    </xf>
    <xf numFmtId="0" fontId="3" fillId="9" borderId="2" xfId="0" applyFont="1" applyFill="1" applyBorder="1" applyAlignment="1">
      <alignment vertical="center"/>
    </xf>
    <xf numFmtId="1" fontId="2" fillId="0" borderId="9" xfId="0" applyNumberFormat="1" applyFont="1" applyFill="1" applyBorder="1" applyAlignment="1">
      <alignment horizontal="center" vertical="center"/>
    </xf>
    <xf numFmtId="1" fontId="2" fillId="2" borderId="9" xfId="0" applyNumberFormat="1" applyFont="1" applyFill="1" applyBorder="1" applyAlignment="1">
      <alignment horizontal="center" vertical="center"/>
    </xf>
    <xf numFmtId="10" fontId="2" fillId="0" borderId="2" xfId="2"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43" fontId="2" fillId="2" borderId="5" xfId="1" applyFont="1" applyFill="1" applyBorder="1" applyAlignment="1">
      <alignment vertical="center"/>
    </xf>
    <xf numFmtId="0" fontId="2" fillId="2" borderId="1" xfId="0" applyFont="1" applyFill="1" applyBorder="1" applyAlignment="1">
      <alignment horizontal="justify" vertical="center"/>
    </xf>
    <xf numFmtId="10" fontId="2" fillId="2" borderId="1" xfId="2" applyNumberFormat="1" applyFont="1" applyFill="1" applyBorder="1" applyAlignment="1">
      <alignment horizontal="center" vertical="center" wrapText="1"/>
    </xf>
    <xf numFmtId="0" fontId="2" fillId="2" borderId="9" xfId="0" applyFont="1" applyFill="1" applyBorder="1" applyAlignment="1">
      <alignment horizontal="justify" vertical="center"/>
    </xf>
    <xf numFmtId="10" fontId="2" fillId="2" borderId="9" xfId="2"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xf>
    <xf numFmtId="0" fontId="2" fillId="2" borderId="6" xfId="0" applyFont="1" applyFill="1" applyBorder="1" applyAlignment="1">
      <alignment horizontal="justify" vertical="center"/>
    </xf>
    <xf numFmtId="10" fontId="2" fillId="2" borderId="6" xfId="2" applyNumberFormat="1" applyFont="1" applyFill="1" applyBorder="1" applyAlignment="1">
      <alignment horizontal="center" vertical="center" wrapText="1"/>
    </xf>
    <xf numFmtId="0" fontId="4" fillId="9" borderId="0" xfId="0" applyFont="1" applyFill="1" applyBorder="1" applyAlignment="1">
      <alignment vertical="center"/>
    </xf>
    <xf numFmtId="0" fontId="3" fillId="9" borderId="0" xfId="0" applyFont="1" applyFill="1" applyBorder="1" applyAlignment="1">
      <alignment vertical="center"/>
    </xf>
    <xf numFmtId="0" fontId="3" fillId="9" borderId="0" xfId="0" applyFont="1" applyFill="1" applyBorder="1" applyAlignment="1">
      <alignment horizontal="center" vertical="center"/>
    </xf>
    <xf numFmtId="10" fontId="2" fillId="2" borderId="1" xfId="0" applyNumberFormat="1" applyFont="1" applyFill="1" applyBorder="1" applyAlignment="1">
      <alignment horizontal="center" vertical="center"/>
    </xf>
    <xf numFmtId="10" fontId="2" fillId="2" borderId="9" xfId="0" applyNumberFormat="1" applyFont="1" applyFill="1" applyBorder="1" applyAlignment="1">
      <alignment horizontal="center" vertical="center"/>
    </xf>
    <xf numFmtId="10" fontId="2" fillId="2" borderId="6" xfId="0" applyNumberFormat="1" applyFont="1" applyFill="1" applyBorder="1" applyAlignment="1">
      <alignment horizontal="center" vertical="center"/>
    </xf>
    <xf numFmtId="0" fontId="4" fillId="9" borderId="8" xfId="0" applyFont="1" applyFill="1" applyBorder="1" applyAlignment="1">
      <alignment vertical="center"/>
    </xf>
    <xf numFmtId="0" fontId="3" fillId="9"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10" xfId="0" applyFont="1" applyFill="1" applyBorder="1" applyAlignment="1">
      <alignment horizontal="justify" vertical="center" wrapText="1"/>
    </xf>
    <xf numFmtId="9" fontId="2" fillId="2" borderId="2" xfId="0" applyNumberFormat="1" applyFont="1" applyFill="1" applyBorder="1" applyAlignment="1">
      <alignment horizontal="justify" vertical="center"/>
    </xf>
    <xf numFmtId="0" fontId="4" fillId="9" borderId="8" xfId="0" applyFont="1" applyFill="1" applyBorder="1" applyAlignment="1">
      <alignment horizontal="center" vertical="center"/>
    </xf>
    <xf numFmtId="9" fontId="2" fillId="0" borderId="6" xfId="0" applyNumberFormat="1" applyFont="1" applyFill="1" applyBorder="1" applyAlignment="1">
      <alignment horizontal="center" vertical="center"/>
    </xf>
    <xf numFmtId="0" fontId="2" fillId="0" borderId="12" xfId="0" applyFont="1" applyFill="1" applyBorder="1" applyAlignment="1">
      <alignment horizontal="center" vertical="center"/>
    </xf>
    <xf numFmtId="2" fontId="2" fillId="0" borderId="14"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10" fontId="3" fillId="9" borderId="8" xfId="0" applyNumberFormat="1" applyFont="1" applyFill="1" applyBorder="1" applyAlignment="1">
      <alignment horizontal="center" vertical="center"/>
    </xf>
    <xf numFmtId="0" fontId="3" fillId="8" borderId="8" xfId="0" applyFont="1" applyFill="1" applyBorder="1" applyAlignment="1">
      <alignment horizontal="center" vertical="center" wrapText="1"/>
    </xf>
    <xf numFmtId="0" fontId="3" fillId="8"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8" xfId="0" applyFont="1" applyFill="1" applyBorder="1" applyAlignment="1">
      <alignment vertical="center"/>
    </xf>
    <xf numFmtId="0" fontId="3" fillId="8" borderId="8" xfId="0" applyFont="1" applyFill="1" applyBorder="1" applyAlignment="1">
      <alignment vertical="center"/>
    </xf>
    <xf numFmtId="43" fontId="2" fillId="0" borderId="3" xfId="1" applyFont="1" applyBorder="1" applyAlignment="1">
      <alignment vertical="center" wrapText="1"/>
    </xf>
    <xf numFmtId="43" fontId="3" fillId="0" borderId="3" xfId="1" applyFont="1" applyBorder="1" applyAlignment="1">
      <alignment vertical="center"/>
    </xf>
    <xf numFmtId="43" fontId="3" fillId="0" borderId="2" xfId="1" applyFont="1" applyBorder="1" applyAlignment="1">
      <alignment vertical="center"/>
    </xf>
    <xf numFmtId="43" fontId="2" fillId="0" borderId="6" xfId="1" applyFont="1" applyBorder="1" applyAlignment="1">
      <alignment vertical="center"/>
    </xf>
    <xf numFmtId="0" fontId="2" fillId="0" borderId="9" xfId="0" applyFont="1" applyFill="1" applyBorder="1" applyAlignment="1">
      <alignment horizontal="justify" vertical="center" wrapText="1"/>
    </xf>
    <xf numFmtId="0" fontId="2" fillId="0" borderId="0" xfId="0" applyNumberFormat="1" applyFont="1" applyFill="1" applyBorder="1" applyAlignment="1">
      <alignment horizontal="center" vertical="center"/>
    </xf>
    <xf numFmtId="0" fontId="2" fillId="2" borderId="3" xfId="0" applyFont="1" applyFill="1" applyBorder="1" applyAlignment="1">
      <alignment vertical="center"/>
    </xf>
    <xf numFmtId="0" fontId="3" fillId="2" borderId="0" xfId="0" applyFont="1" applyFill="1" applyBorder="1"/>
    <xf numFmtId="0" fontId="3" fillId="12" borderId="2" xfId="0" applyFont="1" applyFill="1" applyBorder="1"/>
    <xf numFmtId="0" fontId="3" fillId="12" borderId="2" xfId="0" applyFont="1" applyFill="1" applyBorder="1" applyAlignment="1">
      <alignment horizontal="center" vertical="center"/>
    </xf>
    <xf numFmtId="0" fontId="3" fillId="12" borderId="2" xfId="0" applyFont="1" applyFill="1" applyBorder="1" applyAlignment="1">
      <alignment horizontal="center" vertical="center" wrapText="1"/>
    </xf>
    <xf numFmtId="0" fontId="3" fillId="12" borderId="2" xfId="0" applyFont="1" applyFill="1" applyBorder="1" applyAlignment="1">
      <alignment horizontal="justify" vertical="center"/>
    </xf>
    <xf numFmtId="0" fontId="3" fillId="12" borderId="2" xfId="0" applyFont="1" applyFill="1" applyBorder="1" applyAlignment="1">
      <alignment horizontal="justify"/>
    </xf>
    <xf numFmtId="0" fontId="3" fillId="12" borderId="2" xfId="0" applyFont="1" applyFill="1" applyBorder="1" applyAlignment="1">
      <alignment horizontal="center" wrapText="1"/>
    </xf>
    <xf numFmtId="0" fontId="3" fillId="12" borderId="2" xfId="0" applyFont="1" applyFill="1" applyBorder="1" applyAlignment="1">
      <alignment horizontal="center"/>
    </xf>
    <xf numFmtId="0" fontId="4" fillId="12" borderId="2" xfId="0" applyNumberFormat="1" applyFont="1" applyFill="1" applyBorder="1" applyAlignment="1">
      <alignment horizontal="center" vertical="center"/>
    </xf>
    <xf numFmtId="0" fontId="3" fillId="12" borderId="2" xfId="0" applyNumberFormat="1" applyFont="1" applyFill="1" applyBorder="1" applyAlignment="1">
      <alignment horizontal="center" vertical="center"/>
    </xf>
    <xf numFmtId="10" fontId="3" fillId="12" borderId="2" xfId="0" applyNumberFormat="1" applyFont="1" applyFill="1" applyBorder="1" applyAlignment="1">
      <alignment horizontal="center" vertical="center"/>
    </xf>
    <xf numFmtId="43" fontId="3" fillId="12" borderId="2" xfId="1" applyFont="1" applyFill="1" applyBorder="1" applyAlignment="1">
      <alignment vertical="center"/>
    </xf>
    <xf numFmtId="43" fontId="3" fillId="12" borderId="2" xfId="1" applyFont="1" applyFill="1" applyBorder="1" applyAlignment="1">
      <alignment horizontal="right" vertical="center"/>
    </xf>
    <xf numFmtId="0" fontId="3" fillId="13" borderId="2" xfId="0" applyFont="1" applyFill="1" applyBorder="1" applyAlignment="1">
      <alignment vertical="center" wrapText="1"/>
    </xf>
    <xf numFmtId="0" fontId="3" fillId="13" borderId="2" xfId="0" applyFont="1" applyFill="1" applyBorder="1" applyAlignment="1">
      <alignment horizontal="center" vertical="center" wrapText="1"/>
    </xf>
    <xf numFmtId="0" fontId="2" fillId="13" borderId="2" xfId="0" applyFont="1" applyFill="1" applyBorder="1"/>
    <xf numFmtId="0" fontId="2" fillId="13" borderId="2" xfId="0" applyFont="1" applyFill="1" applyBorder="1" applyAlignment="1">
      <alignment horizontal="center" vertical="center" wrapText="1"/>
    </xf>
    <xf numFmtId="0" fontId="3" fillId="13" borderId="2" xfId="0" applyFont="1" applyFill="1" applyBorder="1" applyAlignment="1">
      <alignment horizontal="justify"/>
    </xf>
    <xf numFmtId="0" fontId="2" fillId="13" borderId="2" xfId="0" applyFont="1" applyFill="1" applyBorder="1" applyAlignment="1">
      <alignment horizontal="justify"/>
    </xf>
    <xf numFmtId="0" fontId="2" fillId="13" borderId="2" xfId="0" applyFont="1" applyFill="1" applyBorder="1" applyAlignment="1">
      <alignment horizontal="center" wrapText="1"/>
    </xf>
    <xf numFmtId="0" fontId="2" fillId="13" borderId="2" xfId="0" applyFont="1" applyFill="1" applyBorder="1" applyAlignment="1">
      <alignment horizontal="center"/>
    </xf>
    <xf numFmtId="0" fontId="8" fillId="13" borderId="2" xfId="0" applyNumberFormat="1" applyFont="1" applyFill="1" applyBorder="1" applyAlignment="1">
      <alignment horizontal="center" vertical="center"/>
    </xf>
    <xf numFmtId="0" fontId="2" fillId="13" borderId="2" xfId="0" applyNumberFormat="1" applyFont="1" applyFill="1" applyBorder="1" applyAlignment="1">
      <alignment horizontal="center" vertical="center"/>
    </xf>
    <xf numFmtId="10" fontId="2" fillId="13" borderId="2" xfId="0" applyNumberFormat="1" applyFont="1" applyFill="1" applyBorder="1" applyAlignment="1">
      <alignment horizontal="center" vertical="center"/>
    </xf>
    <xf numFmtId="43" fontId="2" fillId="13" borderId="2" xfId="1" applyFont="1" applyFill="1" applyBorder="1" applyAlignment="1">
      <alignment vertical="center"/>
    </xf>
    <xf numFmtId="43" fontId="3" fillId="13" borderId="3" xfId="1" applyFont="1" applyFill="1" applyBorder="1" applyAlignment="1">
      <alignment vertical="center" wrapText="1"/>
    </xf>
    <xf numFmtId="43" fontId="3" fillId="13" borderId="2" xfId="1" applyFont="1" applyFill="1" applyBorder="1" applyAlignment="1">
      <alignment vertical="center" wrapText="1"/>
    </xf>
    <xf numFmtId="43" fontId="3" fillId="13" borderId="2" xfId="1" applyFont="1" applyFill="1" applyBorder="1" applyAlignment="1">
      <alignment horizontal="right" vertical="center" wrapText="1"/>
    </xf>
    <xf numFmtId="43" fontId="2" fillId="13" borderId="2" xfId="1" applyFont="1" applyFill="1" applyBorder="1"/>
    <xf numFmtId="0" fontId="2" fillId="2" borderId="8" xfId="0" applyFont="1" applyFill="1" applyBorder="1"/>
    <xf numFmtId="0" fontId="3" fillId="2" borderId="2" xfId="0" applyFont="1" applyFill="1" applyBorder="1" applyAlignment="1">
      <alignment vertical="center" wrapText="1"/>
    </xf>
    <xf numFmtId="0" fontId="3" fillId="2" borderId="2" xfId="0" applyFont="1" applyFill="1" applyBorder="1" applyAlignment="1">
      <alignment horizontal="justify"/>
    </xf>
    <xf numFmtId="0" fontId="2" fillId="2" borderId="2" xfId="0" applyFont="1" applyFill="1" applyBorder="1" applyAlignment="1">
      <alignment horizontal="justify"/>
    </xf>
    <xf numFmtId="0" fontId="2" fillId="2" borderId="2" xfId="0" applyFont="1" applyFill="1" applyBorder="1" applyAlignment="1">
      <alignment horizontal="center" wrapText="1"/>
    </xf>
    <xf numFmtId="0" fontId="2" fillId="2" borderId="2" xfId="0" applyFont="1" applyFill="1" applyBorder="1" applyAlignment="1">
      <alignment horizontal="center"/>
    </xf>
    <xf numFmtId="0" fontId="8" fillId="2" borderId="2" xfId="0" applyNumberFormat="1" applyFont="1" applyFill="1" applyBorder="1" applyAlignment="1">
      <alignment horizontal="center" vertical="center"/>
    </xf>
    <xf numFmtId="165" fontId="3" fillId="2" borderId="2"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43" fontId="2" fillId="0" borderId="0" xfId="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center" vertical="center"/>
    </xf>
    <xf numFmtId="4" fontId="2" fillId="0" borderId="0" xfId="1" applyNumberFormat="1" applyFont="1" applyFill="1" applyBorder="1" applyAlignment="1">
      <alignment horizontal="right" vertical="center"/>
    </xf>
    <xf numFmtId="165" fontId="2" fillId="2" borderId="0" xfId="1" applyNumberFormat="1" applyFont="1" applyFill="1" applyBorder="1" applyAlignment="1">
      <alignment horizontal="right" vertical="center"/>
    </xf>
    <xf numFmtId="3" fontId="2" fillId="2" borderId="0" xfId="1" applyNumberFormat="1" applyFont="1" applyFill="1" applyBorder="1" applyAlignment="1">
      <alignment horizontal="right" vertical="center"/>
    </xf>
    <xf numFmtId="165" fontId="2" fillId="2" borderId="0" xfId="1"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justify"/>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8"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10"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right" vertical="center"/>
    </xf>
    <xf numFmtId="0" fontId="5" fillId="2" borderId="2" xfId="0" applyFont="1" applyFill="1" applyBorder="1" applyAlignment="1">
      <alignment vertical="center"/>
    </xf>
    <xf numFmtId="0" fontId="5" fillId="2" borderId="11" xfId="0" applyFont="1" applyFill="1" applyBorder="1" applyAlignment="1">
      <alignment vertical="center"/>
    </xf>
    <xf numFmtId="166" fontId="5" fillId="2" borderId="5" xfId="0" applyNumberFormat="1" applyFont="1" applyFill="1" applyBorder="1" applyAlignment="1">
      <alignment horizontal="left" vertical="center"/>
    </xf>
    <xf numFmtId="0" fontId="5" fillId="0" borderId="2" xfId="0" applyFont="1" applyFill="1" applyBorder="1" applyAlignment="1">
      <alignment vertical="center"/>
    </xf>
    <xf numFmtId="0" fontId="5" fillId="0" borderId="5" xfId="0" applyFont="1" applyFill="1" applyBorder="1" applyAlignment="1">
      <alignment vertical="center"/>
    </xf>
    <xf numFmtId="0" fontId="5" fillId="2" borderId="2" xfId="0" applyFont="1" applyFill="1" applyBorder="1" applyAlignment="1">
      <alignment vertical="distributed"/>
    </xf>
    <xf numFmtId="0" fontId="5" fillId="2" borderId="5" xfId="0" applyFont="1" applyFill="1" applyBorder="1" applyAlignment="1">
      <alignment vertical="distributed"/>
    </xf>
    <xf numFmtId="0" fontId="9" fillId="2" borderId="0" xfId="0" applyFont="1" applyFill="1" applyBorder="1" applyAlignment="1">
      <alignment horizontal="center"/>
    </xf>
    <xf numFmtId="0" fontId="9" fillId="2" borderId="13" xfId="0" applyFont="1" applyFill="1" applyBorder="1" applyAlignment="1">
      <alignment horizontal="center"/>
    </xf>
    <xf numFmtId="0" fontId="9" fillId="2" borderId="0"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xf>
    <xf numFmtId="3" fontId="5" fillId="3" borderId="3" xfId="1" applyNumberFormat="1" applyFont="1" applyFill="1" applyBorder="1" applyAlignment="1">
      <alignment horizontal="center" vertical="center"/>
    </xf>
    <xf numFmtId="3" fontId="5" fillId="3" borderId="4" xfId="1"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3" fontId="5" fillId="3" borderId="4" xfId="0" applyNumberFormat="1" applyFont="1" applyFill="1" applyBorder="1" applyAlignment="1">
      <alignment horizontal="center" vertical="center" wrapText="1"/>
    </xf>
    <xf numFmtId="10" fontId="5" fillId="3" borderId="2"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2" borderId="1" xfId="0" applyFont="1" applyFill="1" applyBorder="1" applyAlignment="1">
      <alignment horizontal="left" vertical="center" wrapText="1" indent="2"/>
    </xf>
    <xf numFmtId="0" fontId="2" fillId="2" borderId="6" xfId="0" applyFont="1" applyFill="1" applyBorder="1" applyAlignment="1">
      <alignment horizontal="left" vertical="center" wrapText="1" indent="2"/>
    </xf>
    <xf numFmtId="3" fontId="5" fillId="6" borderId="1" xfId="1" applyNumberFormat="1" applyFont="1" applyFill="1" applyBorder="1" applyAlignment="1">
      <alignment horizontal="center" vertical="center"/>
    </xf>
    <xf numFmtId="3" fontId="5" fillId="6" borderId="6" xfId="1" applyNumberFormat="1" applyFont="1" applyFill="1" applyBorder="1" applyAlignment="1">
      <alignment horizontal="center" vertical="center"/>
    </xf>
    <xf numFmtId="3" fontId="5" fillId="4" borderId="2" xfId="1" applyNumberFormat="1" applyFont="1" applyFill="1" applyBorder="1" applyAlignment="1">
      <alignment horizontal="center" vertical="center"/>
    </xf>
    <xf numFmtId="3" fontId="5" fillId="4"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3" fontId="5" fillId="6" borderId="1" xfId="0" applyNumberFormat="1" applyFont="1" applyFill="1" applyBorder="1" applyAlignment="1">
      <alignment horizontal="center" vertical="center" wrapText="1"/>
    </xf>
    <xf numFmtId="3" fontId="5" fillId="6" borderId="6"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3" fontId="5" fillId="5" borderId="6"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3" fontId="5" fillId="4" borderId="6" xfId="0" applyNumberFormat="1" applyFont="1" applyFill="1" applyBorder="1" applyAlignment="1">
      <alignment horizontal="center" vertical="center" wrapText="1"/>
    </xf>
    <xf numFmtId="3" fontId="5" fillId="5" borderId="1" xfId="1" applyNumberFormat="1" applyFont="1" applyFill="1" applyBorder="1" applyAlignment="1">
      <alignment horizontal="center" vertical="center"/>
    </xf>
    <xf numFmtId="3" fontId="5" fillId="5" borderId="6" xfId="1" applyNumberFormat="1" applyFont="1" applyFill="1" applyBorder="1" applyAlignment="1">
      <alignment horizontal="center" vertical="center"/>
    </xf>
    <xf numFmtId="43" fontId="2" fillId="0" borderId="1" xfId="1" applyFont="1" applyFill="1" applyBorder="1" applyAlignment="1">
      <alignment vertical="center" wrapText="1"/>
    </xf>
    <xf numFmtId="43" fontId="2" fillId="0" borderId="6" xfId="1" applyFont="1" applyFill="1" applyBorder="1" applyAlignment="1">
      <alignment vertical="center" wrapText="1"/>
    </xf>
    <xf numFmtId="43" fontId="2" fillId="0" borderId="2" xfId="1" applyFont="1" applyFill="1" applyBorder="1" applyAlignment="1">
      <alignment vertical="center" wrapText="1"/>
    </xf>
    <xf numFmtId="0" fontId="2" fillId="2" borderId="10"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10" fontId="2" fillId="0" borderId="2" xfId="2"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43" fontId="2" fillId="2" borderId="1" xfId="1" applyFont="1" applyFill="1" applyBorder="1" applyAlignment="1">
      <alignment horizontal="right" vertical="center"/>
    </xf>
    <xf numFmtId="43" fontId="2" fillId="2" borderId="6" xfId="1" applyFont="1" applyFill="1" applyBorder="1" applyAlignment="1">
      <alignment horizontal="right" vertical="center"/>
    </xf>
    <xf numFmtId="43" fontId="2" fillId="2" borderId="1" xfId="1" applyFont="1" applyFill="1" applyBorder="1" applyAlignment="1">
      <alignment horizontal="right" vertical="center" wrapText="1"/>
    </xf>
    <xf numFmtId="43" fontId="2" fillId="2" borderId="6" xfId="1" applyFont="1" applyFill="1" applyBorder="1" applyAlignment="1">
      <alignment horizontal="right" vertical="center" wrapText="1"/>
    </xf>
    <xf numFmtId="43" fontId="3" fillId="2" borderId="1" xfId="1" applyFont="1" applyFill="1" applyBorder="1" applyAlignment="1">
      <alignment horizontal="center" vertical="center"/>
    </xf>
    <xf numFmtId="43" fontId="3" fillId="2" borderId="6" xfId="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2" fillId="2" borderId="6" xfId="0" applyNumberFormat="1" applyFont="1" applyFill="1" applyBorder="1" applyAlignment="1">
      <alignment horizontal="center" vertical="center"/>
    </xf>
    <xf numFmtId="3" fontId="2" fillId="2" borderId="1"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6" xfId="0" applyFont="1" applyFill="1" applyBorder="1" applyAlignment="1">
      <alignment horizontal="justify" vertical="center" wrapText="1"/>
    </xf>
    <xf numFmtId="3" fontId="2" fillId="0" borderId="1"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43" fontId="2" fillId="0" borderId="1" xfId="1" applyFont="1" applyFill="1" applyBorder="1" applyAlignment="1">
      <alignment vertical="center"/>
    </xf>
    <xf numFmtId="43" fontId="2" fillId="0" borderId="9" xfId="1" applyFont="1" applyFill="1" applyBorder="1" applyAlignment="1">
      <alignment vertical="center"/>
    </xf>
    <xf numFmtId="43" fontId="2" fillId="0" borderId="6" xfId="1" applyFont="1" applyFill="1" applyBorder="1" applyAlignment="1">
      <alignment vertical="center"/>
    </xf>
    <xf numFmtId="43" fontId="2" fillId="0" borderId="2" xfId="1" applyFont="1" applyFill="1" applyBorder="1" applyAlignment="1">
      <alignment vertical="center"/>
    </xf>
    <xf numFmtId="10" fontId="2" fillId="0" borderId="1" xfId="2" applyNumberFormat="1" applyFont="1" applyFill="1" applyBorder="1" applyAlignment="1">
      <alignment horizontal="center" vertical="center"/>
    </xf>
    <xf numFmtId="10" fontId="2" fillId="0" borderId="9" xfId="2" applyNumberFormat="1" applyFont="1" applyFill="1" applyBorder="1" applyAlignment="1">
      <alignment horizontal="center" vertical="center"/>
    </xf>
    <xf numFmtId="10" fontId="2" fillId="0" borderId="6" xfId="2" applyNumberFormat="1" applyFont="1" applyFill="1" applyBorder="1" applyAlignment="1">
      <alignment horizontal="center" vertical="center"/>
    </xf>
    <xf numFmtId="43" fontId="2" fillId="0" borderId="1" xfId="1" applyFont="1" applyFill="1" applyBorder="1" applyAlignment="1">
      <alignment horizontal="center" vertical="center" wrapText="1"/>
    </xf>
    <xf numFmtId="43" fontId="2" fillId="0" borderId="9" xfId="1" applyFont="1" applyFill="1" applyBorder="1" applyAlignment="1">
      <alignment horizontal="center" vertical="center" wrapText="1"/>
    </xf>
    <xf numFmtId="43" fontId="2" fillId="0" borderId="6" xfId="1" applyFont="1" applyFill="1" applyBorder="1" applyAlignment="1">
      <alignment horizontal="center" vertical="center" wrapText="1"/>
    </xf>
    <xf numFmtId="43" fontId="2" fillId="2" borderId="9" xfId="1" applyFont="1" applyFill="1" applyBorder="1" applyAlignment="1">
      <alignment horizontal="right" vertical="center" wrapText="1"/>
    </xf>
    <xf numFmtId="43" fontId="3" fillId="2" borderId="2" xfId="1"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43" fontId="2" fillId="0" borderId="1" xfId="1" applyFont="1" applyFill="1" applyBorder="1" applyAlignment="1">
      <alignment horizontal="right" vertical="center" wrapText="1"/>
    </xf>
    <xf numFmtId="43" fontId="2" fillId="0" borderId="6" xfId="1" applyFont="1" applyFill="1" applyBorder="1" applyAlignment="1">
      <alignment horizontal="right" vertical="center" wrapText="1"/>
    </xf>
    <xf numFmtId="9" fontId="2" fillId="0" borderId="1"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37" fontId="2" fillId="2" borderId="1" xfId="1" applyNumberFormat="1" applyFont="1" applyFill="1" applyBorder="1" applyAlignment="1">
      <alignment horizontal="center" vertical="center"/>
    </xf>
    <xf numFmtId="37" fontId="2" fillId="2" borderId="6" xfId="1" applyNumberFormat="1" applyFont="1" applyFill="1" applyBorder="1" applyAlignment="1">
      <alignment horizontal="center" vertical="center"/>
    </xf>
    <xf numFmtId="43" fontId="2" fillId="2" borderId="1" xfId="1" applyFont="1" applyFill="1" applyBorder="1" applyAlignment="1">
      <alignment vertical="center"/>
    </xf>
    <xf numFmtId="43" fontId="2" fillId="2" borderId="6" xfId="1" applyFont="1" applyFill="1" applyBorder="1" applyAlignment="1">
      <alignment vertical="center"/>
    </xf>
    <xf numFmtId="43" fontId="2" fillId="2" borderId="2" xfId="1" applyFont="1" applyFill="1" applyBorder="1" applyAlignment="1">
      <alignment vertical="center"/>
    </xf>
    <xf numFmtId="10" fontId="2" fillId="2" borderId="1" xfId="2" applyNumberFormat="1" applyFont="1" applyFill="1" applyBorder="1" applyAlignment="1">
      <alignment horizontal="center" vertical="center"/>
    </xf>
    <xf numFmtId="10" fontId="2" fillId="2" borderId="6" xfId="2" applyNumberFormat="1" applyFont="1" applyFill="1" applyBorder="1" applyAlignment="1">
      <alignment horizontal="center" vertical="center"/>
    </xf>
    <xf numFmtId="37" fontId="2" fillId="0" borderId="1" xfId="1" applyNumberFormat="1" applyFont="1" applyFill="1" applyBorder="1" applyAlignment="1">
      <alignment horizontal="center" vertical="center"/>
    </xf>
    <xf numFmtId="37" fontId="2" fillId="0" borderId="6" xfId="1" applyNumberFormat="1" applyFont="1" applyFill="1" applyBorder="1" applyAlignment="1">
      <alignment horizontal="center" vertical="center"/>
    </xf>
    <xf numFmtId="43" fontId="2" fillId="2" borderId="10" xfId="1" applyFont="1" applyFill="1" applyBorder="1" applyAlignment="1">
      <alignment horizontal="right" vertical="center"/>
    </xf>
    <xf numFmtId="43" fontId="2" fillId="2" borderId="7" xfId="1" applyFont="1" applyFill="1" applyBorder="1" applyAlignment="1">
      <alignment horizontal="right" vertical="center"/>
    </xf>
    <xf numFmtId="43" fontId="2" fillId="2" borderId="1" xfId="1" applyFont="1" applyFill="1" applyBorder="1" applyAlignment="1">
      <alignment vertical="center" wrapText="1"/>
    </xf>
    <xf numFmtId="43" fontId="2" fillId="2" borderId="6" xfId="1" applyFont="1" applyFill="1" applyBorder="1" applyAlignment="1">
      <alignment vertical="center" wrapText="1"/>
    </xf>
    <xf numFmtId="43" fontId="2" fillId="2" borderId="2" xfId="1" applyFont="1" applyFill="1" applyBorder="1" applyAlignment="1">
      <alignment vertical="center" wrapText="1"/>
    </xf>
    <xf numFmtId="10" fontId="2" fillId="2" borderId="1" xfId="2" applyNumberFormat="1" applyFont="1" applyFill="1" applyBorder="1" applyAlignment="1">
      <alignment horizontal="center" vertical="center" wrapText="1"/>
    </xf>
    <xf numFmtId="10" fontId="2" fillId="2" borderId="6" xfId="2"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2" borderId="19" xfId="0" applyFont="1" applyFill="1" applyBorder="1" applyAlignment="1">
      <alignment horizontal="center" vertical="center"/>
    </xf>
    <xf numFmtId="43" fontId="2" fillId="2" borderId="2" xfId="1" applyFont="1" applyFill="1" applyBorder="1" applyAlignment="1">
      <alignment horizontal="right" vertical="center"/>
    </xf>
    <xf numFmtId="0" fontId="5" fillId="3" borderId="1"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wrapText="1"/>
    </xf>
  </cellXfs>
  <cellStyles count="5">
    <cellStyle name="Millares" xfId="1" builtinId="3"/>
    <cellStyle name="Millares 2" xfId="3"/>
    <cellStyle name="Normal" xfId="0" builtinId="0"/>
    <cellStyle name="Porcentaje" xfId="2"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231321</xdr:colOff>
      <xdr:row>0</xdr:row>
      <xdr:rowOff>0</xdr:rowOff>
    </xdr:from>
    <xdr:ext cx="947397" cy="869156"/>
    <xdr:pic>
      <xdr:nvPicPr>
        <xdr:cNvPr id="2" name="Imagen 1" descr="C:\Users\AUXPLANEACION03\Desktop\Gobernacion_del_quindio.jpg">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259" y="0"/>
          <a:ext cx="947397" cy="86915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INSTRUMENTOS%20PLANIFICACION%202016/DICIEMBRE%2031%20DE%202016/SGTO%20PLAN%20INDICATIVO%20enero%2030/SGTO%20PLAN%20%20INDICATIVO%20DICIEMBRE%2031%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INSTRUMENTOS%20PLANIFICACION%202016/SEGUIMIENTO%20INSTRUMENTOS%20SEPTIEMBRE%2030/SEGUIMIENTO%20DIC%2031%202016/SGTO%20PLAN%20INDICATIVO/SEGUMIENTO%20POAI%20DICIEMBRE-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INSTRUMENTOS%20PLANIFICACION%202016/SEGUIMIENTO%20INSTRUMENTOS%20SEPTIEMBRE%2030/SEGUIMIENTO%20DIC%2031%202016/SGTO%20PLAN%20INDICATIVO/SEGUMIENTO%20POAI%20DICIEMBRE%2030-2016%20(ENERO%2018-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OBERNACION/INSTRUMENTOS%20PLANIFICACION%202016/SEGUIMIENTO%20INSTRUMENTOS%20SEPTIEMBRE%2030/SEGUIMIENTO%20DIC%2031%202016/SGTO%20FAMILIA/SGTO%20PLAN%20DE%20ACCION%20FAMI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ILADO"/>
      <sheetName val="NOMENCLATURA"/>
      <sheetName val="RESUMEN"/>
      <sheetName val="P. INICATIVO COMPLETO"/>
      <sheetName val="P. RESUMIDO"/>
      <sheetName val="SGTO POAI CONSOLIDADO"/>
      <sheetName val="SGTO POAI "/>
      <sheetName val="SGTO P. NDICATIVO"/>
      <sheetName val="TABLA No 1"/>
      <sheetName val="TABLA No 2"/>
      <sheetName val="TABLA No 3"/>
      <sheetName val="TABLA No 4"/>
      <sheetName val="TABLA 4 A"/>
      <sheetName val="TABLA No 5 "/>
      <sheetName val="TABLA No 5  A"/>
      <sheetName val="Tabla No 6 "/>
    </sheetNames>
    <sheetDataSet>
      <sheetData sheetId="0"/>
      <sheetData sheetId="1"/>
      <sheetData sheetId="2"/>
      <sheetData sheetId="3"/>
      <sheetData sheetId="4"/>
      <sheetData sheetId="5"/>
      <sheetData sheetId="6">
        <row r="65">
          <cell r="AH65">
            <v>49000000</v>
          </cell>
        </row>
        <row r="66">
          <cell r="AH66">
            <v>331658853</v>
          </cell>
        </row>
        <row r="568">
          <cell r="BL568">
            <v>3989853</v>
          </cell>
        </row>
        <row r="596">
          <cell r="BL596">
            <v>167208192.57999998</v>
          </cell>
        </row>
        <row r="598">
          <cell r="Y598">
            <v>846000000</v>
          </cell>
          <cell r="BL598">
            <v>10040000</v>
          </cell>
        </row>
        <row r="599">
          <cell r="BU599">
            <v>232791807.42000002</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O POAI 2016"/>
      <sheetName val="POAI 2016 DEFINITIVO"/>
      <sheetName val="POAI 2016 ADICIONES (2)"/>
      <sheetName val="POAI 2016 ADICIONES"/>
      <sheetName val="Hoja1"/>
    </sheetNames>
    <sheetDataSet>
      <sheetData sheetId="0">
        <row r="82">
          <cell r="AH82">
            <v>49000000</v>
          </cell>
        </row>
        <row r="84">
          <cell r="BI84">
            <v>363293889</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MIENTO DIC"/>
      <sheetName val="POAI 2016 DEFINITIVO"/>
      <sheetName val="POAI 2016 ADICIONES (2)"/>
      <sheetName val="POAI 2016 ADICIONES"/>
      <sheetName val="Hoja1"/>
      <sheetName val="SEGUMIENTO_DIC"/>
      <sheetName val="POAI_2016_DEFINITIVO"/>
      <sheetName val="POAI_2016_ADICIONES_(2)"/>
      <sheetName val="POAI_2016_ADICIONES"/>
      <sheetName val="SEGUMIENTO_DIC1"/>
      <sheetName val="POAI_2016_DEFINITIVO1"/>
      <sheetName val="POAI_2016_ADICIONES_(2)1"/>
      <sheetName val="POAI_2016_ADICIONES1"/>
      <sheetName val="SEGUMIENTO_DIC2"/>
      <sheetName val="POAI_2016_DEFINITIVO2"/>
      <sheetName val="POAI_2016_ADICIONES_(2)2"/>
      <sheetName val="POAI_2016_ADICIONES2"/>
    </sheetNames>
    <sheetDataSet>
      <sheetData sheetId="0">
        <row r="154">
          <cell r="BW154">
            <v>3000000</v>
          </cell>
        </row>
        <row r="386">
          <cell r="AZ386">
            <v>52751026009.709991</v>
          </cell>
        </row>
        <row r="387">
          <cell r="AZ387">
            <v>44801283847.129997</v>
          </cell>
        </row>
      </sheetData>
      <sheetData sheetId="1"/>
      <sheetData sheetId="2"/>
      <sheetData sheetId="3"/>
      <sheetData sheetId="4"/>
      <sheetData sheetId="5">
        <row r="154">
          <cell r="BW154">
            <v>3000000</v>
          </cell>
        </row>
      </sheetData>
      <sheetData sheetId="6"/>
      <sheetData sheetId="7"/>
      <sheetData sheetId="8"/>
      <sheetData sheetId="9">
        <row r="154">
          <cell r="BW154">
            <v>3000000</v>
          </cell>
        </row>
      </sheetData>
      <sheetData sheetId="10"/>
      <sheetData sheetId="11"/>
      <sheetData sheetId="12"/>
      <sheetData sheetId="13">
        <row r="154">
          <cell r="BW154">
            <v>3000000</v>
          </cell>
        </row>
      </sheetData>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S. FAMILIA"/>
      <sheetName val="PROYECTOS"/>
      <sheetName val="EJECUCION"/>
    </sheetNames>
    <sheetDataSet>
      <sheetData sheetId="0">
        <row r="22">
          <cell r="J22">
            <v>50000000</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35"/>
  <sheetViews>
    <sheetView showGridLines="0" tabSelected="1" topLeftCell="AZ89" zoomScale="80" zoomScaleNormal="80" workbookViewId="0">
      <selection activeCell="C14" sqref="C14"/>
    </sheetView>
  </sheetViews>
  <sheetFormatPr baseColWidth="10" defaultColWidth="11.42578125" defaultRowHeight="14.25" x14ac:dyDescent="0.2"/>
  <cols>
    <col min="1" max="1" width="9.28515625" style="1" hidden="1" customWidth="1"/>
    <col min="2" max="2" width="18" style="1" hidden="1" customWidth="1"/>
    <col min="3" max="3" width="15.42578125" style="1" customWidth="1"/>
    <col min="4" max="4" width="17.7109375" style="1" customWidth="1"/>
    <col min="5" max="5" width="18.42578125" style="540" customWidth="1"/>
    <col min="6" max="6" width="24.85546875" style="1" customWidth="1"/>
    <col min="7" max="7" width="15.28515625" style="1" customWidth="1"/>
    <col min="8" max="8" width="14.28515625" style="1" customWidth="1"/>
    <col min="9" max="9" width="8" style="541" customWidth="1"/>
    <col min="10" max="10" width="31.85546875" style="542" customWidth="1"/>
    <col min="11" max="11" width="30.28515625" style="542" customWidth="1"/>
    <col min="12" max="12" width="16.5703125" style="543" customWidth="1"/>
    <col min="13" max="13" width="14.28515625" style="544" customWidth="1"/>
    <col min="14" max="14" width="12.140625" style="545" customWidth="1"/>
    <col min="15" max="15" width="10.7109375" style="546" customWidth="1"/>
    <col min="16" max="16" width="11" style="546" customWidth="1"/>
    <col min="17" max="17" width="9.5703125" style="545" customWidth="1"/>
    <col min="18" max="18" width="9.140625" style="546" customWidth="1"/>
    <col min="19" max="19" width="9.42578125" style="546" customWidth="1"/>
    <col min="20" max="20" width="8.5703125" style="546" customWidth="1"/>
    <col min="21" max="21" width="20.7109375" style="547" customWidth="1"/>
    <col min="22" max="22" width="12.140625" style="493" customWidth="1"/>
    <col min="23" max="23" width="17" style="493" customWidth="1"/>
    <col min="24" max="24" width="26.140625" style="534" customWidth="1"/>
    <col min="25" max="25" width="26.42578125" style="534" customWidth="1"/>
    <col min="26" max="26" width="28.28515625" style="548" customWidth="1"/>
    <col min="27" max="27" width="24.42578125" style="548" customWidth="1"/>
    <col min="28" max="28" width="26.28515625" style="533" customWidth="1"/>
    <col min="29" max="29" width="24.7109375" style="533" customWidth="1"/>
    <col min="30" max="31" width="25.140625" style="534" customWidth="1"/>
    <col min="32" max="33" width="24.140625" style="534" customWidth="1"/>
    <col min="34" max="34" width="23.140625" style="534" customWidth="1"/>
    <col min="35" max="35" width="25.42578125" style="534" customWidth="1"/>
    <col min="36" max="36" width="29" style="534" customWidth="1"/>
    <col min="37" max="37" width="25.7109375" style="534" customWidth="1"/>
    <col min="38" max="38" width="28" style="534" customWidth="1"/>
    <col min="39" max="39" width="29.28515625" style="534" customWidth="1"/>
    <col min="40" max="40" width="28.140625" style="534" customWidth="1"/>
    <col min="41" max="41" width="26" style="535" customWidth="1"/>
    <col min="42" max="42" width="32.7109375" style="536" customWidth="1"/>
    <col min="43" max="43" width="28.42578125" style="536" customWidth="1"/>
    <col min="44" max="63" width="27.5703125" style="537" customWidth="1"/>
    <col min="64" max="73" width="27.5703125" style="538" customWidth="1"/>
    <col min="74" max="74" width="27.5703125" style="1" customWidth="1"/>
    <col min="75" max="16384" width="11.42578125" style="1"/>
  </cols>
  <sheetData>
    <row r="1" spans="1:74" ht="20.25" hidden="1" customHeight="1" x14ac:dyDescent="0.25">
      <c r="C1" s="2" t="s">
        <v>930</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9"/>
      <c r="BV1" s="9"/>
    </row>
    <row r="2" spans="1:74" ht="16.5" customHeight="1" x14ac:dyDescent="0.2">
      <c r="C2" s="556" t="s">
        <v>930</v>
      </c>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556"/>
      <c r="BN2" s="556"/>
      <c r="BO2" s="556"/>
      <c r="BP2" s="556"/>
      <c r="BQ2" s="556"/>
      <c r="BR2" s="556"/>
      <c r="BS2" s="556"/>
      <c r="BT2" s="557"/>
      <c r="BU2" s="549" t="s">
        <v>923</v>
      </c>
      <c r="BV2" s="550" t="s">
        <v>924</v>
      </c>
    </row>
    <row r="3" spans="1:74" ht="16.5" customHeight="1" x14ac:dyDescent="0.2">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7"/>
      <c r="BU3" s="549" t="s">
        <v>925</v>
      </c>
      <c r="BV3" s="551">
        <v>5</v>
      </c>
    </row>
    <row r="4" spans="1:74" ht="16.5" customHeight="1" x14ac:dyDescent="0.2">
      <c r="C4" s="558" t="s">
        <v>931</v>
      </c>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c r="BC4" s="558"/>
      <c r="BD4" s="558"/>
      <c r="BE4" s="558"/>
      <c r="BF4" s="558"/>
      <c r="BG4" s="558"/>
      <c r="BH4" s="558"/>
      <c r="BI4" s="558"/>
      <c r="BJ4" s="558"/>
      <c r="BK4" s="558"/>
      <c r="BL4" s="558"/>
      <c r="BM4" s="558"/>
      <c r="BN4" s="558"/>
      <c r="BO4" s="558"/>
      <c r="BP4" s="558"/>
      <c r="BQ4" s="558"/>
      <c r="BR4" s="558"/>
      <c r="BS4" s="558"/>
      <c r="BT4" s="558"/>
      <c r="BU4" s="552" t="s">
        <v>926</v>
      </c>
      <c r="BV4" s="553" t="s">
        <v>927</v>
      </c>
    </row>
    <row r="5" spans="1:74" ht="16.5" customHeight="1" x14ac:dyDescent="0.2">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4" t="s">
        <v>928</v>
      </c>
      <c r="BV5" s="555" t="s">
        <v>929</v>
      </c>
    </row>
    <row r="6" spans="1:74" ht="11.25" customHeight="1" x14ac:dyDescent="0.2">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8"/>
      <c r="AQ6" s="558"/>
      <c r="AR6" s="558"/>
      <c r="AS6" s="558"/>
      <c r="AT6" s="558"/>
      <c r="AU6" s="558"/>
      <c r="AV6" s="558"/>
      <c r="AW6" s="558"/>
      <c r="AX6" s="558"/>
      <c r="AY6" s="558"/>
      <c r="AZ6" s="558"/>
      <c r="BA6" s="558"/>
      <c r="BB6" s="558"/>
      <c r="BC6" s="558"/>
      <c r="BD6" s="558"/>
      <c r="BE6" s="558"/>
      <c r="BF6" s="558"/>
      <c r="BG6" s="558"/>
      <c r="BH6" s="558"/>
      <c r="BI6" s="558"/>
      <c r="BJ6" s="558"/>
      <c r="BK6" s="558"/>
      <c r="BL6" s="558"/>
      <c r="BM6" s="558"/>
      <c r="BN6" s="558"/>
      <c r="BO6" s="558"/>
      <c r="BP6" s="558"/>
      <c r="BQ6" s="558"/>
      <c r="BR6" s="558"/>
      <c r="BS6" s="558"/>
      <c r="BT6" s="558"/>
      <c r="BU6" s="10"/>
      <c r="BV6" s="10"/>
    </row>
    <row r="7" spans="1:74" ht="8.25" customHeight="1" x14ac:dyDescent="0.25">
      <c r="C7" s="2"/>
      <c r="D7" s="2"/>
      <c r="E7" s="2"/>
      <c r="F7" s="2"/>
      <c r="G7" s="2"/>
      <c r="H7" s="2"/>
      <c r="I7" s="2"/>
      <c r="J7" s="2"/>
      <c r="K7" s="2"/>
      <c r="L7" s="3"/>
      <c r="M7" s="2"/>
      <c r="N7" s="4"/>
      <c r="O7" s="2"/>
      <c r="P7" s="2"/>
      <c r="Q7" s="4"/>
      <c r="R7" s="2"/>
      <c r="S7" s="2"/>
      <c r="T7" s="2"/>
      <c r="U7" s="2"/>
      <c r="V7" s="2"/>
      <c r="W7" s="2"/>
      <c r="X7" s="2"/>
      <c r="Y7" s="2"/>
      <c r="Z7" s="5"/>
      <c r="AA7" s="5"/>
      <c r="AB7" s="6"/>
      <c r="AC7" s="6"/>
      <c r="AD7" s="2"/>
      <c r="AE7" s="2"/>
      <c r="AF7" s="2"/>
      <c r="AG7" s="2"/>
      <c r="AH7" s="2"/>
      <c r="AI7" s="2"/>
      <c r="AJ7" s="2"/>
      <c r="AK7" s="2"/>
      <c r="AL7" s="2"/>
      <c r="AM7" s="2"/>
      <c r="AN7" s="2"/>
      <c r="AO7" s="7"/>
      <c r="AP7" s="8"/>
      <c r="AQ7" s="8"/>
      <c r="AR7" s="2"/>
      <c r="AS7" s="2"/>
      <c r="AT7" s="2"/>
      <c r="AU7" s="2"/>
      <c r="AV7" s="2"/>
      <c r="AW7" s="2"/>
      <c r="AX7" s="2"/>
      <c r="AY7" s="2"/>
      <c r="AZ7" s="2"/>
      <c r="BA7" s="2"/>
      <c r="BB7" s="2"/>
      <c r="BC7" s="2"/>
      <c r="BD7" s="2"/>
      <c r="BE7" s="2"/>
      <c r="BF7" s="2"/>
      <c r="BG7" s="2"/>
      <c r="BH7" s="2"/>
      <c r="BI7" s="2"/>
      <c r="BJ7" s="2"/>
      <c r="BK7" s="2" t="s">
        <v>0</v>
      </c>
      <c r="BL7" s="2"/>
      <c r="BM7" s="2"/>
      <c r="BN7" s="2"/>
      <c r="BO7" s="2"/>
      <c r="BP7" s="2"/>
      <c r="BQ7" s="2"/>
      <c r="BR7" s="2"/>
      <c r="BS7" s="10"/>
      <c r="BT7" s="10"/>
      <c r="BU7" s="10"/>
      <c r="BV7" s="10"/>
    </row>
    <row r="8" spans="1:74" s="11" customFormat="1" ht="31.5" customHeight="1" x14ac:dyDescent="0.25">
      <c r="A8" s="561" t="s">
        <v>1</v>
      </c>
      <c r="B8" s="563" t="s">
        <v>2</v>
      </c>
      <c r="C8" s="564" t="s">
        <v>3</v>
      </c>
      <c r="D8" s="565"/>
      <c r="E8" s="566"/>
      <c r="F8" s="567" t="s">
        <v>4</v>
      </c>
      <c r="G8" s="560" t="s">
        <v>5</v>
      </c>
      <c r="H8" s="560" t="s">
        <v>6</v>
      </c>
      <c r="I8" s="569" t="s">
        <v>7</v>
      </c>
      <c r="J8" s="569"/>
      <c r="K8" s="559" t="s">
        <v>8</v>
      </c>
      <c r="L8" s="559" t="s">
        <v>9</v>
      </c>
      <c r="M8" s="559" t="s">
        <v>10</v>
      </c>
      <c r="N8" s="560" t="s">
        <v>11</v>
      </c>
      <c r="O8" s="560" t="s">
        <v>12</v>
      </c>
      <c r="P8" s="560" t="s">
        <v>13</v>
      </c>
      <c r="Q8" s="674">
        <v>2016</v>
      </c>
      <c r="R8" s="560">
        <v>2017</v>
      </c>
      <c r="S8" s="560">
        <v>2018</v>
      </c>
      <c r="T8" s="560">
        <v>2019</v>
      </c>
      <c r="U8" s="574" t="s">
        <v>14</v>
      </c>
      <c r="V8" s="560" t="s">
        <v>15</v>
      </c>
      <c r="W8" s="560" t="s">
        <v>16</v>
      </c>
      <c r="X8" s="570" t="s">
        <v>17</v>
      </c>
      <c r="Y8" s="571"/>
      <c r="Z8" s="570" t="s">
        <v>18</v>
      </c>
      <c r="AA8" s="571"/>
      <c r="AB8" s="570" t="s">
        <v>19</v>
      </c>
      <c r="AC8" s="571"/>
      <c r="AD8" s="570" t="s">
        <v>20</v>
      </c>
      <c r="AE8" s="571"/>
      <c r="AF8" s="570" t="s">
        <v>21</v>
      </c>
      <c r="AG8" s="571"/>
      <c r="AH8" s="572" t="s">
        <v>22</v>
      </c>
      <c r="AI8" s="573"/>
      <c r="AJ8" s="570" t="s">
        <v>23</v>
      </c>
      <c r="AK8" s="571"/>
      <c r="AL8" s="570" t="s">
        <v>24</v>
      </c>
      <c r="AM8" s="571"/>
      <c r="AN8" s="570" t="s">
        <v>25</v>
      </c>
      <c r="AO8" s="571"/>
      <c r="AP8" s="570" t="s">
        <v>26</v>
      </c>
      <c r="AQ8" s="571"/>
      <c r="AR8" s="585" t="s">
        <v>17</v>
      </c>
      <c r="AS8" s="585" t="s">
        <v>18</v>
      </c>
      <c r="AT8" s="585" t="s">
        <v>19</v>
      </c>
      <c r="AU8" s="585" t="s">
        <v>20</v>
      </c>
      <c r="AV8" s="586" t="s">
        <v>21</v>
      </c>
      <c r="AW8" s="586" t="s">
        <v>22</v>
      </c>
      <c r="AX8" s="595" t="s">
        <v>23</v>
      </c>
      <c r="AY8" s="595" t="s">
        <v>24</v>
      </c>
      <c r="AZ8" s="595" t="s">
        <v>25</v>
      </c>
      <c r="BA8" s="595" t="s">
        <v>27</v>
      </c>
      <c r="BB8" s="597" t="s">
        <v>17</v>
      </c>
      <c r="BC8" s="597" t="s">
        <v>18</v>
      </c>
      <c r="BD8" s="597" t="s">
        <v>19</v>
      </c>
      <c r="BE8" s="597" t="s">
        <v>28</v>
      </c>
      <c r="BF8" s="593" t="s">
        <v>21</v>
      </c>
      <c r="BG8" s="593" t="s">
        <v>22</v>
      </c>
      <c r="BH8" s="593" t="s">
        <v>23</v>
      </c>
      <c r="BI8" s="593" t="s">
        <v>24</v>
      </c>
      <c r="BJ8" s="593" t="s">
        <v>25</v>
      </c>
      <c r="BK8" s="593" t="s">
        <v>29</v>
      </c>
      <c r="BL8" s="583" t="s">
        <v>17</v>
      </c>
      <c r="BM8" s="583" t="s">
        <v>18</v>
      </c>
      <c r="BN8" s="583" t="s">
        <v>19</v>
      </c>
      <c r="BO8" s="583" t="s">
        <v>28</v>
      </c>
      <c r="BP8" s="591" t="s">
        <v>21</v>
      </c>
      <c r="BQ8" s="591" t="s">
        <v>22</v>
      </c>
      <c r="BR8" s="591" t="s">
        <v>23</v>
      </c>
      <c r="BS8" s="591" t="s">
        <v>24</v>
      </c>
      <c r="BT8" s="591" t="s">
        <v>25</v>
      </c>
      <c r="BU8" s="591" t="s">
        <v>921</v>
      </c>
      <c r="BV8" s="593" t="s">
        <v>922</v>
      </c>
    </row>
    <row r="9" spans="1:74" s="11" customFormat="1" ht="33.75" customHeight="1" x14ac:dyDescent="0.25">
      <c r="A9" s="562"/>
      <c r="B9" s="563"/>
      <c r="C9" s="12" t="s">
        <v>30</v>
      </c>
      <c r="D9" s="13" t="s">
        <v>31</v>
      </c>
      <c r="E9" s="14" t="s">
        <v>32</v>
      </c>
      <c r="F9" s="568"/>
      <c r="G9" s="560"/>
      <c r="H9" s="560"/>
      <c r="I9" s="569"/>
      <c r="J9" s="569"/>
      <c r="K9" s="559"/>
      <c r="L9" s="559"/>
      <c r="M9" s="559"/>
      <c r="N9" s="560"/>
      <c r="O9" s="560"/>
      <c r="P9" s="560"/>
      <c r="Q9" s="675"/>
      <c r="R9" s="560"/>
      <c r="S9" s="560"/>
      <c r="T9" s="560"/>
      <c r="U9" s="574"/>
      <c r="V9" s="560"/>
      <c r="W9" s="560"/>
      <c r="X9" s="15" t="s">
        <v>33</v>
      </c>
      <c r="Y9" s="16" t="s">
        <v>34</v>
      </c>
      <c r="Z9" s="17" t="s">
        <v>33</v>
      </c>
      <c r="AA9" s="18" t="s">
        <v>34</v>
      </c>
      <c r="AB9" s="19" t="s">
        <v>33</v>
      </c>
      <c r="AC9" s="20" t="s">
        <v>34</v>
      </c>
      <c r="AD9" s="15" t="s">
        <v>33</v>
      </c>
      <c r="AE9" s="16" t="s">
        <v>34</v>
      </c>
      <c r="AF9" s="15" t="s">
        <v>33</v>
      </c>
      <c r="AG9" s="16" t="s">
        <v>34</v>
      </c>
      <c r="AH9" s="15" t="s">
        <v>33</v>
      </c>
      <c r="AI9" s="16" t="s">
        <v>34</v>
      </c>
      <c r="AJ9" s="15" t="s">
        <v>33</v>
      </c>
      <c r="AK9" s="15" t="s">
        <v>34</v>
      </c>
      <c r="AL9" s="15" t="s">
        <v>33</v>
      </c>
      <c r="AM9" s="16" t="s">
        <v>34</v>
      </c>
      <c r="AN9" s="15" t="s">
        <v>33</v>
      </c>
      <c r="AO9" s="16" t="s">
        <v>34</v>
      </c>
      <c r="AP9" s="21" t="s">
        <v>33</v>
      </c>
      <c r="AQ9" s="18" t="s">
        <v>34</v>
      </c>
      <c r="AR9" s="585"/>
      <c r="AS9" s="585"/>
      <c r="AT9" s="585"/>
      <c r="AU9" s="585"/>
      <c r="AV9" s="586"/>
      <c r="AW9" s="586"/>
      <c r="AX9" s="596"/>
      <c r="AY9" s="596"/>
      <c r="AZ9" s="596"/>
      <c r="BA9" s="596"/>
      <c r="BB9" s="598"/>
      <c r="BC9" s="598"/>
      <c r="BD9" s="598"/>
      <c r="BE9" s="598"/>
      <c r="BF9" s="594"/>
      <c r="BG9" s="594"/>
      <c r="BH9" s="594"/>
      <c r="BI9" s="594"/>
      <c r="BJ9" s="594"/>
      <c r="BK9" s="594"/>
      <c r="BL9" s="584"/>
      <c r="BM9" s="584"/>
      <c r="BN9" s="584"/>
      <c r="BO9" s="584"/>
      <c r="BP9" s="592"/>
      <c r="BQ9" s="592"/>
      <c r="BR9" s="592"/>
      <c r="BS9" s="592"/>
      <c r="BT9" s="592"/>
      <c r="BU9" s="592"/>
      <c r="BV9" s="594"/>
    </row>
    <row r="10" spans="1:74" s="11" customFormat="1" ht="6" customHeight="1" x14ac:dyDescent="0.25">
      <c r="A10" s="22"/>
      <c r="B10" s="23"/>
      <c r="C10" s="24"/>
      <c r="D10" s="25"/>
      <c r="E10" s="26"/>
      <c r="F10" s="27"/>
      <c r="G10" s="28"/>
      <c r="H10" s="28"/>
      <c r="I10" s="29"/>
      <c r="J10" s="29"/>
      <c r="K10" s="27"/>
      <c r="L10" s="27"/>
      <c r="M10" s="27"/>
      <c r="N10" s="30"/>
      <c r="O10" s="28"/>
      <c r="P10" s="28"/>
      <c r="Q10" s="30"/>
      <c r="R10" s="28"/>
      <c r="S10" s="28"/>
      <c r="T10" s="28"/>
      <c r="U10" s="31"/>
      <c r="V10" s="28"/>
      <c r="W10" s="28"/>
      <c r="X10" s="15"/>
      <c r="Y10" s="16"/>
      <c r="Z10" s="17"/>
      <c r="AA10" s="18"/>
      <c r="AB10" s="19"/>
      <c r="AC10" s="20"/>
      <c r="AD10" s="15"/>
      <c r="AE10" s="16"/>
      <c r="AF10" s="15"/>
      <c r="AG10" s="16"/>
      <c r="AH10" s="15"/>
      <c r="AI10" s="16"/>
      <c r="AJ10" s="15"/>
      <c r="AK10" s="15"/>
      <c r="AL10" s="15"/>
      <c r="AM10" s="16"/>
      <c r="AN10" s="15"/>
      <c r="AO10" s="16"/>
      <c r="AP10" s="32"/>
      <c r="AQ10" s="18"/>
      <c r="AR10" s="33"/>
      <c r="AS10" s="33"/>
      <c r="AT10" s="33"/>
      <c r="AU10" s="33"/>
      <c r="AV10" s="34"/>
      <c r="AW10" s="34"/>
      <c r="AX10" s="34"/>
      <c r="AY10" s="34"/>
      <c r="AZ10" s="34"/>
      <c r="BA10" s="34"/>
      <c r="BB10" s="35"/>
      <c r="BC10" s="35"/>
      <c r="BD10" s="35"/>
      <c r="BE10" s="35"/>
      <c r="BF10" s="36"/>
      <c r="BG10" s="36"/>
      <c r="BH10" s="36"/>
      <c r="BI10" s="36"/>
      <c r="BJ10" s="36"/>
      <c r="BK10" s="36"/>
      <c r="BL10" s="37"/>
      <c r="BM10" s="37"/>
      <c r="BN10" s="37"/>
      <c r="BO10" s="37"/>
      <c r="BP10" s="38"/>
      <c r="BQ10" s="38"/>
      <c r="BR10" s="38"/>
      <c r="BS10" s="38"/>
      <c r="BT10" s="38"/>
      <c r="BU10" s="38"/>
      <c r="BV10" s="36"/>
    </row>
    <row r="11" spans="1:74" s="11" customFormat="1" ht="24.75" customHeight="1" x14ac:dyDescent="0.25">
      <c r="A11" s="39"/>
      <c r="B11" s="40"/>
      <c r="C11" s="41">
        <v>1</v>
      </c>
      <c r="D11" s="42" t="s">
        <v>35</v>
      </c>
      <c r="E11" s="43"/>
      <c r="F11" s="44"/>
      <c r="G11" s="44"/>
      <c r="H11" s="44"/>
      <c r="I11" s="43"/>
      <c r="J11" s="44"/>
      <c r="K11" s="44"/>
      <c r="L11" s="45"/>
      <c r="M11" s="43"/>
      <c r="N11" s="46"/>
      <c r="O11" s="44"/>
      <c r="P11" s="44"/>
      <c r="Q11" s="47"/>
      <c r="R11" s="44"/>
      <c r="S11" s="44"/>
      <c r="T11" s="43"/>
      <c r="U11" s="48"/>
      <c r="V11" s="43"/>
      <c r="W11" s="43"/>
      <c r="X11" s="49">
        <f t="shared" ref="X11:AO11" si="0">X12</f>
        <v>0</v>
      </c>
      <c r="Y11" s="49">
        <f t="shared" si="0"/>
        <v>0</v>
      </c>
      <c r="Z11" s="49">
        <f t="shared" si="0"/>
        <v>0</v>
      </c>
      <c r="AA11" s="49">
        <f t="shared" si="0"/>
        <v>0</v>
      </c>
      <c r="AB11" s="49">
        <f t="shared" si="0"/>
        <v>849366350</v>
      </c>
      <c r="AC11" s="49">
        <f t="shared" si="0"/>
        <v>1055013605</v>
      </c>
      <c r="AD11" s="49">
        <f t="shared" si="0"/>
        <v>0</v>
      </c>
      <c r="AE11" s="49">
        <f t="shared" si="0"/>
        <v>0</v>
      </c>
      <c r="AF11" s="49">
        <f t="shared" si="0"/>
        <v>0</v>
      </c>
      <c r="AG11" s="49">
        <f t="shared" si="0"/>
        <v>0</v>
      </c>
      <c r="AH11" s="49">
        <f t="shared" si="0"/>
        <v>2248717121</v>
      </c>
      <c r="AI11" s="49">
        <f t="shared" si="0"/>
        <v>2252293686</v>
      </c>
      <c r="AJ11" s="49">
        <f t="shared" si="0"/>
        <v>0</v>
      </c>
      <c r="AK11" s="49">
        <f t="shared" si="0"/>
        <v>0</v>
      </c>
      <c r="AL11" s="49">
        <f t="shared" si="0"/>
        <v>0</v>
      </c>
      <c r="AM11" s="49">
        <f t="shared" si="0"/>
        <v>0</v>
      </c>
      <c r="AN11" s="49">
        <f t="shared" si="0"/>
        <v>1379572379</v>
      </c>
      <c r="AO11" s="49">
        <f t="shared" si="0"/>
        <v>0</v>
      </c>
      <c r="AP11" s="50">
        <f>AP12</f>
        <v>4477655850</v>
      </c>
      <c r="AQ11" s="49">
        <f>AQ12</f>
        <v>3307307291</v>
      </c>
      <c r="AR11" s="51"/>
      <c r="AS11" s="51"/>
      <c r="AT11" s="51"/>
      <c r="AU11" s="51"/>
      <c r="AV11" s="51"/>
      <c r="AW11" s="51"/>
      <c r="AX11" s="52"/>
      <c r="AY11" s="52"/>
      <c r="AZ11" s="52"/>
      <c r="BA11" s="52">
        <f>BA12</f>
        <v>3905809302.4091997</v>
      </c>
      <c r="BB11" s="52"/>
      <c r="BC11" s="52"/>
      <c r="BD11" s="52"/>
      <c r="BE11" s="52"/>
      <c r="BF11" s="52"/>
      <c r="BG11" s="52"/>
      <c r="BH11" s="52"/>
      <c r="BI11" s="52"/>
      <c r="BJ11" s="52"/>
      <c r="BK11" s="52">
        <f>BK12</f>
        <v>10823833477.481499</v>
      </c>
      <c r="BL11" s="53"/>
      <c r="BM11" s="53"/>
      <c r="BN11" s="53"/>
      <c r="BO11" s="53"/>
      <c r="BP11" s="53"/>
      <c r="BQ11" s="53"/>
      <c r="BR11" s="53"/>
      <c r="BS11" s="53"/>
      <c r="BT11" s="53"/>
      <c r="BU11" s="52">
        <f>BU12</f>
        <v>4990465088.4799995</v>
      </c>
      <c r="BV11" s="54">
        <f t="shared" ref="BV11:BV19" si="1">SUM(AR11:BU11)</f>
        <v>19720107868.370697</v>
      </c>
    </row>
    <row r="12" spans="1:74" s="11" customFormat="1" ht="24.75" customHeight="1" x14ac:dyDescent="0.25">
      <c r="A12" s="39"/>
      <c r="B12" s="40"/>
      <c r="C12" s="55"/>
      <c r="D12" s="56">
        <v>1</v>
      </c>
      <c r="E12" s="57" t="s">
        <v>36</v>
      </c>
      <c r="F12" s="58"/>
      <c r="G12" s="59"/>
      <c r="H12" s="59"/>
      <c r="I12" s="60"/>
      <c r="J12" s="61"/>
      <c r="K12" s="61"/>
      <c r="L12" s="62"/>
      <c r="M12" s="60"/>
      <c r="N12" s="63"/>
      <c r="O12" s="61"/>
      <c r="P12" s="61"/>
      <c r="Q12" s="64"/>
      <c r="R12" s="61"/>
      <c r="S12" s="61"/>
      <c r="T12" s="60"/>
      <c r="U12" s="65"/>
      <c r="V12" s="60"/>
      <c r="W12" s="60"/>
      <c r="X12" s="66">
        <f t="shared" ref="X12:AO12" si="2">X13+X21+X29</f>
        <v>0</v>
      </c>
      <c r="Y12" s="66">
        <f t="shared" si="2"/>
        <v>0</v>
      </c>
      <c r="Z12" s="66">
        <f t="shared" si="2"/>
        <v>0</v>
      </c>
      <c r="AA12" s="66">
        <f t="shared" si="2"/>
        <v>0</v>
      </c>
      <c r="AB12" s="66">
        <f t="shared" si="2"/>
        <v>849366350</v>
      </c>
      <c r="AC12" s="66">
        <f t="shared" si="2"/>
        <v>1055013605</v>
      </c>
      <c r="AD12" s="66">
        <f t="shared" si="2"/>
        <v>0</v>
      </c>
      <c r="AE12" s="66">
        <f t="shared" si="2"/>
        <v>0</v>
      </c>
      <c r="AF12" s="66">
        <f t="shared" si="2"/>
        <v>0</v>
      </c>
      <c r="AG12" s="66">
        <f t="shared" si="2"/>
        <v>0</v>
      </c>
      <c r="AH12" s="66">
        <f t="shared" si="2"/>
        <v>2248717121</v>
      </c>
      <c r="AI12" s="66">
        <f t="shared" si="2"/>
        <v>2252293686</v>
      </c>
      <c r="AJ12" s="66">
        <f t="shared" si="2"/>
        <v>0</v>
      </c>
      <c r="AK12" s="66">
        <f t="shared" si="2"/>
        <v>0</v>
      </c>
      <c r="AL12" s="66">
        <f t="shared" si="2"/>
        <v>0</v>
      </c>
      <c r="AM12" s="66">
        <f t="shared" si="2"/>
        <v>0</v>
      </c>
      <c r="AN12" s="66">
        <f t="shared" si="2"/>
        <v>1379572379</v>
      </c>
      <c r="AO12" s="66">
        <f t="shared" si="2"/>
        <v>0</v>
      </c>
      <c r="AP12" s="67">
        <f>AP13+AP21+AP29</f>
        <v>4477655850</v>
      </c>
      <c r="AQ12" s="66">
        <f>AQ13+AQ21+AQ29</f>
        <v>3307307291</v>
      </c>
      <c r="AR12" s="68"/>
      <c r="AS12" s="68"/>
      <c r="AT12" s="68"/>
      <c r="AU12" s="68"/>
      <c r="AV12" s="68"/>
      <c r="AW12" s="68"/>
      <c r="AX12" s="68"/>
      <c r="AY12" s="68"/>
      <c r="AZ12" s="68"/>
      <c r="BA12" s="68">
        <f>BA13+BA21+BA29</f>
        <v>3905809302.4091997</v>
      </c>
      <c r="BB12" s="68"/>
      <c r="BC12" s="68"/>
      <c r="BD12" s="68"/>
      <c r="BE12" s="68"/>
      <c r="BF12" s="68"/>
      <c r="BG12" s="68"/>
      <c r="BH12" s="68"/>
      <c r="BI12" s="68"/>
      <c r="BJ12" s="68"/>
      <c r="BK12" s="68">
        <f>BK13+BK21+BK29</f>
        <v>10823833477.481499</v>
      </c>
      <c r="BL12" s="68"/>
      <c r="BM12" s="68"/>
      <c r="BN12" s="68"/>
      <c r="BO12" s="68"/>
      <c r="BP12" s="68"/>
      <c r="BQ12" s="68"/>
      <c r="BR12" s="68"/>
      <c r="BS12" s="68"/>
      <c r="BT12" s="68"/>
      <c r="BU12" s="68">
        <f>BU13+BU21+BU29</f>
        <v>4990465088.4799995</v>
      </c>
      <c r="BV12" s="69">
        <f t="shared" si="1"/>
        <v>19720107868.370697</v>
      </c>
    </row>
    <row r="13" spans="1:74" s="11" customFormat="1" ht="24.75" customHeight="1" x14ac:dyDescent="0.25">
      <c r="A13" s="39"/>
      <c r="B13" s="40"/>
      <c r="C13" s="70"/>
      <c r="D13" s="55"/>
      <c r="E13" s="71">
        <v>1</v>
      </c>
      <c r="F13" s="72" t="s">
        <v>37</v>
      </c>
      <c r="G13" s="73"/>
      <c r="H13" s="72"/>
      <c r="I13" s="74"/>
      <c r="J13" s="75"/>
      <c r="K13" s="75"/>
      <c r="L13" s="74"/>
      <c r="M13" s="76"/>
      <c r="N13" s="77"/>
      <c r="O13" s="75"/>
      <c r="P13" s="75"/>
      <c r="Q13" s="78"/>
      <c r="R13" s="75"/>
      <c r="S13" s="75"/>
      <c r="T13" s="76"/>
      <c r="U13" s="79"/>
      <c r="V13" s="76"/>
      <c r="W13" s="76"/>
      <c r="X13" s="80">
        <f t="shared" ref="X13:AO13" si="3">SUM(X14:X20)</f>
        <v>0</v>
      </c>
      <c r="Y13" s="80">
        <f t="shared" si="3"/>
        <v>0</v>
      </c>
      <c r="Z13" s="80">
        <f t="shared" si="3"/>
        <v>0</v>
      </c>
      <c r="AA13" s="80">
        <f t="shared" si="3"/>
        <v>0</v>
      </c>
      <c r="AB13" s="80">
        <f t="shared" si="3"/>
        <v>80000000</v>
      </c>
      <c r="AC13" s="80">
        <f t="shared" si="3"/>
        <v>80000000</v>
      </c>
      <c r="AD13" s="80">
        <f t="shared" si="3"/>
        <v>0</v>
      </c>
      <c r="AE13" s="80">
        <f t="shared" si="3"/>
        <v>0</v>
      </c>
      <c r="AF13" s="80">
        <f t="shared" si="3"/>
        <v>0</v>
      </c>
      <c r="AG13" s="80">
        <f t="shared" si="3"/>
        <v>0</v>
      </c>
      <c r="AH13" s="80">
        <f t="shared" si="3"/>
        <v>0</v>
      </c>
      <c r="AI13" s="80">
        <f t="shared" si="3"/>
        <v>0</v>
      </c>
      <c r="AJ13" s="80">
        <f t="shared" si="3"/>
        <v>0</v>
      </c>
      <c r="AK13" s="80">
        <f t="shared" si="3"/>
        <v>0</v>
      </c>
      <c r="AL13" s="80">
        <f t="shared" si="3"/>
        <v>0</v>
      </c>
      <c r="AM13" s="80">
        <f t="shared" si="3"/>
        <v>0</v>
      </c>
      <c r="AN13" s="80">
        <f t="shared" si="3"/>
        <v>1379572379</v>
      </c>
      <c r="AO13" s="80">
        <f t="shared" si="3"/>
        <v>0</v>
      </c>
      <c r="AP13" s="81">
        <f>SUM(AP14:AP20)</f>
        <v>1459572379</v>
      </c>
      <c r="AQ13" s="80">
        <f>SUM(AQ14:AQ20)</f>
        <v>80000000</v>
      </c>
      <c r="AR13" s="82"/>
      <c r="AS13" s="82"/>
      <c r="AT13" s="82"/>
      <c r="AU13" s="82"/>
      <c r="AV13" s="82"/>
      <c r="AW13" s="82"/>
      <c r="AX13" s="82"/>
      <c r="AY13" s="82"/>
      <c r="AZ13" s="82"/>
      <c r="BA13" s="82">
        <f>SUM(BA14:BA20)</f>
        <v>1060000000</v>
      </c>
      <c r="BB13" s="82"/>
      <c r="BC13" s="82"/>
      <c r="BD13" s="82"/>
      <c r="BE13" s="82"/>
      <c r="BF13" s="82"/>
      <c r="BG13" s="82"/>
      <c r="BH13" s="82"/>
      <c r="BI13" s="82"/>
      <c r="BJ13" s="82"/>
      <c r="BK13" s="82">
        <f>SUM(BK14:BK20)</f>
        <v>7934449896</v>
      </c>
      <c r="BL13" s="82"/>
      <c r="BM13" s="82"/>
      <c r="BN13" s="82"/>
      <c r="BO13" s="82"/>
      <c r="BP13" s="82"/>
      <c r="BQ13" s="82"/>
      <c r="BR13" s="82"/>
      <c r="BS13" s="82"/>
      <c r="BT13" s="82"/>
      <c r="BU13" s="82">
        <f>SUM(BU14:BU20)</f>
        <v>2015000000</v>
      </c>
      <c r="BV13" s="83">
        <f t="shared" si="1"/>
        <v>11009449896</v>
      </c>
    </row>
    <row r="14" spans="1:74" s="104" customFormat="1" ht="138" customHeight="1" x14ac:dyDescent="0.25">
      <c r="A14" s="84">
        <v>1</v>
      </c>
      <c r="B14" s="84">
        <v>1</v>
      </c>
      <c r="C14" s="70"/>
      <c r="D14" s="70"/>
      <c r="E14" s="85">
        <v>1</v>
      </c>
      <c r="F14" s="86" t="s">
        <v>38</v>
      </c>
      <c r="G14" s="87" t="s">
        <v>39</v>
      </c>
      <c r="H14" s="88" t="s">
        <v>40</v>
      </c>
      <c r="I14" s="89">
        <v>1</v>
      </c>
      <c r="J14" s="90" t="s">
        <v>41</v>
      </c>
      <c r="K14" s="86" t="s">
        <v>42</v>
      </c>
      <c r="L14" s="91" t="s">
        <v>43</v>
      </c>
      <c r="M14" s="91">
        <v>10</v>
      </c>
      <c r="N14" s="92" t="s">
        <v>44</v>
      </c>
      <c r="O14" s="93">
        <v>0</v>
      </c>
      <c r="P14" s="93">
        <v>1</v>
      </c>
      <c r="Q14" s="94">
        <v>1</v>
      </c>
      <c r="R14" s="95">
        <v>1</v>
      </c>
      <c r="S14" s="95">
        <v>1</v>
      </c>
      <c r="T14" s="92">
        <v>1</v>
      </c>
      <c r="U14" s="96">
        <f>AP14/$AP$13</f>
        <v>2.055396527889488E-2</v>
      </c>
      <c r="V14" s="97">
        <v>15</v>
      </c>
      <c r="W14" s="98" t="s">
        <v>45</v>
      </c>
      <c r="X14" s="99"/>
      <c r="Y14" s="100"/>
      <c r="Z14" s="99"/>
      <c r="AA14" s="100"/>
      <c r="AB14" s="99">
        <v>30000000</v>
      </c>
      <c r="AC14" s="101">
        <v>30000000</v>
      </c>
      <c r="AD14" s="99"/>
      <c r="AE14" s="100"/>
      <c r="AF14" s="99"/>
      <c r="AG14" s="100"/>
      <c r="AH14" s="99"/>
      <c r="AI14" s="100"/>
      <c r="AJ14" s="99"/>
      <c r="AK14" s="100"/>
      <c r="AL14" s="99"/>
      <c r="AM14" s="100"/>
      <c r="AN14" s="99"/>
      <c r="AO14" s="100"/>
      <c r="AP14" s="99">
        <f t="shared" ref="AP14:AP20" si="4">+X14+Z14+AB14+AD14+AF14+AH14+AJ14+AL14+AN14</f>
        <v>30000000</v>
      </c>
      <c r="AQ14" s="100">
        <f t="shared" ref="AQ14:AQ20" si="5">Y14+AA14+AC14+AE14+AG14+AI14+AK14+AM14+AO14</f>
        <v>30000000</v>
      </c>
      <c r="AR14" s="102"/>
      <c r="AS14" s="102"/>
      <c r="AT14" s="102">
        <v>22500000</v>
      </c>
      <c r="AU14" s="102"/>
      <c r="AV14" s="102"/>
      <c r="AW14" s="102"/>
      <c r="AX14" s="102"/>
      <c r="AY14" s="102"/>
      <c r="AZ14" s="102"/>
      <c r="BA14" s="102">
        <f t="shared" ref="BA14:BA19" si="6">SUM(AR14:AZ14)</f>
        <v>22500000</v>
      </c>
      <c r="BB14" s="102"/>
      <c r="BC14" s="102"/>
      <c r="BD14" s="102">
        <v>11250000</v>
      </c>
      <c r="BE14" s="102"/>
      <c r="BF14" s="102"/>
      <c r="BG14" s="102"/>
      <c r="BH14" s="102"/>
      <c r="BI14" s="102"/>
      <c r="BJ14" s="102"/>
      <c r="BK14" s="102">
        <f t="shared" ref="BK14:BK19" si="7">SUM(BB14:BJ14)</f>
        <v>11250000</v>
      </c>
      <c r="BL14" s="102"/>
      <c r="BM14" s="102"/>
      <c r="BN14" s="102">
        <v>7525000</v>
      </c>
      <c r="BO14" s="102"/>
      <c r="BP14" s="102"/>
      <c r="BQ14" s="102"/>
      <c r="BR14" s="102"/>
      <c r="BS14" s="102"/>
      <c r="BT14" s="102"/>
      <c r="BU14" s="102">
        <f t="shared" ref="BU14:BU19" si="8">SUM(BL14:BT14)</f>
        <v>7525000</v>
      </c>
      <c r="BV14" s="103">
        <f t="shared" si="1"/>
        <v>82550000</v>
      </c>
    </row>
    <row r="15" spans="1:74" ht="73.5" customHeight="1" x14ac:dyDescent="0.2">
      <c r="A15" s="105">
        <v>2</v>
      </c>
      <c r="B15" s="84">
        <v>1</v>
      </c>
      <c r="C15" s="70"/>
      <c r="D15" s="70"/>
      <c r="E15" s="85"/>
      <c r="F15" s="575" t="s">
        <v>46</v>
      </c>
      <c r="G15" s="106" t="s">
        <v>47</v>
      </c>
      <c r="H15" s="106" t="s">
        <v>48</v>
      </c>
      <c r="I15" s="89">
        <v>2</v>
      </c>
      <c r="J15" s="90" t="s">
        <v>49</v>
      </c>
      <c r="K15" s="86" t="s">
        <v>50</v>
      </c>
      <c r="L15" s="91" t="s">
        <v>43</v>
      </c>
      <c r="M15" s="91">
        <v>10</v>
      </c>
      <c r="N15" s="107" t="s">
        <v>44</v>
      </c>
      <c r="O15" s="93">
        <v>3</v>
      </c>
      <c r="P15" s="93">
        <v>4</v>
      </c>
      <c r="Q15" s="108">
        <v>4</v>
      </c>
      <c r="R15" s="93">
        <v>4</v>
      </c>
      <c r="S15" s="93">
        <v>4</v>
      </c>
      <c r="T15" s="107">
        <v>4</v>
      </c>
      <c r="U15" s="96">
        <f>AP15/$AP$13</f>
        <v>6.8513217596316272E-3</v>
      </c>
      <c r="V15" s="97">
        <v>15</v>
      </c>
      <c r="W15" s="98" t="s">
        <v>45</v>
      </c>
      <c r="X15" s="99"/>
      <c r="Y15" s="100"/>
      <c r="Z15" s="99"/>
      <c r="AA15" s="100"/>
      <c r="AB15" s="99">
        <v>10000000</v>
      </c>
      <c r="AC15" s="101">
        <v>10000000</v>
      </c>
      <c r="AD15" s="99"/>
      <c r="AE15" s="100"/>
      <c r="AF15" s="99"/>
      <c r="AG15" s="100"/>
      <c r="AH15" s="99"/>
      <c r="AI15" s="100"/>
      <c r="AJ15" s="99"/>
      <c r="AK15" s="100"/>
      <c r="AL15" s="99"/>
      <c r="AM15" s="100"/>
      <c r="AN15" s="99"/>
      <c r="AO15" s="100"/>
      <c r="AP15" s="99">
        <f t="shared" si="4"/>
        <v>10000000</v>
      </c>
      <c r="AQ15" s="100">
        <f t="shared" si="5"/>
        <v>10000000</v>
      </c>
      <c r="AR15" s="109"/>
      <c r="AS15" s="109"/>
      <c r="AT15" s="102">
        <v>7500000</v>
      </c>
      <c r="AU15" s="102"/>
      <c r="AV15" s="109"/>
      <c r="AW15" s="109"/>
      <c r="AX15" s="109"/>
      <c r="AY15" s="109"/>
      <c r="AZ15" s="109"/>
      <c r="BA15" s="102">
        <f t="shared" si="6"/>
        <v>7500000</v>
      </c>
      <c r="BB15" s="102"/>
      <c r="BC15" s="102"/>
      <c r="BD15" s="102">
        <v>3750000</v>
      </c>
      <c r="BE15" s="102"/>
      <c r="BF15" s="102"/>
      <c r="BG15" s="102"/>
      <c r="BH15" s="102"/>
      <c r="BI15" s="102"/>
      <c r="BJ15" s="102"/>
      <c r="BK15" s="102">
        <f t="shared" si="7"/>
        <v>3750000</v>
      </c>
      <c r="BL15" s="102"/>
      <c r="BM15" s="102"/>
      <c r="BN15" s="102">
        <v>1875000</v>
      </c>
      <c r="BO15" s="102"/>
      <c r="BP15" s="102"/>
      <c r="BQ15" s="102"/>
      <c r="BR15" s="102"/>
      <c r="BS15" s="102"/>
      <c r="BT15" s="102"/>
      <c r="BU15" s="102">
        <f t="shared" si="8"/>
        <v>1875000</v>
      </c>
      <c r="BV15" s="103">
        <f t="shared" si="1"/>
        <v>26250000</v>
      </c>
    </row>
    <row r="16" spans="1:74" ht="114.75" customHeight="1" x14ac:dyDescent="0.2">
      <c r="A16" s="84">
        <v>3</v>
      </c>
      <c r="B16" s="84">
        <v>1</v>
      </c>
      <c r="C16" s="70"/>
      <c r="D16" s="70"/>
      <c r="E16" s="110">
        <v>4</v>
      </c>
      <c r="F16" s="576"/>
      <c r="G16" s="88"/>
      <c r="H16" s="88"/>
      <c r="I16" s="89">
        <v>3</v>
      </c>
      <c r="J16" s="90" t="s">
        <v>51</v>
      </c>
      <c r="K16" s="86" t="s">
        <v>52</v>
      </c>
      <c r="L16" s="91" t="s">
        <v>43</v>
      </c>
      <c r="M16" s="91">
        <v>10</v>
      </c>
      <c r="N16" s="92" t="s">
        <v>44</v>
      </c>
      <c r="O16" s="93">
        <v>1</v>
      </c>
      <c r="P16" s="93">
        <v>1</v>
      </c>
      <c r="Q16" s="94">
        <v>1</v>
      </c>
      <c r="R16" s="95">
        <v>1</v>
      </c>
      <c r="S16" s="95">
        <v>1</v>
      </c>
      <c r="T16" s="92">
        <v>1</v>
      </c>
      <c r="U16" s="96">
        <f>AP16/$AP$13</f>
        <v>0.9554664085623944</v>
      </c>
      <c r="V16" s="97">
        <v>15</v>
      </c>
      <c r="W16" s="98" t="s">
        <v>45</v>
      </c>
      <c r="X16" s="99"/>
      <c r="Y16" s="100"/>
      <c r="Z16" s="99"/>
      <c r="AA16" s="100"/>
      <c r="AB16" s="99">
        <v>15000000</v>
      </c>
      <c r="AC16" s="101">
        <v>15000000</v>
      </c>
      <c r="AD16" s="99"/>
      <c r="AE16" s="100"/>
      <c r="AF16" s="99"/>
      <c r="AG16" s="100"/>
      <c r="AH16" s="99"/>
      <c r="AI16" s="100"/>
      <c r="AJ16" s="99"/>
      <c r="AK16" s="100"/>
      <c r="AL16" s="99"/>
      <c r="AM16" s="100"/>
      <c r="AN16" s="99">
        <f>1394572379-15000000</f>
        <v>1379572379</v>
      </c>
      <c r="AO16" s="100"/>
      <c r="AP16" s="99">
        <f t="shared" si="4"/>
        <v>1394572379</v>
      </c>
      <c r="AQ16" s="100">
        <f t="shared" si="5"/>
        <v>15000000</v>
      </c>
      <c r="AR16" s="109"/>
      <c r="AS16" s="109"/>
      <c r="AT16" s="102">
        <v>11250000</v>
      </c>
      <c r="AU16" s="102"/>
      <c r="AV16" s="109"/>
      <c r="AW16" s="109"/>
      <c r="AX16" s="109"/>
      <c r="AY16" s="109"/>
      <c r="AZ16" s="109"/>
      <c r="BA16" s="102">
        <f t="shared" si="6"/>
        <v>11250000</v>
      </c>
      <c r="BB16" s="102"/>
      <c r="BC16" s="102"/>
      <c r="BD16" s="102">
        <v>5625000</v>
      </c>
      <c r="BE16" s="102"/>
      <c r="BF16" s="102"/>
      <c r="BG16" s="102"/>
      <c r="BH16" s="102"/>
      <c r="BI16" s="102"/>
      <c r="BJ16" s="102"/>
      <c r="BK16" s="102">
        <f t="shared" si="7"/>
        <v>5625000</v>
      </c>
      <c r="BL16" s="102"/>
      <c r="BM16" s="102"/>
      <c r="BN16" s="102">
        <v>2800000</v>
      </c>
      <c r="BO16" s="102"/>
      <c r="BP16" s="102"/>
      <c r="BQ16" s="102"/>
      <c r="BR16" s="102"/>
      <c r="BS16" s="102"/>
      <c r="BT16" s="102"/>
      <c r="BU16" s="102">
        <f t="shared" si="8"/>
        <v>2800000</v>
      </c>
      <c r="BV16" s="103">
        <f t="shared" si="1"/>
        <v>39350000</v>
      </c>
    </row>
    <row r="17" spans="1:74" ht="93" customHeight="1" x14ac:dyDescent="0.2">
      <c r="A17" s="105">
        <v>4</v>
      </c>
      <c r="B17" s="84">
        <v>1</v>
      </c>
      <c r="C17" s="70"/>
      <c r="D17" s="70"/>
      <c r="E17" s="111">
        <v>1</v>
      </c>
      <c r="F17" s="112" t="s">
        <v>38</v>
      </c>
      <c r="G17" s="87" t="s">
        <v>39</v>
      </c>
      <c r="H17" s="113" t="s">
        <v>40</v>
      </c>
      <c r="I17" s="89">
        <v>4</v>
      </c>
      <c r="J17" s="90" t="s">
        <v>53</v>
      </c>
      <c r="K17" s="86" t="s">
        <v>54</v>
      </c>
      <c r="L17" s="91" t="s">
        <v>43</v>
      </c>
      <c r="M17" s="91">
        <v>10</v>
      </c>
      <c r="N17" s="91" t="s">
        <v>44</v>
      </c>
      <c r="O17" s="108">
        <v>0</v>
      </c>
      <c r="P17" s="108">
        <v>1</v>
      </c>
      <c r="Q17" s="94">
        <v>0</v>
      </c>
      <c r="R17" s="94">
        <v>1</v>
      </c>
      <c r="S17" s="94">
        <v>1</v>
      </c>
      <c r="T17" s="91">
        <v>1</v>
      </c>
      <c r="U17" s="96">
        <f>AP17/$AP$13</f>
        <v>0</v>
      </c>
      <c r="V17" s="97">
        <v>7</v>
      </c>
      <c r="W17" s="98" t="s">
        <v>55</v>
      </c>
      <c r="X17" s="99"/>
      <c r="Y17" s="100"/>
      <c r="Z17" s="99"/>
      <c r="AA17" s="100"/>
      <c r="AB17" s="99"/>
      <c r="AC17" s="100"/>
      <c r="AD17" s="99"/>
      <c r="AE17" s="100"/>
      <c r="AF17" s="99"/>
      <c r="AG17" s="100"/>
      <c r="AH17" s="99"/>
      <c r="AI17" s="100"/>
      <c r="AJ17" s="99"/>
      <c r="AK17" s="100"/>
      <c r="AL17" s="99"/>
      <c r="AM17" s="100"/>
      <c r="AN17" s="99"/>
      <c r="AO17" s="100"/>
      <c r="AP17" s="99">
        <f t="shared" si="4"/>
        <v>0</v>
      </c>
      <c r="AQ17" s="100">
        <f t="shared" si="5"/>
        <v>0</v>
      </c>
      <c r="AR17" s="109"/>
      <c r="AS17" s="109"/>
      <c r="AT17" s="102" t="s">
        <v>0</v>
      </c>
      <c r="AU17" s="102"/>
      <c r="AV17" s="109"/>
      <c r="AW17" s="109"/>
      <c r="AX17" s="109"/>
      <c r="AY17" s="109"/>
      <c r="AZ17" s="109">
        <v>1000000000</v>
      </c>
      <c r="BA17" s="102">
        <f t="shared" si="6"/>
        <v>1000000000</v>
      </c>
      <c r="BB17" s="102"/>
      <c r="BC17" s="102"/>
      <c r="BD17" s="102" t="s">
        <v>0</v>
      </c>
      <c r="BE17" s="102"/>
      <c r="BF17" s="102"/>
      <c r="BG17" s="102"/>
      <c r="BH17" s="102"/>
      <c r="BI17" s="102"/>
      <c r="BJ17" s="102">
        <v>7904449896</v>
      </c>
      <c r="BK17" s="102">
        <f t="shared" si="7"/>
        <v>7904449896</v>
      </c>
      <c r="BL17" s="102"/>
      <c r="BM17" s="102"/>
      <c r="BN17" s="102" t="s">
        <v>0</v>
      </c>
      <c r="BO17" s="102"/>
      <c r="BP17" s="102"/>
      <c r="BQ17" s="102"/>
      <c r="BR17" s="102"/>
      <c r="BS17" s="102"/>
      <c r="BT17" s="102">
        <v>2000000000</v>
      </c>
      <c r="BU17" s="102">
        <f t="shared" si="8"/>
        <v>2000000000</v>
      </c>
      <c r="BV17" s="103">
        <f t="shared" si="1"/>
        <v>21808899792</v>
      </c>
    </row>
    <row r="18" spans="1:74" ht="87.75" customHeight="1" x14ac:dyDescent="0.2">
      <c r="A18" s="84">
        <v>5</v>
      </c>
      <c r="B18" s="84">
        <v>1</v>
      </c>
      <c r="C18" s="70"/>
      <c r="D18" s="70"/>
      <c r="E18" s="110"/>
      <c r="F18" s="114"/>
      <c r="G18" s="115"/>
      <c r="H18" s="116"/>
      <c r="I18" s="89">
        <v>5</v>
      </c>
      <c r="J18" s="90" t="s">
        <v>56</v>
      </c>
      <c r="K18" s="86" t="s">
        <v>57</v>
      </c>
      <c r="L18" s="91" t="s">
        <v>43</v>
      </c>
      <c r="M18" s="91">
        <v>10</v>
      </c>
      <c r="N18" s="92" t="s">
        <v>58</v>
      </c>
      <c r="O18" s="93">
        <v>3</v>
      </c>
      <c r="P18" s="93">
        <v>5</v>
      </c>
      <c r="Q18" s="94">
        <v>1</v>
      </c>
      <c r="R18" s="95">
        <v>2</v>
      </c>
      <c r="S18" s="95">
        <v>2</v>
      </c>
      <c r="T18" s="92">
        <v>0</v>
      </c>
      <c r="U18" s="96">
        <f>AP18/$AP$13</f>
        <v>6.8513217596316272E-3</v>
      </c>
      <c r="V18" s="97">
        <v>12</v>
      </c>
      <c r="W18" s="98" t="s">
        <v>59</v>
      </c>
      <c r="X18" s="99"/>
      <c r="Y18" s="100"/>
      <c r="Z18" s="99"/>
      <c r="AA18" s="100"/>
      <c r="AB18" s="99">
        <v>10000000</v>
      </c>
      <c r="AC18" s="100">
        <v>10000000</v>
      </c>
      <c r="AD18" s="99"/>
      <c r="AE18" s="100"/>
      <c r="AF18" s="99"/>
      <c r="AG18" s="100"/>
      <c r="AH18" s="99"/>
      <c r="AI18" s="100"/>
      <c r="AJ18" s="99"/>
      <c r="AK18" s="100"/>
      <c r="AL18" s="99"/>
      <c r="AM18" s="100"/>
      <c r="AN18" s="99"/>
      <c r="AO18" s="100"/>
      <c r="AP18" s="99">
        <f t="shared" si="4"/>
        <v>10000000</v>
      </c>
      <c r="AQ18" s="100">
        <f t="shared" si="5"/>
        <v>10000000</v>
      </c>
      <c r="AR18" s="109"/>
      <c r="AS18" s="109"/>
      <c r="AT18" s="102">
        <v>7500000</v>
      </c>
      <c r="AU18" s="102"/>
      <c r="AV18" s="109"/>
      <c r="AW18" s="109"/>
      <c r="AX18" s="109"/>
      <c r="AY18" s="109"/>
      <c r="AZ18" s="109"/>
      <c r="BA18" s="102">
        <f t="shared" si="6"/>
        <v>7500000</v>
      </c>
      <c r="BB18" s="102"/>
      <c r="BC18" s="102"/>
      <c r="BD18" s="102">
        <v>3750000</v>
      </c>
      <c r="BE18" s="102"/>
      <c r="BF18" s="102"/>
      <c r="BG18" s="102"/>
      <c r="BH18" s="102"/>
      <c r="BI18" s="102"/>
      <c r="BJ18" s="102"/>
      <c r="BK18" s="102">
        <f t="shared" si="7"/>
        <v>3750000</v>
      </c>
      <c r="BL18" s="102"/>
      <c r="BM18" s="102"/>
      <c r="BN18" s="102">
        <v>0</v>
      </c>
      <c r="BO18" s="102"/>
      <c r="BP18" s="102"/>
      <c r="BQ18" s="102"/>
      <c r="BR18" s="102"/>
      <c r="BS18" s="102"/>
      <c r="BT18" s="102"/>
      <c r="BU18" s="102">
        <f t="shared" si="8"/>
        <v>0</v>
      </c>
      <c r="BV18" s="103">
        <f t="shared" si="1"/>
        <v>22500000</v>
      </c>
    </row>
    <row r="19" spans="1:74" ht="107.25" customHeight="1" x14ac:dyDescent="0.2">
      <c r="A19" s="105">
        <v>6</v>
      </c>
      <c r="B19" s="84">
        <v>1</v>
      </c>
      <c r="C19" s="70"/>
      <c r="D19" s="70"/>
      <c r="E19" s="111">
        <v>2</v>
      </c>
      <c r="F19" s="86" t="s">
        <v>60</v>
      </c>
      <c r="G19" s="117" t="s">
        <v>61</v>
      </c>
      <c r="H19" s="117" t="s">
        <v>61</v>
      </c>
      <c r="I19" s="577">
        <v>6</v>
      </c>
      <c r="J19" s="579" t="s">
        <v>62</v>
      </c>
      <c r="K19" s="581" t="s">
        <v>63</v>
      </c>
      <c r="L19" s="577" t="s">
        <v>43</v>
      </c>
      <c r="M19" s="577">
        <v>10</v>
      </c>
      <c r="N19" s="587" t="s">
        <v>44</v>
      </c>
      <c r="O19" s="587">
        <v>3</v>
      </c>
      <c r="P19" s="587">
        <v>12</v>
      </c>
      <c r="Q19" s="589">
        <v>12</v>
      </c>
      <c r="R19" s="587">
        <v>12</v>
      </c>
      <c r="S19" s="587">
        <v>12</v>
      </c>
      <c r="T19" s="602">
        <v>12</v>
      </c>
      <c r="U19" s="604">
        <f>AP19/AP13</f>
        <v>1.027698263944744E-2</v>
      </c>
      <c r="V19" s="605">
        <v>15</v>
      </c>
      <c r="W19" s="607" t="s">
        <v>45</v>
      </c>
      <c r="X19" s="599"/>
      <c r="Y19" s="601"/>
      <c r="Z19" s="599"/>
      <c r="AA19" s="601"/>
      <c r="AB19" s="599">
        <v>15000000</v>
      </c>
      <c r="AC19" s="601">
        <v>15000000</v>
      </c>
      <c r="AD19" s="599"/>
      <c r="AE19" s="601"/>
      <c r="AF19" s="599"/>
      <c r="AG19" s="601"/>
      <c r="AH19" s="599"/>
      <c r="AI19" s="601"/>
      <c r="AJ19" s="599"/>
      <c r="AK19" s="601"/>
      <c r="AL19" s="599"/>
      <c r="AM19" s="601"/>
      <c r="AN19" s="599"/>
      <c r="AO19" s="601"/>
      <c r="AP19" s="99">
        <f t="shared" si="4"/>
        <v>15000000</v>
      </c>
      <c r="AQ19" s="100">
        <f t="shared" si="5"/>
        <v>15000000</v>
      </c>
      <c r="AR19" s="609"/>
      <c r="AS19" s="609"/>
      <c r="AT19" s="609">
        <v>11250000</v>
      </c>
      <c r="AU19" s="118"/>
      <c r="AV19" s="609"/>
      <c r="AW19" s="609"/>
      <c r="AX19" s="609"/>
      <c r="AY19" s="609"/>
      <c r="AZ19" s="609"/>
      <c r="BA19" s="611">
        <f t="shared" si="6"/>
        <v>11250000</v>
      </c>
      <c r="BB19" s="118"/>
      <c r="BC19" s="118"/>
      <c r="BD19" s="118">
        <v>5625000</v>
      </c>
      <c r="BE19" s="118"/>
      <c r="BF19" s="118"/>
      <c r="BG19" s="118"/>
      <c r="BH19" s="118"/>
      <c r="BI19" s="118"/>
      <c r="BJ19" s="118"/>
      <c r="BK19" s="611">
        <f t="shared" si="7"/>
        <v>5625000</v>
      </c>
      <c r="BL19" s="119"/>
      <c r="BM19" s="119"/>
      <c r="BN19" s="119">
        <v>2800000</v>
      </c>
      <c r="BO19" s="119"/>
      <c r="BP19" s="119"/>
      <c r="BQ19" s="119"/>
      <c r="BR19" s="119"/>
      <c r="BS19" s="119"/>
      <c r="BT19" s="119"/>
      <c r="BU19" s="611">
        <f t="shared" si="8"/>
        <v>2800000</v>
      </c>
      <c r="BV19" s="613">
        <f t="shared" si="1"/>
        <v>39350000</v>
      </c>
    </row>
    <row r="20" spans="1:74" ht="114" customHeight="1" x14ac:dyDescent="0.2">
      <c r="A20" s="105"/>
      <c r="B20" s="84"/>
      <c r="C20" s="70"/>
      <c r="D20" s="70"/>
      <c r="E20" s="117">
        <v>3</v>
      </c>
      <c r="F20" s="86" t="s">
        <v>64</v>
      </c>
      <c r="G20" s="120" t="s">
        <v>65</v>
      </c>
      <c r="H20" s="117" t="s">
        <v>66</v>
      </c>
      <c r="I20" s="578"/>
      <c r="J20" s="580"/>
      <c r="K20" s="582"/>
      <c r="L20" s="578"/>
      <c r="M20" s="578"/>
      <c r="N20" s="588"/>
      <c r="O20" s="588"/>
      <c r="P20" s="588"/>
      <c r="Q20" s="590"/>
      <c r="R20" s="588"/>
      <c r="S20" s="588"/>
      <c r="T20" s="603"/>
      <c r="U20" s="604"/>
      <c r="V20" s="606"/>
      <c r="W20" s="608"/>
      <c r="X20" s="600"/>
      <c r="Y20" s="601"/>
      <c r="Z20" s="600"/>
      <c r="AA20" s="601"/>
      <c r="AB20" s="600"/>
      <c r="AC20" s="601"/>
      <c r="AD20" s="600"/>
      <c r="AE20" s="601"/>
      <c r="AF20" s="600"/>
      <c r="AG20" s="601"/>
      <c r="AH20" s="600"/>
      <c r="AI20" s="601"/>
      <c r="AJ20" s="600"/>
      <c r="AK20" s="601"/>
      <c r="AL20" s="600"/>
      <c r="AM20" s="601"/>
      <c r="AN20" s="600"/>
      <c r="AO20" s="601"/>
      <c r="AP20" s="99">
        <f t="shared" si="4"/>
        <v>0</v>
      </c>
      <c r="AQ20" s="100">
        <f t="shared" si="5"/>
        <v>0</v>
      </c>
      <c r="AR20" s="610"/>
      <c r="AS20" s="610"/>
      <c r="AT20" s="610"/>
      <c r="AU20" s="121"/>
      <c r="AV20" s="610"/>
      <c r="AW20" s="610"/>
      <c r="AX20" s="610"/>
      <c r="AY20" s="610"/>
      <c r="AZ20" s="610"/>
      <c r="BA20" s="612"/>
      <c r="BB20" s="121"/>
      <c r="BC20" s="121"/>
      <c r="BD20" s="121"/>
      <c r="BE20" s="121"/>
      <c r="BF20" s="121"/>
      <c r="BG20" s="121"/>
      <c r="BH20" s="121"/>
      <c r="BI20" s="121"/>
      <c r="BJ20" s="121"/>
      <c r="BK20" s="612"/>
      <c r="BL20" s="122"/>
      <c r="BM20" s="122"/>
      <c r="BN20" s="122"/>
      <c r="BO20" s="122"/>
      <c r="BP20" s="122"/>
      <c r="BQ20" s="122"/>
      <c r="BR20" s="122"/>
      <c r="BS20" s="122"/>
      <c r="BT20" s="122"/>
      <c r="BU20" s="612"/>
      <c r="BV20" s="614"/>
    </row>
    <row r="21" spans="1:74" ht="24.75" customHeight="1" x14ac:dyDescent="0.2">
      <c r="A21" s="105"/>
      <c r="B21" s="84"/>
      <c r="C21" s="70"/>
      <c r="D21" s="70"/>
      <c r="E21" s="71">
        <v>2</v>
      </c>
      <c r="F21" s="123" t="s">
        <v>67</v>
      </c>
      <c r="G21" s="124"/>
      <c r="H21" s="125"/>
      <c r="I21" s="74"/>
      <c r="J21" s="125"/>
      <c r="K21" s="125"/>
      <c r="L21" s="74"/>
      <c r="M21" s="74"/>
      <c r="N21" s="126"/>
      <c r="O21" s="125"/>
      <c r="P21" s="125"/>
      <c r="Q21" s="127"/>
      <c r="R21" s="125"/>
      <c r="S21" s="125"/>
      <c r="T21" s="74"/>
      <c r="U21" s="128"/>
      <c r="V21" s="74"/>
      <c r="W21" s="74"/>
      <c r="X21" s="129">
        <f t="shared" ref="X21:AO21" si="9">SUM(X22:X28)</f>
        <v>0</v>
      </c>
      <c r="Y21" s="129">
        <f t="shared" si="9"/>
        <v>0</v>
      </c>
      <c r="Z21" s="129">
        <f t="shared" si="9"/>
        <v>0</v>
      </c>
      <c r="AA21" s="129">
        <f t="shared" si="9"/>
        <v>0</v>
      </c>
      <c r="AB21" s="129">
        <f t="shared" si="9"/>
        <v>60000000</v>
      </c>
      <c r="AC21" s="129">
        <f t="shared" si="9"/>
        <v>265647255</v>
      </c>
      <c r="AD21" s="129">
        <f t="shared" si="9"/>
        <v>0</v>
      </c>
      <c r="AE21" s="129">
        <f t="shared" si="9"/>
        <v>0</v>
      </c>
      <c r="AF21" s="129">
        <f t="shared" si="9"/>
        <v>0</v>
      </c>
      <c r="AG21" s="129">
        <f t="shared" si="9"/>
        <v>0</v>
      </c>
      <c r="AH21" s="129">
        <f t="shared" si="9"/>
        <v>2248717121</v>
      </c>
      <c r="AI21" s="129">
        <f t="shared" si="9"/>
        <v>2252293686</v>
      </c>
      <c r="AJ21" s="129">
        <f t="shared" si="9"/>
        <v>0</v>
      </c>
      <c r="AK21" s="129">
        <f t="shared" si="9"/>
        <v>0</v>
      </c>
      <c r="AL21" s="129">
        <f t="shared" si="9"/>
        <v>0</v>
      </c>
      <c r="AM21" s="129">
        <f t="shared" si="9"/>
        <v>0</v>
      </c>
      <c r="AN21" s="129">
        <f t="shared" si="9"/>
        <v>0</v>
      </c>
      <c r="AO21" s="129">
        <f t="shared" si="9"/>
        <v>0</v>
      </c>
      <c r="AP21" s="130">
        <f>SUM(AP22:AP28)</f>
        <v>2308717121</v>
      </c>
      <c r="AQ21" s="129">
        <f>SUM(AQ22:AQ28)</f>
        <v>2517940941</v>
      </c>
      <c r="AR21" s="131"/>
      <c r="AS21" s="131"/>
      <c r="AT21" s="131"/>
      <c r="AU21" s="131"/>
      <c r="AV21" s="131"/>
      <c r="AW21" s="131"/>
      <c r="AX21" s="131"/>
      <c r="AY21" s="131"/>
      <c r="AZ21" s="131"/>
      <c r="BA21" s="131">
        <f>SUM(BA22:BA28)</f>
        <v>2266217417.7399998</v>
      </c>
      <c r="BB21" s="131"/>
      <c r="BC21" s="131"/>
      <c r="BD21" s="131"/>
      <c r="BE21" s="131"/>
      <c r="BF21" s="131"/>
      <c r="BG21" s="131"/>
      <c r="BH21" s="131"/>
      <c r="BI21" s="131"/>
      <c r="BJ21" s="131"/>
      <c r="BK21" s="131">
        <f>SUM(BK22:BK28)</f>
        <v>2292403940.2722001</v>
      </c>
      <c r="BL21" s="131"/>
      <c r="BM21" s="131"/>
      <c r="BN21" s="131"/>
      <c r="BO21" s="131"/>
      <c r="BP21" s="131"/>
      <c r="BQ21" s="131"/>
      <c r="BR21" s="131"/>
      <c r="BS21" s="131"/>
      <c r="BT21" s="131"/>
      <c r="BU21" s="131">
        <f>SUM(BU22:BU28)</f>
        <v>2360576058.48</v>
      </c>
      <c r="BV21" s="132">
        <f t="shared" ref="BV21:BV52" si="10">SUM(AR21:BU21)</f>
        <v>6919197416.4921989</v>
      </c>
    </row>
    <row r="22" spans="1:74" ht="75.75" customHeight="1" x14ac:dyDescent="0.2">
      <c r="A22" s="84">
        <v>9</v>
      </c>
      <c r="B22" s="84">
        <v>1</v>
      </c>
      <c r="C22" s="70"/>
      <c r="D22" s="70"/>
      <c r="E22" s="85"/>
      <c r="F22" s="133"/>
      <c r="G22" s="134"/>
      <c r="H22" s="134"/>
      <c r="I22" s="89">
        <v>7</v>
      </c>
      <c r="J22" s="90" t="s">
        <v>68</v>
      </c>
      <c r="K22" s="86" t="s">
        <v>69</v>
      </c>
      <c r="L22" s="91" t="s">
        <v>43</v>
      </c>
      <c r="M22" s="91">
        <v>10</v>
      </c>
      <c r="N22" s="107" t="s">
        <v>44</v>
      </c>
      <c r="O22" s="93">
        <v>0</v>
      </c>
      <c r="P22" s="93">
        <v>1</v>
      </c>
      <c r="Q22" s="108">
        <v>1</v>
      </c>
      <c r="R22" s="93">
        <v>1</v>
      </c>
      <c r="S22" s="93">
        <v>1</v>
      </c>
      <c r="T22" s="93">
        <v>1</v>
      </c>
      <c r="U22" s="96">
        <f t="shared" ref="U22:U28" si="11">AP22/$AP$21</f>
        <v>5.4142622698556235E-3</v>
      </c>
      <c r="V22" s="97">
        <v>6</v>
      </c>
      <c r="W22" s="98" t="s">
        <v>70</v>
      </c>
      <c r="X22" s="99"/>
      <c r="Y22" s="100"/>
      <c r="Z22" s="99"/>
      <c r="AA22" s="100"/>
      <c r="AB22" s="135">
        <v>12500000</v>
      </c>
      <c r="AC22" s="101">
        <v>12500000</v>
      </c>
      <c r="AD22" s="135"/>
      <c r="AE22" s="101"/>
      <c r="AF22" s="135"/>
      <c r="AG22" s="101"/>
      <c r="AH22" s="99"/>
      <c r="AI22" s="100"/>
      <c r="AJ22" s="99"/>
      <c r="AK22" s="100"/>
      <c r="AL22" s="99"/>
      <c r="AM22" s="100"/>
      <c r="AN22" s="99"/>
      <c r="AO22" s="100"/>
      <c r="AP22" s="99">
        <f t="shared" ref="AP22:AP28" si="12">+X22+Z22+AB22+AD22+AF22+AH22+AJ22+AL22+AN22</f>
        <v>12500000</v>
      </c>
      <c r="AQ22" s="100">
        <f t="shared" ref="AQ22:AQ28" si="13">Y22+AA22+AC22+AE22+AG22+AI22+AK22+AM22+AO22</f>
        <v>12500000</v>
      </c>
      <c r="AR22" s="138"/>
      <c r="AS22" s="138"/>
      <c r="AT22" s="138">
        <v>12200000</v>
      </c>
      <c r="AU22" s="138"/>
      <c r="AV22" s="138"/>
      <c r="AW22" s="138"/>
      <c r="AX22" s="138"/>
      <c r="AY22" s="138"/>
      <c r="AZ22" s="138"/>
      <c r="BA22" s="138">
        <f t="shared" ref="BA22:BA28" si="14">SUM(AR22:AZ22)</f>
        <v>12200000</v>
      </c>
      <c r="BB22" s="138"/>
      <c r="BC22" s="138"/>
      <c r="BD22" s="138">
        <v>12400000</v>
      </c>
      <c r="BE22" s="138"/>
      <c r="BF22" s="138"/>
      <c r="BG22" s="138"/>
      <c r="BH22" s="138"/>
      <c r="BI22" s="138"/>
      <c r="BJ22" s="138"/>
      <c r="BK22" s="138">
        <f t="shared" ref="BK22:BK28" si="15">SUM(BB22:BJ22)</f>
        <v>12400000</v>
      </c>
      <c r="BL22" s="109"/>
      <c r="BM22" s="109"/>
      <c r="BN22" s="109">
        <v>12700000</v>
      </c>
      <c r="BO22" s="109"/>
      <c r="BP22" s="109"/>
      <c r="BQ22" s="109"/>
      <c r="BR22" s="109"/>
      <c r="BS22" s="109"/>
      <c r="BT22" s="109"/>
      <c r="BU22" s="109">
        <f t="shared" ref="BU22:BU28" si="16">SUM(BL22:BT22)</f>
        <v>12700000</v>
      </c>
      <c r="BV22" s="103">
        <f t="shared" si="10"/>
        <v>74600000</v>
      </c>
    </row>
    <row r="23" spans="1:74" ht="92.25" customHeight="1" x14ac:dyDescent="0.2">
      <c r="A23" s="105">
        <v>10</v>
      </c>
      <c r="B23" s="84">
        <v>1</v>
      </c>
      <c r="C23" s="70"/>
      <c r="D23" s="70"/>
      <c r="E23" s="111"/>
      <c r="F23" s="139"/>
      <c r="G23" s="140"/>
      <c r="H23" s="140"/>
      <c r="I23" s="89">
        <v>8</v>
      </c>
      <c r="J23" s="90" t="s">
        <v>71</v>
      </c>
      <c r="K23" s="86" t="s">
        <v>72</v>
      </c>
      <c r="L23" s="91" t="s">
        <v>43</v>
      </c>
      <c r="M23" s="91">
        <v>10</v>
      </c>
      <c r="N23" s="107" t="s">
        <v>58</v>
      </c>
      <c r="O23" s="93">
        <v>1</v>
      </c>
      <c r="P23" s="93">
        <v>6</v>
      </c>
      <c r="Q23" s="108">
        <v>2</v>
      </c>
      <c r="R23" s="93">
        <v>2</v>
      </c>
      <c r="S23" s="93">
        <v>1</v>
      </c>
      <c r="T23" s="93">
        <v>1</v>
      </c>
      <c r="U23" s="96">
        <f t="shared" si="11"/>
        <v>2.0574196625451371E-2</v>
      </c>
      <c r="V23" s="97">
        <v>15</v>
      </c>
      <c r="W23" s="98" t="s">
        <v>45</v>
      </c>
      <c r="X23" s="99"/>
      <c r="Y23" s="100"/>
      <c r="Z23" s="99"/>
      <c r="AA23" s="100"/>
      <c r="AB23" s="141">
        <v>47500000</v>
      </c>
      <c r="AC23" s="101">
        <f>60000000-12500000</f>
        <v>47500000</v>
      </c>
      <c r="AD23" s="141"/>
      <c r="AE23" s="142"/>
      <c r="AF23" s="141"/>
      <c r="AG23" s="142"/>
      <c r="AH23" s="99"/>
      <c r="AI23" s="100"/>
      <c r="AJ23" s="99"/>
      <c r="AK23" s="100"/>
      <c r="AL23" s="99"/>
      <c r="AM23" s="100"/>
      <c r="AN23" s="99"/>
      <c r="AO23" s="100"/>
      <c r="AP23" s="99">
        <f t="shared" si="12"/>
        <v>47500000</v>
      </c>
      <c r="AQ23" s="100">
        <f t="shared" si="13"/>
        <v>47500000</v>
      </c>
      <c r="AR23" s="109"/>
      <c r="AS23" s="109"/>
      <c r="AT23" s="138">
        <v>46600000</v>
      </c>
      <c r="AU23" s="138"/>
      <c r="AV23" s="109"/>
      <c r="AW23" s="109"/>
      <c r="AX23" s="109"/>
      <c r="AY23" s="109"/>
      <c r="AZ23" s="109"/>
      <c r="BA23" s="138">
        <f t="shared" si="14"/>
        <v>46600000</v>
      </c>
      <c r="BB23" s="138"/>
      <c r="BC23" s="138"/>
      <c r="BD23" s="138">
        <v>7600000</v>
      </c>
      <c r="BE23" s="138"/>
      <c r="BF23" s="138"/>
      <c r="BG23" s="138">
        <f>47100000-7600000</f>
        <v>39500000</v>
      </c>
      <c r="BH23" s="138"/>
      <c r="BI23" s="138"/>
      <c r="BJ23" s="138"/>
      <c r="BK23" s="138">
        <f t="shared" si="15"/>
        <v>47100000</v>
      </c>
      <c r="BL23" s="109"/>
      <c r="BM23" s="109"/>
      <c r="BN23" s="109">
        <v>6300000</v>
      </c>
      <c r="BO23" s="109"/>
      <c r="BP23" s="109"/>
      <c r="BQ23" s="109">
        <f>48500000-6300000</f>
        <v>42200000</v>
      </c>
      <c r="BR23" s="109"/>
      <c r="BS23" s="109"/>
      <c r="BT23" s="109"/>
      <c r="BU23" s="109">
        <f t="shared" si="16"/>
        <v>48500000</v>
      </c>
      <c r="BV23" s="103">
        <f t="shared" si="10"/>
        <v>284400000</v>
      </c>
    </row>
    <row r="24" spans="1:74" ht="260.25" customHeight="1" x14ac:dyDescent="0.2">
      <c r="A24" s="84">
        <v>11</v>
      </c>
      <c r="B24" s="84">
        <v>1</v>
      </c>
      <c r="C24" s="70"/>
      <c r="D24" s="70"/>
      <c r="E24" s="111"/>
      <c r="F24" s="144"/>
      <c r="G24" s="140"/>
      <c r="H24" s="140"/>
      <c r="I24" s="89">
        <v>9</v>
      </c>
      <c r="J24" s="90" t="s">
        <v>73</v>
      </c>
      <c r="K24" s="86" t="s">
        <v>74</v>
      </c>
      <c r="L24" s="91" t="s">
        <v>75</v>
      </c>
      <c r="M24" s="91">
        <v>3</v>
      </c>
      <c r="N24" s="145" t="s">
        <v>58</v>
      </c>
      <c r="O24" s="108">
        <v>35</v>
      </c>
      <c r="P24" s="108">
        <v>20</v>
      </c>
      <c r="Q24" s="108">
        <v>5</v>
      </c>
      <c r="R24" s="108">
        <v>5</v>
      </c>
      <c r="S24" s="108">
        <v>5</v>
      </c>
      <c r="T24" s="108">
        <v>5</v>
      </c>
      <c r="U24" s="96">
        <f t="shared" si="11"/>
        <v>0.23636167528555355</v>
      </c>
      <c r="V24" s="97">
        <v>6</v>
      </c>
      <c r="W24" s="98" t="s">
        <v>70</v>
      </c>
      <c r="X24" s="99"/>
      <c r="Y24" s="100"/>
      <c r="Z24" s="99"/>
      <c r="AA24" s="100"/>
      <c r="AB24" s="99"/>
      <c r="AC24" s="100">
        <v>205647255</v>
      </c>
      <c r="AD24" s="99"/>
      <c r="AE24" s="100"/>
      <c r="AF24" s="99"/>
      <c r="AG24" s="100"/>
      <c r="AH24" s="142">
        <v>545692246.48000002</v>
      </c>
      <c r="AI24" s="142">
        <v>549268811.48000002</v>
      </c>
      <c r="AJ24" s="99"/>
      <c r="AK24" s="100"/>
      <c r="AL24" s="99"/>
      <c r="AM24" s="100"/>
      <c r="AN24" s="99"/>
      <c r="AO24" s="100"/>
      <c r="AP24" s="99">
        <f t="shared" si="12"/>
        <v>545692246.48000002</v>
      </c>
      <c r="AQ24" s="100">
        <f t="shared" si="13"/>
        <v>754916066.48000002</v>
      </c>
      <c r="AR24" s="109"/>
      <c r="AS24" s="109"/>
      <c r="AT24" s="109">
        <v>200000</v>
      </c>
      <c r="AU24" s="109"/>
      <c r="AV24" s="109"/>
      <c r="AW24" s="138">
        <f>535600000-200000</f>
        <v>535400000</v>
      </c>
      <c r="AX24" s="109"/>
      <c r="AY24" s="109"/>
      <c r="AZ24" s="109"/>
      <c r="BA24" s="138">
        <f t="shared" si="14"/>
        <v>535600000</v>
      </c>
      <c r="BB24" s="138"/>
      <c r="BC24" s="138"/>
      <c r="BD24" s="138"/>
      <c r="BE24" s="138"/>
      <c r="BF24" s="138"/>
      <c r="BG24" s="146">
        <v>540000000</v>
      </c>
      <c r="BH24" s="138"/>
      <c r="BI24" s="138"/>
      <c r="BJ24" s="138"/>
      <c r="BK24" s="138">
        <f t="shared" si="15"/>
        <v>540000000</v>
      </c>
      <c r="BL24" s="109"/>
      <c r="BM24" s="109"/>
      <c r="BN24" s="109"/>
      <c r="BO24" s="109"/>
      <c r="BP24" s="109"/>
      <c r="BQ24" s="138">
        <v>649900000</v>
      </c>
      <c r="BR24" s="109"/>
      <c r="BS24" s="109"/>
      <c r="BT24" s="109"/>
      <c r="BU24" s="109">
        <f t="shared" si="16"/>
        <v>649900000</v>
      </c>
      <c r="BV24" s="103">
        <f t="shared" si="10"/>
        <v>3451000000</v>
      </c>
    </row>
    <row r="25" spans="1:74" ht="147" customHeight="1" x14ac:dyDescent="0.2">
      <c r="A25" s="105">
        <v>12</v>
      </c>
      <c r="B25" s="84">
        <v>1</v>
      </c>
      <c r="C25" s="70"/>
      <c r="D25" s="70"/>
      <c r="E25" s="147">
        <v>2</v>
      </c>
      <c r="F25" s="114" t="s">
        <v>76</v>
      </c>
      <c r="G25" s="148" t="s">
        <v>61</v>
      </c>
      <c r="H25" s="149" t="s">
        <v>61</v>
      </c>
      <c r="I25" s="89">
        <v>10</v>
      </c>
      <c r="J25" s="90" t="s">
        <v>77</v>
      </c>
      <c r="K25" s="150" t="s">
        <v>78</v>
      </c>
      <c r="L25" s="91" t="s">
        <v>75</v>
      </c>
      <c r="M25" s="91">
        <v>3</v>
      </c>
      <c r="N25" s="151" t="s">
        <v>58</v>
      </c>
      <c r="O25" s="152">
        <v>1</v>
      </c>
      <c r="P25" s="152">
        <v>5</v>
      </c>
      <c r="Q25" s="152">
        <v>5</v>
      </c>
      <c r="R25" s="152">
        <v>5</v>
      </c>
      <c r="S25" s="152">
        <v>5</v>
      </c>
      <c r="T25" s="152">
        <v>5</v>
      </c>
      <c r="U25" s="96">
        <f t="shared" si="11"/>
        <v>2.1781149151013725E-2</v>
      </c>
      <c r="V25" s="97">
        <v>6</v>
      </c>
      <c r="W25" s="98" t="s">
        <v>70</v>
      </c>
      <c r="X25" s="99"/>
      <c r="Y25" s="100"/>
      <c r="Z25" s="99"/>
      <c r="AA25" s="100"/>
      <c r="AB25" s="99"/>
      <c r="AC25" s="100"/>
      <c r="AD25" s="99"/>
      <c r="AE25" s="100"/>
      <c r="AF25" s="99"/>
      <c r="AG25" s="100"/>
      <c r="AH25" s="153">
        <v>50286511.960000001</v>
      </c>
      <c r="AI25" s="137">
        <v>50286511.960000001</v>
      </c>
      <c r="AJ25" s="99"/>
      <c r="AK25" s="100"/>
      <c r="AL25" s="99"/>
      <c r="AM25" s="100"/>
      <c r="AN25" s="99"/>
      <c r="AO25" s="100"/>
      <c r="AP25" s="99">
        <f t="shared" si="12"/>
        <v>50286511.960000001</v>
      </c>
      <c r="AQ25" s="100">
        <f t="shared" si="13"/>
        <v>50286511.960000001</v>
      </c>
      <c r="AR25" s="102"/>
      <c r="AS25" s="102"/>
      <c r="AT25" s="102"/>
      <c r="AU25" s="102"/>
      <c r="AV25" s="102"/>
      <c r="AW25" s="138">
        <f>49300000+417417.74</f>
        <v>49717417.740000002</v>
      </c>
      <c r="AX25" s="102"/>
      <c r="AY25" s="102"/>
      <c r="AZ25" s="102"/>
      <c r="BA25" s="138">
        <f t="shared" si="14"/>
        <v>49717417.740000002</v>
      </c>
      <c r="BB25" s="138"/>
      <c r="BC25" s="138"/>
      <c r="BD25" s="138"/>
      <c r="BE25" s="138"/>
      <c r="BF25" s="138"/>
      <c r="BG25" s="146">
        <v>50000000</v>
      </c>
      <c r="BH25" s="138"/>
      <c r="BI25" s="138"/>
      <c r="BJ25" s="138"/>
      <c r="BK25" s="138">
        <f t="shared" si="15"/>
        <v>50000000</v>
      </c>
      <c r="BL25" s="109"/>
      <c r="BM25" s="109"/>
      <c r="BN25" s="109"/>
      <c r="BO25" s="109"/>
      <c r="BP25" s="109"/>
      <c r="BQ25" s="138">
        <v>51400000</v>
      </c>
      <c r="BR25" s="109"/>
      <c r="BS25" s="109"/>
      <c r="BT25" s="109"/>
      <c r="BU25" s="109">
        <f t="shared" si="16"/>
        <v>51400000</v>
      </c>
      <c r="BV25" s="103">
        <f t="shared" si="10"/>
        <v>302234835.48000002</v>
      </c>
    </row>
    <row r="26" spans="1:74" ht="99.75" x14ac:dyDescent="0.2">
      <c r="A26" s="84">
        <v>13</v>
      </c>
      <c r="B26" s="84">
        <v>1</v>
      </c>
      <c r="C26" s="70"/>
      <c r="D26" s="70"/>
      <c r="E26" s="117">
        <v>3</v>
      </c>
      <c r="F26" s="86" t="s">
        <v>79</v>
      </c>
      <c r="G26" s="149" t="s">
        <v>65</v>
      </c>
      <c r="H26" s="149" t="s">
        <v>66</v>
      </c>
      <c r="I26" s="89">
        <v>11</v>
      </c>
      <c r="J26" s="90" t="s">
        <v>80</v>
      </c>
      <c r="K26" s="86" t="s">
        <v>81</v>
      </c>
      <c r="L26" s="91" t="s">
        <v>75</v>
      </c>
      <c r="M26" s="91">
        <v>3</v>
      </c>
      <c r="N26" s="107" t="s">
        <v>44</v>
      </c>
      <c r="O26" s="93">
        <v>1</v>
      </c>
      <c r="P26" s="93">
        <v>1</v>
      </c>
      <c r="Q26" s="108">
        <v>1</v>
      </c>
      <c r="R26" s="93">
        <v>1</v>
      </c>
      <c r="S26" s="93">
        <v>1</v>
      </c>
      <c r="T26" s="93">
        <v>1</v>
      </c>
      <c r="U26" s="96">
        <f t="shared" si="11"/>
        <v>0.14334499721934535</v>
      </c>
      <c r="V26" s="97">
        <v>6</v>
      </c>
      <c r="W26" s="98" t="s">
        <v>70</v>
      </c>
      <c r="X26" s="99"/>
      <c r="Y26" s="100"/>
      <c r="Z26" s="99"/>
      <c r="AA26" s="100"/>
      <c r="AB26" s="99"/>
      <c r="AC26" s="100"/>
      <c r="AD26" s="99"/>
      <c r="AE26" s="100"/>
      <c r="AF26" s="99"/>
      <c r="AG26" s="100"/>
      <c r="AH26" s="153">
        <v>330943049.29000002</v>
      </c>
      <c r="AI26" s="137">
        <v>330943049.29000002</v>
      </c>
      <c r="AJ26" s="99"/>
      <c r="AK26" s="100"/>
      <c r="AL26" s="99"/>
      <c r="AM26" s="100"/>
      <c r="AN26" s="99"/>
      <c r="AO26" s="100"/>
      <c r="AP26" s="99">
        <f t="shared" si="12"/>
        <v>330943049.29000002</v>
      </c>
      <c r="AQ26" s="100">
        <f t="shared" si="13"/>
        <v>330943049.29000002</v>
      </c>
      <c r="AR26" s="102"/>
      <c r="AS26" s="102"/>
      <c r="AT26" s="102"/>
      <c r="AU26" s="102"/>
      <c r="AV26" s="102"/>
      <c r="AW26" s="138">
        <v>324800000</v>
      </c>
      <c r="AX26" s="102"/>
      <c r="AY26" s="102"/>
      <c r="AZ26" s="102"/>
      <c r="BA26" s="138">
        <f t="shared" si="14"/>
        <v>324800000</v>
      </c>
      <c r="BB26" s="138"/>
      <c r="BC26" s="138"/>
      <c r="BD26" s="138"/>
      <c r="BE26" s="138"/>
      <c r="BF26" s="138"/>
      <c r="BG26" s="146">
        <v>328000000</v>
      </c>
      <c r="BH26" s="138"/>
      <c r="BI26" s="138"/>
      <c r="BJ26" s="138"/>
      <c r="BK26" s="138">
        <f t="shared" si="15"/>
        <v>328000000</v>
      </c>
      <c r="BL26" s="109"/>
      <c r="BM26" s="109"/>
      <c r="BN26" s="109"/>
      <c r="BO26" s="109"/>
      <c r="BP26" s="109"/>
      <c r="BQ26" s="138">
        <v>430300000</v>
      </c>
      <c r="BR26" s="109"/>
      <c r="BS26" s="109"/>
      <c r="BT26" s="109"/>
      <c r="BU26" s="109">
        <f t="shared" si="16"/>
        <v>430300000</v>
      </c>
      <c r="BV26" s="103">
        <f t="shared" si="10"/>
        <v>2166200000</v>
      </c>
    </row>
    <row r="27" spans="1:74" ht="139.5" customHeight="1" x14ac:dyDescent="0.2">
      <c r="A27" s="105">
        <v>14</v>
      </c>
      <c r="B27" s="84">
        <v>1</v>
      </c>
      <c r="C27" s="70"/>
      <c r="D27" s="70"/>
      <c r="E27" s="111"/>
      <c r="F27" s="154"/>
      <c r="G27" s="149"/>
      <c r="H27" s="149"/>
      <c r="I27" s="89">
        <v>12</v>
      </c>
      <c r="J27" s="90" t="s">
        <v>82</v>
      </c>
      <c r="K27" s="86" t="s">
        <v>83</v>
      </c>
      <c r="L27" s="91" t="s">
        <v>75</v>
      </c>
      <c r="M27" s="91">
        <v>3</v>
      </c>
      <c r="N27" s="107" t="s">
        <v>44</v>
      </c>
      <c r="O27" s="93">
        <v>1</v>
      </c>
      <c r="P27" s="93">
        <v>3</v>
      </c>
      <c r="Q27" s="108">
        <v>3</v>
      </c>
      <c r="R27" s="93">
        <v>3</v>
      </c>
      <c r="S27" s="93">
        <v>3</v>
      </c>
      <c r="T27" s="93">
        <v>3</v>
      </c>
      <c r="U27" s="96">
        <f t="shared" si="11"/>
        <v>0.45551836546977292</v>
      </c>
      <c r="V27" s="97">
        <v>6</v>
      </c>
      <c r="W27" s="98" t="s">
        <v>70</v>
      </c>
      <c r="X27" s="99"/>
      <c r="Y27" s="100"/>
      <c r="Z27" s="99"/>
      <c r="AA27" s="100"/>
      <c r="AB27" s="99"/>
      <c r="AC27" s="100"/>
      <c r="AD27" s="99"/>
      <c r="AE27" s="100"/>
      <c r="AF27" s="99"/>
      <c r="AG27" s="100"/>
      <c r="AH27" s="141">
        <v>1051663049.29</v>
      </c>
      <c r="AI27" s="137">
        <v>1051663049.29</v>
      </c>
      <c r="AJ27" s="99"/>
      <c r="AK27" s="100"/>
      <c r="AL27" s="99"/>
      <c r="AM27" s="100"/>
      <c r="AN27" s="99"/>
      <c r="AO27" s="100"/>
      <c r="AP27" s="99">
        <f t="shared" si="12"/>
        <v>1051663049.29</v>
      </c>
      <c r="AQ27" s="100">
        <f t="shared" si="13"/>
        <v>1051663049.29</v>
      </c>
      <c r="AR27" s="109"/>
      <c r="AS27" s="109"/>
      <c r="AT27" s="109"/>
      <c r="AU27" s="109"/>
      <c r="AV27" s="109"/>
      <c r="AW27" s="138">
        <v>1032300000</v>
      </c>
      <c r="AX27" s="109"/>
      <c r="AY27" s="109"/>
      <c r="AZ27" s="109"/>
      <c r="BA27" s="138">
        <f t="shared" si="14"/>
        <v>1032300000</v>
      </c>
      <c r="BB27" s="138"/>
      <c r="BC27" s="138"/>
      <c r="BD27" s="138"/>
      <c r="BE27" s="138"/>
      <c r="BF27" s="138"/>
      <c r="BG27" s="146">
        <v>1044000000</v>
      </c>
      <c r="BH27" s="138"/>
      <c r="BI27" s="138"/>
      <c r="BJ27" s="138"/>
      <c r="BK27" s="138">
        <f t="shared" si="15"/>
        <v>1044000000</v>
      </c>
      <c r="BL27" s="109"/>
      <c r="BM27" s="109"/>
      <c r="BN27" s="109"/>
      <c r="BO27" s="109"/>
      <c r="BP27" s="109"/>
      <c r="BQ27" s="138">
        <v>1167776058.48</v>
      </c>
      <c r="BR27" s="109"/>
      <c r="BS27" s="109"/>
      <c r="BT27" s="109"/>
      <c r="BU27" s="109">
        <f t="shared" si="16"/>
        <v>1167776058.48</v>
      </c>
      <c r="BV27" s="103">
        <f t="shared" si="10"/>
        <v>6488152116.9599991</v>
      </c>
    </row>
    <row r="28" spans="1:74" ht="66" customHeight="1" x14ac:dyDescent="0.2">
      <c r="A28" s="84">
        <v>15</v>
      </c>
      <c r="B28" s="84">
        <v>1</v>
      </c>
      <c r="C28" s="70"/>
      <c r="D28" s="70"/>
      <c r="E28" s="110"/>
      <c r="F28" s="144"/>
      <c r="G28" s="115"/>
      <c r="H28" s="115"/>
      <c r="I28" s="89">
        <v>13</v>
      </c>
      <c r="J28" s="90" t="s">
        <v>84</v>
      </c>
      <c r="K28" s="86" t="s">
        <v>85</v>
      </c>
      <c r="L28" s="91" t="s">
        <v>75</v>
      </c>
      <c r="M28" s="91">
        <v>3</v>
      </c>
      <c r="N28" s="91" t="s">
        <v>58</v>
      </c>
      <c r="O28" s="108">
        <v>0</v>
      </c>
      <c r="P28" s="108">
        <v>2</v>
      </c>
      <c r="Q28" s="94">
        <v>1</v>
      </c>
      <c r="R28" s="94">
        <v>1</v>
      </c>
      <c r="S28" s="94">
        <v>0</v>
      </c>
      <c r="T28" s="94">
        <v>0</v>
      </c>
      <c r="U28" s="96">
        <f t="shared" si="11"/>
        <v>0.11700535397900746</v>
      </c>
      <c r="V28" s="97">
        <v>6</v>
      </c>
      <c r="W28" s="98" t="s">
        <v>70</v>
      </c>
      <c r="X28" s="99"/>
      <c r="Y28" s="100"/>
      <c r="Z28" s="99"/>
      <c r="AA28" s="100"/>
      <c r="AB28" s="99"/>
      <c r="AC28" s="100"/>
      <c r="AD28" s="99"/>
      <c r="AE28" s="100"/>
      <c r="AF28" s="99"/>
      <c r="AG28" s="100"/>
      <c r="AH28" s="141">
        <v>270132263.98000002</v>
      </c>
      <c r="AI28" s="137">
        <v>270132263.98000002</v>
      </c>
      <c r="AJ28" s="99"/>
      <c r="AK28" s="100"/>
      <c r="AL28" s="99"/>
      <c r="AM28" s="100"/>
      <c r="AN28" s="99"/>
      <c r="AO28" s="100"/>
      <c r="AP28" s="99">
        <f t="shared" si="12"/>
        <v>270132263.98000002</v>
      </c>
      <c r="AQ28" s="100">
        <f t="shared" si="13"/>
        <v>270132263.98000002</v>
      </c>
      <c r="AR28" s="109"/>
      <c r="AS28" s="109"/>
      <c r="AT28" s="109"/>
      <c r="AU28" s="109"/>
      <c r="AV28" s="109"/>
      <c r="AW28" s="138">
        <v>265000000</v>
      </c>
      <c r="AX28" s="109"/>
      <c r="AY28" s="109"/>
      <c r="AZ28" s="109"/>
      <c r="BA28" s="138">
        <f t="shared" si="14"/>
        <v>265000000</v>
      </c>
      <c r="BB28" s="138"/>
      <c r="BC28" s="138"/>
      <c r="BD28" s="138"/>
      <c r="BE28" s="138"/>
      <c r="BF28" s="138"/>
      <c r="BG28" s="146">
        <v>270903940.27219999</v>
      </c>
      <c r="BH28" s="138"/>
      <c r="BI28" s="138"/>
      <c r="BJ28" s="138"/>
      <c r="BK28" s="138">
        <f t="shared" si="15"/>
        <v>270903940.27219999</v>
      </c>
      <c r="BL28" s="109"/>
      <c r="BM28" s="109"/>
      <c r="BN28" s="109"/>
      <c r="BO28" s="109"/>
      <c r="BP28" s="109"/>
      <c r="BQ28" s="138">
        <v>0</v>
      </c>
      <c r="BR28" s="109"/>
      <c r="BS28" s="109"/>
      <c r="BT28" s="109"/>
      <c r="BU28" s="109">
        <f t="shared" si="16"/>
        <v>0</v>
      </c>
      <c r="BV28" s="103">
        <f t="shared" si="10"/>
        <v>1071807880.5444</v>
      </c>
    </row>
    <row r="29" spans="1:74" ht="33.75" customHeight="1" x14ac:dyDescent="0.2">
      <c r="A29" s="84"/>
      <c r="B29" s="84"/>
      <c r="C29" s="70"/>
      <c r="D29" s="70"/>
      <c r="E29" s="71">
        <v>3</v>
      </c>
      <c r="F29" s="72" t="s">
        <v>86</v>
      </c>
      <c r="G29" s="155"/>
      <c r="H29" s="125"/>
      <c r="I29" s="74"/>
      <c r="J29" s="125"/>
      <c r="K29" s="125"/>
      <c r="L29" s="74"/>
      <c r="M29" s="74"/>
      <c r="N29" s="126"/>
      <c r="O29" s="125"/>
      <c r="P29" s="125"/>
      <c r="Q29" s="127"/>
      <c r="R29" s="125"/>
      <c r="S29" s="125"/>
      <c r="T29" s="74"/>
      <c r="U29" s="128"/>
      <c r="V29" s="74"/>
      <c r="W29" s="74"/>
      <c r="X29" s="129">
        <f t="shared" ref="X29:AO29" si="17">SUM(X30:X36)</f>
        <v>0</v>
      </c>
      <c r="Y29" s="129">
        <f t="shared" si="17"/>
        <v>0</v>
      </c>
      <c r="Z29" s="129">
        <f t="shared" si="17"/>
        <v>0</v>
      </c>
      <c r="AA29" s="129">
        <f t="shared" si="17"/>
        <v>0</v>
      </c>
      <c r="AB29" s="129">
        <f t="shared" si="17"/>
        <v>709366350</v>
      </c>
      <c r="AC29" s="129">
        <f t="shared" si="17"/>
        <v>709366350</v>
      </c>
      <c r="AD29" s="129">
        <f t="shared" si="17"/>
        <v>0</v>
      </c>
      <c r="AE29" s="129">
        <f t="shared" si="17"/>
        <v>0</v>
      </c>
      <c r="AF29" s="129">
        <f t="shared" si="17"/>
        <v>0</v>
      </c>
      <c r="AG29" s="129">
        <f t="shared" si="17"/>
        <v>0</v>
      </c>
      <c r="AH29" s="129">
        <f t="shared" si="17"/>
        <v>0</v>
      </c>
      <c r="AI29" s="129">
        <f t="shared" si="17"/>
        <v>0</v>
      </c>
      <c r="AJ29" s="129">
        <f t="shared" si="17"/>
        <v>0</v>
      </c>
      <c r="AK29" s="129">
        <f t="shared" si="17"/>
        <v>0</v>
      </c>
      <c r="AL29" s="129">
        <f t="shared" si="17"/>
        <v>0</v>
      </c>
      <c r="AM29" s="129">
        <f t="shared" si="17"/>
        <v>0</v>
      </c>
      <c r="AN29" s="129">
        <f t="shared" si="17"/>
        <v>0</v>
      </c>
      <c r="AO29" s="129">
        <f t="shared" si="17"/>
        <v>0</v>
      </c>
      <c r="AP29" s="130">
        <f>SUM(AP30:AP36)</f>
        <v>709366350</v>
      </c>
      <c r="AQ29" s="129">
        <f>SUM(AQ30:AQ36)</f>
        <v>709366350</v>
      </c>
      <c r="AR29" s="131"/>
      <c r="AS29" s="131"/>
      <c r="AT29" s="131"/>
      <c r="AU29" s="131"/>
      <c r="AV29" s="131"/>
      <c r="AW29" s="156"/>
      <c r="AX29" s="131"/>
      <c r="AY29" s="131"/>
      <c r="AZ29" s="131"/>
      <c r="BA29" s="131">
        <f>SUM(BA30:BA36)</f>
        <v>579591884.66919994</v>
      </c>
      <c r="BB29" s="131"/>
      <c r="BC29" s="131"/>
      <c r="BD29" s="131"/>
      <c r="BE29" s="131"/>
      <c r="BF29" s="131"/>
      <c r="BG29" s="131"/>
      <c r="BH29" s="131"/>
      <c r="BI29" s="131"/>
      <c r="BJ29" s="131"/>
      <c r="BK29" s="131">
        <f>SUM(BK30:BK36)</f>
        <v>596979641.20930004</v>
      </c>
      <c r="BL29" s="131"/>
      <c r="BM29" s="131"/>
      <c r="BN29" s="131"/>
      <c r="BO29" s="131"/>
      <c r="BP29" s="131"/>
      <c r="BQ29" s="131"/>
      <c r="BR29" s="131"/>
      <c r="BS29" s="131"/>
      <c r="BT29" s="131"/>
      <c r="BU29" s="131">
        <f>SUM(BU30:BU36)</f>
        <v>614889030</v>
      </c>
      <c r="BV29" s="132">
        <f t="shared" si="10"/>
        <v>1791460555.8785</v>
      </c>
    </row>
    <row r="30" spans="1:74" s="104" customFormat="1" ht="128.25" x14ac:dyDescent="0.2">
      <c r="A30" s="105">
        <v>16</v>
      </c>
      <c r="B30" s="84">
        <v>1</v>
      </c>
      <c r="C30" s="70"/>
      <c r="D30" s="70"/>
      <c r="E30" s="85">
        <v>4</v>
      </c>
      <c r="F30" s="112" t="s">
        <v>87</v>
      </c>
      <c r="G30" s="113" t="s">
        <v>47</v>
      </c>
      <c r="H30" s="113" t="s">
        <v>48</v>
      </c>
      <c r="I30" s="89">
        <v>14</v>
      </c>
      <c r="J30" s="90" t="s">
        <v>88</v>
      </c>
      <c r="K30" s="86" t="s">
        <v>89</v>
      </c>
      <c r="L30" s="91" t="s">
        <v>43</v>
      </c>
      <c r="M30" s="91">
        <v>10</v>
      </c>
      <c r="N30" s="91" t="s">
        <v>44</v>
      </c>
      <c r="O30" s="108">
        <v>2</v>
      </c>
      <c r="P30" s="108">
        <v>6</v>
      </c>
      <c r="Q30" s="94">
        <v>6</v>
      </c>
      <c r="R30" s="94">
        <v>6</v>
      </c>
      <c r="S30" s="94">
        <v>6</v>
      </c>
      <c r="T30" s="94">
        <v>6</v>
      </c>
      <c r="U30" s="157">
        <f t="shared" ref="U30:U36" si="18">AP30/$AP$29</f>
        <v>0.68157948287228454</v>
      </c>
      <c r="V30" s="95">
        <v>15</v>
      </c>
      <c r="W30" s="98" t="s">
        <v>45</v>
      </c>
      <c r="X30" s="99"/>
      <c r="Y30" s="100"/>
      <c r="Z30" s="99"/>
      <c r="AA30" s="100"/>
      <c r="AB30" s="141">
        <v>483489550</v>
      </c>
      <c r="AC30" s="143">
        <v>483489550</v>
      </c>
      <c r="AD30" s="141"/>
      <c r="AE30" s="142"/>
      <c r="AF30" s="141"/>
      <c r="AG30" s="142"/>
      <c r="AH30" s="99"/>
      <c r="AI30" s="100"/>
      <c r="AJ30" s="99"/>
      <c r="AK30" s="100"/>
      <c r="AL30" s="99"/>
      <c r="AM30" s="100"/>
      <c r="AN30" s="99"/>
      <c r="AO30" s="100"/>
      <c r="AP30" s="99">
        <f t="shared" ref="AP30:AP36" si="19">+X30+Z30+AB30+AD30+AF30+AH30+AJ30+AL30+AN30</f>
        <v>483489550</v>
      </c>
      <c r="AQ30" s="100">
        <f t="shared" ref="AQ30:AQ36" si="20">Y30+AA30+AC30+AE30+AG30+AI30+AK30+AM30+AO30</f>
        <v>483489550</v>
      </c>
      <c r="AR30" s="109"/>
      <c r="AS30" s="109"/>
      <c r="AT30" s="109">
        <v>380191884.6692</v>
      </c>
      <c r="AU30" s="109"/>
      <c r="AV30" s="109"/>
      <c r="AW30" s="109"/>
      <c r="AX30" s="109"/>
      <c r="AY30" s="109"/>
      <c r="AZ30" s="109"/>
      <c r="BA30" s="109">
        <f t="shared" ref="BA30:BA36" si="21">SUM(AR30:AY30)+AZ30</f>
        <v>380191884.6692</v>
      </c>
      <c r="BB30" s="109"/>
      <c r="BC30" s="109"/>
      <c r="BD30" s="109">
        <v>398979641.20929998</v>
      </c>
      <c r="BE30" s="109"/>
      <c r="BF30" s="109"/>
      <c r="BG30" s="109"/>
      <c r="BH30" s="109"/>
      <c r="BI30" s="109"/>
      <c r="BJ30" s="109"/>
      <c r="BK30" s="109">
        <f t="shared" ref="BK30:BK36" si="22">SUM(BB30:BJ30)</f>
        <v>398979641.20929998</v>
      </c>
      <c r="BL30" s="109"/>
      <c r="BM30" s="109"/>
      <c r="BN30" s="109" t="s">
        <v>0</v>
      </c>
      <c r="BO30" s="109"/>
      <c r="BP30" s="109"/>
      <c r="BQ30" s="109"/>
      <c r="BR30" s="109"/>
      <c r="BS30" s="109"/>
      <c r="BT30" s="109"/>
      <c r="BU30" s="109">
        <f t="shared" ref="BU30:BU36" si="23">SUM(BL30:BT30)</f>
        <v>0</v>
      </c>
      <c r="BV30" s="103">
        <f t="shared" si="10"/>
        <v>1558343051.757</v>
      </c>
    </row>
    <row r="31" spans="1:74" ht="71.25" x14ac:dyDescent="0.2">
      <c r="A31" s="84">
        <v>17</v>
      </c>
      <c r="B31" s="84">
        <v>1</v>
      </c>
      <c r="C31" s="70"/>
      <c r="D31" s="70"/>
      <c r="E31" s="111"/>
      <c r="F31" s="154"/>
      <c r="G31" s="149"/>
      <c r="H31" s="149"/>
      <c r="I31" s="94">
        <v>15</v>
      </c>
      <c r="J31" s="90" t="s">
        <v>90</v>
      </c>
      <c r="K31" s="86" t="s">
        <v>91</v>
      </c>
      <c r="L31" s="91" t="s">
        <v>43</v>
      </c>
      <c r="M31" s="91">
        <v>10</v>
      </c>
      <c r="N31" s="92" t="s">
        <v>44</v>
      </c>
      <c r="O31" s="93">
        <v>0</v>
      </c>
      <c r="P31" s="93">
        <v>2</v>
      </c>
      <c r="Q31" s="94">
        <v>2</v>
      </c>
      <c r="R31" s="95">
        <v>2</v>
      </c>
      <c r="S31" s="95">
        <v>2</v>
      </c>
      <c r="T31" s="95">
        <v>2</v>
      </c>
      <c r="U31" s="157">
        <f t="shared" si="18"/>
        <v>0.29237360920771049</v>
      </c>
      <c r="V31" s="95">
        <v>15</v>
      </c>
      <c r="W31" s="98" t="s">
        <v>45</v>
      </c>
      <c r="X31" s="99"/>
      <c r="Y31" s="100"/>
      <c r="Z31" s="99"/>
      <c r="AA31" s="100"/>
      <c r="AB31" s="141">
        <f>197400000+5000000+5000000</f>
        <v>207400000</v>
      </c>
      <c r="AC31" s="142">
        <v>207400000</v>
      </c>
      <c r="AD31" s="141"/>
      <c r="AE31" s="142"/>
      <c r="AF31" s="141"/>
      <c r="AG31" s="142"/>
      <c r="AH31" s="99"/>
      <c r="AI31" s="100"/>
      <c r="AJ31" s="99"/>
      <c r="AK31" s="100"/>
      <c r="AL31" s="99"/>
      <c r="AM31" s="100"/>
      <c r="AN31" s="99"/>
      <c r="AO31" s="100"/>
      <c r="AP31" s="99">
        <f t="shared" si="19"/>
        <v>207400000</v>
      </c>
      <c r="AQ31" s="100">
        <f t="shared" si="20"/>
        <v>207400000</v>
      </c>
      <c r="AR31" s="109"/>
      <c r="AS31" s="109"/>
      <c r="AT31" s="109">
        <v>169400000</v>
      </c>
      <c r="AU31" s="109"/>
      <c r="AV31" s="109"/>
      <c r="AW31" s="109"/>
      <c r="AX31" s="109"/>
      <c r="AY31" s="109"/>
      <c r="AZ31" s="109"/>
      <c r="BA31" s="109">
        <f t="shared" si="21"/>
        <v>169400000</v>
      </c>
      <c r="BB31" s="109"/>
      <c r="BC31" s="109"/>
      <c r="BD31" s="109">
        <v>170000000</v>
      </c>
      <c r="BE31" s="109"/>
      <c r="BF31" s="109"/>
      <c r="BG31" s="109"/>
      <c r="BH31" s="109"/>
      <c r="BI31" s="109"/>
      <c r="BJ31" s="109"/>
      <c r="BK31" s="109">
        <f t="shared" si="22"/>
        <v>170000000</v>
      </c>
      <c r="BL31" s="109"/>
      <c r="BM31" s="109"/>
      <c r="BN31" s="109">
        <v>175100000</v>
      </c>
      <c r="BO31" s="109"/>
      <c r="BP31" s="109"/>
      <c r="BQ31" s="109"/>
      <c r="BR31" s="109"/>
      <c r="BS31" s="109"/>
      <c r="BT31" s="109"/>
      <c r="BU31" s="109">
        <f t="shared" si="23"/>
        <v>175100000</v>
      </c>
      <c r="BV31" s="103">
        <f t="shared" si="10"/>
        <v>1029000000</v>
      </c>
    </row>
    <row r="32" spans="1:74" ht="113.25" customHeight="1" x14ac:dyDescent="0.2">
      <c r="A32" s="105">
        <v>18</v>
      </c>
      <c r="B32" s="84">
        <v>1</v>
      </c>
      <c r="C32" s="70"/>
      <c r="D32" s="70"/>
      <c r="E32" s="111"/>
      <c r="F32" s="154"/>
      <c r="G32" s="149"/>
      <c r="H32" s="149"/>
      <c r="I32" s="94">
        <v>16</v>
      </c>
      <c r="J32" s="86" t="s">
        <v>92</v>
      </c>
      <c r="K32" s="86" t="s">
        <v>93</v>
      </c>
      <c r="L32" s="91" t="s">
        <v>43</v>
      </c>
      <c r="M32" s="91">
        <v>10</v>
      </c>
      <c r="N32" s="92" t="s">
        <v>58</v>
      </c>
      <c r="O32" s="93">
        <v>7</v>
      </c>
      <c r="P32" s="93">
        <v>12</v>
      </c>
      <c r="Q32" s="94">
        <v>0</v>
      </c>
      <c r="R32" s="95">
        <v>3</v>
      </c>
      <c r="S32" s="95">
        <v>4</v>
      </c>
      <c r="T32" s="95">
        <v>5</v>
      </c>
      <c r="U32" s="157">
        <f t="shared" si="18"/>
        <v>0</v>
      </c>
      <c r="V32" s="94">
        <v>15</v>
      </c>
      <c r="W32" s="98" t="s">
        <v>45</v>
      </c>
      <c r="X32" s="99"/>
      <c r="Y32" s="100"/>
      <c r="Z32" s="99"/>
      <c r="AA32" s="100"/>
      <c r="AB32" s="141"/>
      <c r="AC32" s="142"/>
      <c r="AD32" s="141"/>
      <c r="AE32" s="142"/>
      <c r="AF32" s="141"/>
      <c r="AG32" s="142"/>
      <c r="AH32" s="99"/>
      <c r="AI32" s="100"/>
      <c r="AJ32" s="99"/>
      <c r="AK32" s="100"/>
      <c r="AL32" s="99"/>
      <c r="AM32" s="100"/>
      <c r="AN32" s="99"/>
      <c r="AO32" s="100"/>
      <c r="AP32" s="99">
        <f t="shared" si="19"/>
        <v>0</v>
      </c>
      <c r="AQ32" s="100">
        <f t="shared" si="20"/>
        <v>0</v>
      </c>
      <c r="AR32" s="109"/>
      <c r="AS32" s="109"/>
      <c r="AT32" s="109">
        <v>6000000</v>
      </c>
      <c r="AU32" s="109"/>
      <c r="AV32" s="109"/>
      <c r="AW32" s="109"/>
      <c r="AX32" s="109"/>
      <c r="AY32" s="109"/>
      <c r="AZ32" s="109"/>
      <c r="BA32" s="109">
        <f t="shared" si="21"/>
        <v>6000000</v>
      </c>
      <c r="BB32" s="109"/>
      <c r="BC32" s="109"/>
      <c r="BD32" s="109">
        <v>7000000</v>
      </c>
      <c r="BE32" s="109"/>
      <c r="BF32" s="109"/>
      <c r="BG32" s="109"/>
      <c r="BH32" s="109"/>
      <c r="BI32" s="109"/>
      <c r="BJ32" s="109"/>
      <c r="BK32" s="109">
        <f t="shared" si="22"/>
        <v>7000000</v>
      </c>
      <c r="BL32" s="109"/>
      <c r="BM32" s="109"/>
      <c r="BN32" s="109">
        <v>7210000</v>
      </c>
      <c r="BO32" s="109"/>
      <c r="BP32" s="109"/>
      <c r="BQ32" s="109"/>
      <c r="BR32" s="109"/>
      <c r="BS32" s="109"/>
      <c r="BT32" s="109"/>
      <c r="BU32" s="109">
        <f t="shared" si="23"/>
        <v>7210000</v>
      </c>
      <c r="BV32" s="103">
        <f t="shared" si="10"/>
        <v>40420000</v>
      </c>
    </row>
    <row r="33" spans="1:74" ht="128.25" customHeight="1" x14ac:dyDescent="0.2">
      <c r="A33" s="84">
        <v>19</v>
      </c>
      <c r="B33" s="84">
        <v>1</v>
      </c>
      <c r="C33" s="70"/>
      <c r="D33" s="70"/>
      <c r="E33" s="111"/>
      <c r="F33" s="154"/>
      <c r="G33" s="149"/>
      <c r="H33" s="149"/>
      <c r="I33" s="94">
        <v>17</v>
      </c>
      <c r="J33" s="90" t="s">
        <v>94</v>
      </c>
      <c r="K33" s="86" t="s">
        <v>95</v>
      </c>
      <c r="L33" s="91" t="s">
        <v>43</v>
      </c>
      <c r="M33" s="91">
        <v>10</v>
      </c>
      <c r="N33" s="92" t="s">
        <v>58</v>
      </c>
      <c r="O33" s="93">
        <v>0</v>
      </c>
      <c r="P33" s="93">
        <v>270</v>
      </c>
      <c r="Q33" s="94">
        <v>0</v>
      </c>
      <c r="R33" s="95">
        <v>0</v>
      </c>
      <c r="S33" s="95">
        <v>0</v>
      </c>
      <c r="T33" s="95">
        <v>270</v>
      </c>
      <c r="U33" s="157">
        <f t="shared" si="18"/>
        <v>0</v>
      </c>
      <c r="V33" s="94">
        <v>15</v>
      </c>
      <c r="W33" s="98" t="s">
        <v>45</v>
      </c>
      <c r="X33" s="99"/>
      <c r="Y33" s="100"/>
      <c r="Z33" s="99"/>
      <c r="AA33" s="100"/>
      <c r="AB33" s="141"/>
      <c r="AC33" s="142"/>
      <c r="AD33" s="141"/>
      <c r="AE33" s="142"/>
      <c r="AF33" s="141"/>
      <c r="AG33" s="142"/>
      <c r="AH33" s="99"/>
      <c r="AI33" s="100"/>
      <c r="AJ33" s="99"/>
      <c r="AK33" s="100"/>
      <c r="AL33" s="99"/>
      <c r="AM33" s="100"/>
      <c r="AN33" s="99"/>
      <c r="AO33" s="100"/>
      <c r="AP33" s="99">
        <f t="shared" si="19"/>
        <v>0</v>
      </c>
      <c r="AQ33" s="100">
        <f t="shared" si="20"/>
        <v>0</v>
      </c>
      <c r="AR33" s="109"/>
      <c r="AS33" s="109"/>
      <c r="AT33" s="109">
        <v>0</v>
      </c>
      <c r="AU33" s="109"/>
      <c r="AV33" s="109"/>
      <c r="AW33" s="109"/>
      <c r="AX33" s="109"/>
      <c r="AY33" s="109"/>
      <c r="AZ33" s="109"/>
      <c r="BA33" s="109">
        <f t="shared" si="21"/>
        <v>0</v>
      </c>
      <c r="BB33" s="109"/>
      <c r="BC33" s="109"/>
      <c r="BD33" s="109">
        <v>0</v>
      </c>
      <c r="BE33" s="109"/>
      <c r="BF33" s="109"/>
      <c r="BG33" s="109"/>
      <c r="BH33" s="109"/>
      <c r="BI33" s="109"/>
      <c r="BJ33" s="109"/>
      <c r="BK33" s="109">
        <f t="shared" si="22"/>
        <v>0</v>
      </c>
      <c r="BL33" s="109"/>
      <c r="BM33" s="109"/>
      <c r="BN33" s="109">
        <v>410949030</v>
      </c>
      <c r="BO33" s="109"/>
      <c r="BP33" s="109"/>
      <c r="BQ33" s="109"/>
      <c r="BR33" s="109"/>
      <c r="BS33" s="109"/>
      <c r="BT33" s="109"/>
      <c r="BU33" s="109">
        <f t="shared" si="23"/>
        <v>410949030</v>
      </c>
      <c r="BV33" s="103">
        <f t="shared" si="10"/>
        <v>821898060</v>
      </c>
    </row>
    <row r="34" spans="1:74" ht="66.75" customHeight="1" x14ac:dyDescent="0.2">
      <c r="A34" s="105">
        <v>20</v>
      </c>
      <c r="B34" s="84">
        <v>1</v>
      </c>
      <c r="C34" s="70"/>
      <c r="D34" s="70"/>
      <c r="E34" s="111"/>
      <c r="F34" s="154"/>
      <c r="G34" s="149"/>
      <c r="H34" s="149"/>
      <c r="I34" s="94">
        <v>18</v>
      </c>
      <c r="J34" s="90" t="s">
        <v>96</v>
      </c>
      <c r="K34" s="86" t="s">
        <v>97</v>
      </c>
      <c r="L34" s="91" t="s">
        <v>43</v>
      </c>
      <c r="M34" s="91">
        <v>10</v>
      </c>
      <c r="N34" s="92" t="s">
        <v>58</v>
      </c>
      <c r="O34" s="93">
        <v>0</v>
      </c>
      <c r="P34" s="93">
        <v>20</v>
      </c>
      <c r="Q34" s="94">
        <v>0</v>
      </c>
      <c r="R34" s="95">
        <v>7</v>
      </c>
      <c r="S34" s="95">
        <v>7</v>
      </c>
      <c r="T34" s="95">
        <v>6</v>
      </c>
      <c r="U34" s="157">
        <f t="shared" si="18"/>
        <v>0</v>
      </c>
      <c r="V34" s="94">
        <v>15</v>
      </c>
      <c r="W34" s="98" t="s">
        <v>45</v>
      </c>
      <c r="X34" s="99"/>
      <c r="Y34" s="100"/>
      <c r="Z34" s="99"/>
      <c r="AA34" s="100"/>
      <c r="AB34" s="141"/>
      <c r="AC34" s="142"/>
      <c r="AD34" s="141"/>
      <c r="AE34" s="142"/>
      <c r="AF34" s="141"/>
      <c r="AG34" s="142"/>
      <c r="AH34" s="99"/>
      <c r="AI34" s="100"/>
      <c r="AJ34" s="99"/>
      <c r="AK34" s="100"/>
      <c r="AL34" s="99"/>
      <c r="AM34" s="100"/>
      <c r="AN34" s="99"/>
      <c r="AO34" s="100"/>
      <c r="AP34" s="99">
        <f t="shared" si="19"/>
        <v>0</v>
      </c>
      <c r="AQ34" s="100">
        <f t="shared" si="20"/>
        <v>0</v>
      </c>
      <c r="AR34" s="109"/>
      <c r="AS34" s="109"/>
      <c r="AT34" s="109">
        <v>10000000</v>
      </c>
      <c r="AU34" s="109"/>
      <c r="AV34" s="109"/>
      <c r="AW34" s="109"/>
      <c r="AX34" s="109"/>
      <c r="AY34" s="109"/>
      <c r="AZ34" s="109"/>
      <c r="BA34" s="109">
        <f t="shared" si="21"/>
        <v>10000000</v>
      </c>
      <c r="BB34" s="109"/>
      <c r="BC34" s="109"/>
      <c r="BD34" s="109">
        <v>7000000</v>
      </c>
      <c r="BE34" s="109"/>
      <c r="BF34" s="109"/>
      <c r="BG34" s="109"/>
      <c r="BH34" s="109"/>
      <c r="BI34" s="109"/>
      <c r="BJ34" s="109"/>
      <c r="BK34" s="109">
        <f t="shared" si="22"/>
        <v>7000000</v>
      </c>
      <c r="BL34" s="109"/>
      <c r="BM34" s="109"/>
      <c r="BN34" s="109">
        <v>7210000</v>
      </c>
      <c r="BO34" s="109"/>
      <c r="BP34" s="109"/>
      <c r="BQ34" s="109"/>
      <c r="BR34" s="109"/>
      <c r="BS34" s="109"/>
      <c r="BT34" s="109"/>
      <c r="BU34" s="109">
        <f t="shared" si="23"/>
        <v>7210000</v>
      </c>
      <c r="BV34" s="103">
        <f t="shared" si="10"/>
        <v>48420000</v>
      </c>
    </row>
    <row r="35" spans="1:74" ht="71.25" x14ac:dyDescent="0.2">
      <c r="A35" s="84">
        <v>21</v>
      </c>
      <c r="B35" s="84">
        <v>1</v>
      </c>
      <c r="C35" s="70"/>
      <c r="D35" s="70"/>
      <c r="E35" s="111"/>
      <c r="F35" s="154"/>
      <c r="G35" s="149"/>
      <c r="H35" s="149"/>
      <c r="I35" s="94">
        <v>19</v>
      </c>
      <c r="J35" s="90" t="s">
        <v>98</v>
      </c>
      <c r="K35" s="86" t="s">
        <v>99</v>
      </c>
      <c r="L35" s="91" t="s">
        <v>43</v>
      </c>
      <c r="M35" s="91">
        <v>10</v>
      </c>
      <c r="N35" s="92" t="s">
        <v>58</v>
      </c>
      <c r="O35" s="93">
        <v>20</v>
      </c>
      <c r="P35" s="93">
        <v>31</v>
      </c>
      <c r="Q35" s="94">
        <v>5</v>
      </c>
      <c r="R35" s="95">
        <v>9</v>
      </c>
      <c r="S35" s="95">
        <v>9</v>
      </c>
      <c r="T35" s="95">
        <v>8</v>
      </c>
      <c r="U35" s="157">
        <f t="shared" si="18"/>
        <v>1.2969321141325636E-2</v>
      </c>
      <c r="V35" s="94">
        <v>4</v>
      </c>
      <c r="W35" s="91" t="s">
        <v>100</v>
      </c>
      <c r="X35" s="99"/>
      <c r="Y35" s="100"/>
      <c r="Z35" s="99"/>
      <c r="AA35" s="100"/>
      <c r="AB35" s="141">
        <f>9200000</f>
        <v>9200000</v>
      </c>
      <c r="AC35" s="101">
        <v>9200000</v>
      </c>
      <c r="AD35" s="141"/>
      <c r="AE35" s="142"/>
      <c r="AF35" s="141"/>
      <c r="AG35" s="142"/>
      <c r="AH35" s="99"/>
      <c r="AI35" s="100"/>
      <c r="AJ35" s="99"/>
      <c r="AK35" s="100"/>
      <c r="AL35" s="99"/>
      <c r="AM35" s="100"/>
      <c r="AN35" s="99"/>
      <c r="AO35" s="100"/>
      <c r="AP35" s="99">
        <f t="shared" si="19"/>
        <v>9200000</v>
      </c>
      <c r="AQ35" s="100">
        <f t="shared" si="20"/>
        <v>9200000</v>
      </c>
      <c r="AR35" s="109"/>
      <c r="AS35" s="109"/>
      <c r="AT35" s="109">
        <v>7000000</v>
      </c>
      <c r="AU35" s="109"/>
      <c r="AV35" s="109"/>
      <c r="AW35" s="109"/>
      <c r="AX35" s="109"/>
      <c r="AY35" s="109"/>
      <c r="AZ35" s="109"/>
      <c r="BA35" s="109">
        <f t="shared" si="21"/>
        <v>7000000</v>
      </c>
      <c r="BB35" s="109"/>
      <c r="BC35" s="109"/>
      <c r="BD35" s="109">
        <v>7000000</v>
      </c>
      <c r="BE35" s="109"/>
      <c r="BF35" s="109"/>
      <c r="BG35" s="109"/>
      <c r="BH35" s="109"/>
      <c r="BI35" s="109"/>
      <c r="BJ35" s="109"/>
      <c r="BK35" s="109">
        <f t="shared" si="22"/>
        <v>7000000</v>
      </c>
      <c r="BL35" s="109"/>
      <c r="BM35" s="109"/>
      <c r="BN35" s="109">
        <v>7210000</v>
      </c>
      <c r="BO35" s="109"/>
      <c r="BP35" s="109"/>
      <c r="BQ35" s="109"/>
      <c r="BR35" s="109"/>
      <c r="BS35" s="109"/>
      <c r="BT35" s="109"/>
      <c r="BU35" s="109">
        <f t="shared" si="23"/>
        <v>7210000</v>
      </c>
      <c r="BV35" s="103">
        <f t="shared" si="10"/>
        <v>42420000</v>
      </c>
    </row>
    <row r="36" spans="1:74" ht="85.5" x14ac:dyDescent="0.2">
      <c r="A36" s="105">
        <v>22</v>
      </c>
      <c r="B36" s="84">
        <v>1</v>
      </c>
      <c r="C36" s="158"/>
      <c r="D36" s="158"/>
      <c r="E36" s="110"/>
      <c r="F36" s="114"/>
      <c r="G36" s="116"/>
      <c r="H36" s="116"/>
      <c r="I36" s="94">
        <v>20</v>
      </c>
      <c r="J36" s="90" t="s">
        <v>101</v>
      </c>
      <c r="K36" s="86" t="s">
        <v>102</v>
      </c>
      <c r="L36" s="91" t="s">
        <v>43</v>
      </c>
      <c r="M36" s="91">
        <v>10</v>
      </c>
      <c r="N36" s="92" t="s">
        <v>58</v>
      </c>
      <c r="O36" s="93" t="s">
        <v>39</v>
      </c>
      <c r="P36" s="93">
        <v>250</v>
      </c>
      <c r="Q36" s="94">
        <v>50</v>
      </c>
      <c r="R36" s="94">
        <v>70</v>
      </c>
      <c r="S36" s="94">
        <v>70</v>
      </c>
      <c r="T36" s="94">
        <v>60</v>
      </c>
      <c r="U36" s="157">
        <f t="shared" si="18"/>
        <v>1.3077586778679311E-2</v>
      </c>
      <c r="V36" s="94">
        <v>4</v>
      </c>
      <c r="W36" s="91" t="s">
        <v>100</v>
      </c>
      <c r="X36" s="99"/>
      <c r="Y36" s="100"/>
      <c r="Z36" s="99"/>
      <c r="AA36" s="100"/>
      <c r="AB36" s="141">
        <v>9276800</v>
      </c>
      <c r="AC36" s="143">
        <v>9276800</v>
      </c>
      <c r="AD36" s="141"/>
      <c r="AE36" s="142"/>
      <c r="AF36" s="141"/>
      <c r="AG36" s="142"/>
      <c r="AH36" s="99"/>
      <c r="AI36" s="100"/>
      <c r="AJ36" s="99"/>
      <c r="AK36" s="100"/>
      <c r="AL36" s="99"/>
      <c r="AM36" s="100"/>
      <c r="AN36" s="99"/>
      <c r="AO36" s="100"/>
      <c r="AP36" s="99">
        <f t="shared" si="19"/>
        <v>9276800</v>
      </c>
      <c r="AQ36" s="100">
        <f t="shared" si="20"/>
        <v>9276800</v>
      </c>
      <c r="AR36" s="109"/>
      <c r="AS36" s="109"/>
      <c r="AT36" s="109">
        <v>7000000</v>
      </c>
      <c r="AU36" s="109"/>
      <c r="AV36" s="109"/>
      <c r="AW36" s="109"/>
      <c r="AX36" s="109"/>
      <c r="AY36" s="109"/>
      <c r="AZ36" s="109"/>
      <c r="BA36" s="109">
        <f t="shared" si="21"/>
        <v>7000000</v>
      </c>
      <c r="BB36" s="109"/>
      <c r="BC36" s="109"/>
      <c r="BD36" s="109">
        <v>7000000</v>
      </c>
      <c r="BE36" s="109"/>
      <c r="BF36" s="109"/>
      <c r="BG36" s="109"/>
      <c r="BH36" s="109"/>
      <c r="BI36" s="109"/>
      <c r="BJ36" s="109"/>
      <c r="BK36" s="109">
        <f t="shared" si="22"/>
        <v>7000000</v>
      </c>
      <c r="BL36" s="109"/>
      <c r="BM36" s="109"/>
      <c r="BN36" s="109">
        <v>7210000</v>
      </c>
      <c r="BO36" s="109"/>
      <c r="BP36" s="109"/>
      <c r="BQ36" s="109"/>
      <c r="BR36" s="109"/>
      <c r="BS36" s="109"/>
      <c r="BT36" s="109"/>
      <c r="BU36" s="109">
        <f t="shared" si="23"/>
        <v>7210000</v>
      </c>
      <c r="BV36" s="103">
        <f t="shared" si="10"/>
        <v>42420000</v>
      </c>
    </row>
    <row r="37" spans="1:74" ht="30.75" customHeight="1" x14ac:dyDescent="0.2">
      <c r="A37" s="105"/>
      <c r="B37" s="84"/>
      <c r="C37" s="159">
        <v>2</v>
      </c>
      <c r="D37" s="160" t="s">
        <v>103</v>
      </c>
      <c r="E37" s="161"/>
      <c r="F37" s="162"/>
      <c r="G37" s="162"/>
      <c r="H37" s="162"/>
      <c r="I37" s="161"/>
      <c r="J37" s="162"/>
      <c r="K37" s="162"/>
      <c r="L37" s="163"/>
      <c r="M37" s="161"/>
      <c r="N37" s="164"/>
      <c r="O37" s="162"/>
      <c r="P37" s="162"/>
      <c r="Q37" s="165"/>
      <c r="R37" s="162"/>
      <c r="S37" s="162"/>
      <c r="T37" s="161"/>
      <c r="U37" s="166"/>
      <c r="V37" s="161"/>
      <c r="W37" s="161"/>
      <c r="X37" s="49">
        <f t="shared" ref="X37:AO37" si="24">X38+X75+X83</f>
        <v>0</v>
      </c>
      <c r="Y37" s="49">
        <f t="shared" si="24"/>
        <v>0</v>
      </c>
      <c r="Z37" s="49">
        <f t="shared" si="24"/>
        <v>7937656341</v>
      </c>
      <c r="AA37" s="49">
        <f t="shared" si="24"/>
        <v>8617409300</v>
      </c>
      <c r="AB37" s="49">
        <f t="shared" si="24"/>
        <v>2176293889</v>
      </c>
      <c r="AC37" s="49">
        <f t="shared" si="24"/>
        <v>2127032055</v>
      </c>
      <c r="AD37" s="49">
        <f t="shared" si="24"/>
        <v>20519904</v>
      </c>
      <c r="AE37" s="49">
        <f t="shared" si="24"/>
        <v>148519904</v>
      </c>
      <c r="AF37" s="49">
        <f t="shared" si="24"/>
        <v>0</v>
      </c>
      <c r="AG37" s="49">
        <f t="shared" si="24"/>
        <v>0</v>
      </c>
      <c r="AH37" s="49">
        <f t="shared" si="24"/>
        <v>0</v>
      </c>
      <c r="AI37" s="49">
        <f t="shared" si="24"/>
        <v>0</v>
      </c>
      <c r="AJ37" s="49">
        <f t="shared" si="24"/>
        <v>0</v>
      </c>
      <c r="AK37" s="49">
        <f t="shared" si="24"/>
        <v>0</v>
      </c>
      <c r="AL37" s="49">
        <f t="shared" si="24"/>
        <v>0</v>
      </c>
      <c r="AM37" s="49">
        <f t="shared" si="24"/>
        <v>0</v>
      </c>
      <c r="AN37" s="49">
        <f t="shared" si="24"/>
        <v>15650000000</v>
      </c>
      <c r="AO37" s="49">
        <f t="shared" si="24"/>
        <v>0</v>
      </c>
      <c r="AP37" s="167">
        <f>AP38+AP75+AP83</f>
        <v>25784470134</v>
      </c>
      <c r="AQ37" s="49">
        <f>AQ38+AQ75+AQ83</f>
        <v>10892961259</v>
      </c>
      <c r="AR37" s="52"/>
      <c r="AS37" s="52"/>
      <c r="AT37" s="52"/>
      <c r="AU37" s="52"/>
      <c r="AV37" s="52"/>
      <c r="AW37" s="52"/>
      <c r="AX37" s="52"/>
      <c r="AY37" s="52"/>
      <c r="AZ37" s="52"/>
      <c r="BA37" s="52">
        <f>BA38+BA75+BA83</f>
        <v>31095340727</v>
      </c>
      <c r="BB37" s="52"/>
      <c r="BC37" s="52"/>
      <c r="BD37" s="52"/>
      <c r="BE37" s="52"/>
      <c r="BF37" s="52"/>
      <c r="BG37" s="52"/>
      <c r="BH37" s="52"/>
      <c r="BI37" s="52"/>
      <c r="BJ37" s="52"/>
      <c r="BK37" s="52">
        <f>BK38+BK75+BK83</f>
        <v>32002536920</v>
      </c>
      <c r="BL37" s="52"/>
      <c r="BM37" s="52"/>
      <c r="BN37" s="52"/>
      <c r="BO37" s="52"/>
      <c r="BP37" s="52"/>
      <c r="BQ37" s="52"/>
      <c r="BR37" s="52"/>
      <c r="BS37" s="52"/>
      <c r="BT37" s="52"/>
      <c r="BU37" s="52">
        <f>BU38+BU75+BU83</f>
        <v>33368847027</v>
      </c>
      <c r="BV37" s="168">
        <f t="shared" si="10"/>
        <v>96466724674</v>
      </c>
    </row>
    <row r="38" spans="1:74" ht="30.75" customHeight="1" x14ac:dyDescent="0.2">
      <c r="A38" s="105"/>
      <c r="B38" s="84"/>
      <c r="C38" s="169"/>
      <c r="D38" s="56">
        <v>2</v>
      </c>
      <c r="E38" s="170" t="s">
        <v>104</v>
      </c>
      <c r="F38" s="58"/>
      <c r="G38" s="59"/>
      <c r="H38" s="59"/>
      <c r="I38" s="60"/>
      <c r="J38" s="61"/>
      <c r="K38" s="61"/>
      <c r="L38" s="62"/>
      <c r="M38" s="60"/>
      <c r="N38" s="63"/>
      <c r="O38" s="61"/>
      <c r="P38" s="61"/>
      <c r="Q38" s="64"/>
      <c r="R38" s="61"/>
      <c r="S38" s="61"/>
      <c r="T38" s="60"/>
      <c r="U38" s="171"/>
      <c r="V38" s="60"/>
      <c r="W38" s="60"/>
      <c r="X38" s="66">
        <f t="shared" ref="X38:AO38" si="25">X39+X44+X51+X56+X60+X66+X71</f>
        <v>0</v>
      </c>
      <c r="Y38" s="66">
        <f t="shared" si="25"/>
        <v>0</v>
      </c>
      <c r="Z38" s="66">
        <f t="shared" si="25"/>
        <v>0</v>
      </c>
      <c r="AA38" s="66">
        <f t="shared" si="25"/>
        <v>0</v>
      </c>
      <c r="AB38" s="66">
        <f t="shared" si="25"/>
        <v>1037000000</v>
      </c>
      <c r="AC38" s="66">
        <f t="shared" si="25"/>
        <v>1037000000</v>
      </c>
      <c r="AD38" s="66">
        <f t="shared" si="25"/>
        <v>0</v>
      </c>
      <c r="AE38" s="66">
        <f t="shared" si="25"/>
        <v>0</v>
      </c>
      <c r="AF38" s="66">
        <f t="shared" si="25"/>
        <v>0</v>
      </c>
      <c r="AG38" s="66">
        <f t="shared" si="25"/>
        <v>0</v>
      </c>
      <c r="AH38" s="66">
        <f t="shared" si="25"/>
        <v>0</v>
      </c>
      <c r="AI38" s="66">
        <f t="shared" si="25"/>
        <v>0</v>
      </c>
      <c r="AJ38" s="66">
        <f t="shared" si="25"/>
        <v>0</v>
      </c>
      <c r="AK38" s="66">
        <f t="shared" si="25"/>
        <v>0</v>
      </c>
      <c r="AL38" s="66">
        <f t="shared" si="25"/>
        <v>0</v>
      </c>
      <c r="AM38" s="66">
        <f t="shared" si="25"/>
        <v>0</v>
      </c>
      <c r="AN38" s="66">
        <f t="shared" si="25"/>
        <v>10250000000</v>
      </c>
      <c r="AO38" s="66">
        <f t="shared" si="25"/>
        <v>0</v>
      </c>
      <c r="AP38" s="67">
        <f>AP39+AP44+AP51+AP56+AP60+AP66+AP71</f>
        <v>11287000000</v>
      </c>
      <c r="AQ38" s="66">
        <f>AQ39+AQ44+AQ51+AQ56+AQ60+AQ66+AQ71</f>
        <v>1037000000</v>
      </c>
      <c r="AR38" s="68"/>
      <c r="AS38" s="68"/>
      <c r="AT38" s="68"/>
      <c r="AU38" s="68"/>
      <c r="AV38" s="68"/>
      <c r="AW38" s="68"/>
      <c r="AX38" s="68"/>
      <c r="AY38" s="68"/>
      <c r="AZ38" s="68"/>
      <c r="BA38" s="68">
        <f>BA39+BA44+BA51+BA56+BA60+BA66+BA71</f>
        <v>7510000000</v>
      </c>
      <c r="BB38" s="68"/>
      <c r="BC38" s="68"/>
      <c r="BD38" s="68"/>
      <c r="BE38" s="68"/>
      <c r="BF38" s="68"/>
      <c r="BG38" s="68"/>
      <c r="BH38" s="68"/>
      <c r="BI38" s="68"/>
      <c r="BJ38" s="68"/>
      <c r="BK38" s="68">
        <f>BK39+BK44+BK51+BK56+BK60+BK66+BK71</f>
        <v>10150000000</v>
      </c>
      <c r="BL38" s="68"/>
      <c r="BM38" s="68"/>
      <c r="BN38" s="68"/>
      <c r="BO38" s="68"/>
      <c r="BP38" s="68"/>
      <c r="BQ38" s="68"/>
      <c r="BR38" s="68"/>
      <c r="BS38" s="68"/>
      <c r="BT38" s="68"/>
      <c r="BU38" s="68">
        <f>BU39+BU44+BU51+BU56+BU60+BU66+BU71</f>
        <v>8075000000</v>
      </c>
      <c r="BV38" s="172">
        <f t="shared" si="10"/>
        <v>25735000000</v>
      </c>
    </row>
    <row r="39" spans="1:74" ht="30.75" customHeight="1" x14ac:dyDescent="0.2">
      <c r="A39" s="105"/>
      <c r="B39" s="84"/>
      <c r="C39" s="173"/>
      <c r="D39" s="169"/>
      <c r="E39" s="71">
        <v>4</v>
      </c>
      <c r="F39" s="72" t="s">
        <v>105</v>
      </c>
      <c r="G39" s="72"/>
      <c r="H39" s="75"/>
      <c r="I39" s="74"/>
      <c r="J39" s="72"/>
      <c r="K39" s="75"/>
      <c r="L39" s="74"/>
      <c r="M39" s="76"/>
      <c r="N39" s="77"/>
      <c r="O39" s="75"/>
      <c r="P39" s="75"/>
      <c r="Q39" s="78"/>
      <c r="R39" s="75"/>
      <c r="S39" s="75"/>
      <c r="T39" s="76"/>
      <c r="U39" s="174"/>
      <c r="V39" s="76"/>
      <c r="W39" s="76"/>
      <c r="X39" s="80">
        <f t="shared" ref="X39:AO39" si="26">SUM(X40:X43)</f>
        <v>0</v>
      </c>
      <c r="Y39" s="80">
        <f t="shared" si="26"/>
        <v>0</v>
      </c>
      <c r="Z39" s="80">
        <f t="shared" si="26"/>
        <v>0</v>
      </c>
      <c r="AA39" s="80">
        <f t="shared" si="26"/>
        <v>0</v>
      </c>
      <c r="AB39" s="80">
        <f t="shared" si="26"/>
        <v>200000000</v>
      </c>
      <c r="AC39" s="80">
        <f t="shared" si="26"/>
        <v>200000000</v>
      </c>
      <c r="AD39" s="80">
        <f t="shared" si="26"/>
        <v>0</v>
      </c>
      <c r="AE39" s="80">
        <f t="shared" si="26"/>
        <v>0</v>
      </c>
      <c r="AF39" s="80">
        <f t="shared" si="26"/>
        <v>0</v>
      </c>
      <c r="AG39" s="80">
        <f t="shared" si="26"/>
        <v>0</v>
      </c>
      <c r="AH39" s="80">
        <f t="shared" si="26"/>
        <v>0</v>
      </c>
      <c r="AI39" s="80">
        <f t="shared" si="26"/>
        <v>0</v>
      </c>
      <c r="AJ39" s="80">
        <f t="shared" si="26"/>
        <v>0</v>
      </c>
      <c r="AK39" s="80">
        <f t="shared" si="26"/>
        <v>0</v>
      </c>
      <c r="AL39" s="80">
        <f t="shared" si="26"/>
        <v>0</v>
      </c>
      <c r="AM39" s="80">
        <f t="shared" si="26"/>
        <v>0</v>
      </c>
      <c r="AN39" s="80">
        <f t="shared" si="26"/>
        <v>1000000000</v>
      </c>
      <c r="AO39" s="80">
        <f t="shared" si="26"/>
        <v>0</v>
      </c>
      <c r="AP39" s="81">
        <f>SUM(AP40:AP43)</f>
        <v>1200000000</v>
      </c>
      <c r="AQ39" s="80">
        <f>SUM(AQ40:AQ43)</f>
        <v>200000000</v>
      </c>
      <c r="AR39" s="82"/>
      <c r="AS39" s="82"/>
      <c r="AT39" s="82"/>
      <c r="AU39" s="82"/>
      <c r="AV39" s="82"/>
      <c r="AW39" s="82"/>
      <c r="AX39" s="82"/>
      <c r="AY39" s="82"/>
      <c r="AZ39" s="82"/>
      <c r="BA39" s="82">
        <f>SUM(BA40:BA43)</f>
        <v>1000000000</v>
      </c>
      <c r="BB39" s="82"/>
      <c r="BC39" s="82"/>
      <c r="BD39" s="82"/>
      <c r="BE39" s="82"/>
      <c r="BF39" s="82"/>
      <c r="BG39" s="82"/>
      <c r="BH39" s="82"/>
      <c r="BI39" s="82"/>
      <c r="BJ39" s="82"/>
      <c r="BK39" s="82">
        <f>SUM(BK40:BK43)</f>
        <v>1000000000</v>
      </c>
      <c r="BL39" s="82"/>
      <c r="BM39" s="82"/>
      <c r="BN39" s="82"/>
      <c r="BO39" s="82"/>
      <c r="BP39" s="82"/>
      <c r="BQ39" s="82"/>
      <c r="BR39" s="82"/>
      <c r="BS39" s="82"/>
      <c r="BT39" s="82"/>
      <c r="BU39" s="82">
        <f>SUM(BU40:BU43)</f>
        <v>1000000000</v>
      </c>
      <c r="BV39" s="83">
        <f t="shared" si="10"/>
        <v>3000000000</v>
      </c>
    </row>
    <row r="40" spans="1:74" ht="85.5" x14ac:dyDescent="0.2">
      <c r="A40" s="84">
        <v>23</v>
      </c>
      <c r="B40" s="84">
        <v>2</v>
      </c>
      <c r="C40" s="173"/>
      <c r="D40" s="173"/>
      <c r="E40" s="117">
        <v>5</v>
      </c>
      <c r="F40" s="86" t="s">
        <v>106</v>
      </c>
      <c r="G40" s="106" t="s">
        <v>107</v>
      </c>
      <c r="H40" s="106" t="s">
        <v>108</v>
      </c>
      <c r="I40" s="89">
        <v>21</v>
      </c>
      <c r="J40" s="90" t="s">
        <v>109</v>
      </c>
      <c r="K40" s="86" t="s">
        <v>110</v>
      </c>
      <c r="L40" s="91" t="s">
        <v>111</v>
      </c>
      <c r="M40" s="91">
        <v>13</v>
      </c>
      <c r="N40" s="92" t="s">
        <v>58</v>
      </c>
      <c r="O40" s="93">
        <v>20</v>
      </c>
      <c r="P40" s="93">
        <v>400</v>
      </c>
      <c r="Q40" s="94">
        <v>100</v>
      </c>
      <c r="R40" s="95">
        <v>100</v>
      </c>
      <c r="S40" s="95">
        <v>100</v>
      </c>
      <c r="T40" s="95">
        <v>100</v>
      </c>
      <c r="U40" s="96">
        <f>AP40/AP39</f>
        <v>1</v>
      </c>
      <c r="V40" s="89">
        <v>12</v>
      </c>
      <c r="W40" s="175" t="s">
        <v>59</v>
      </c>
      <c r="X40" s="99"/>
      <c r="Y40" s="100"/>
      <c r="Z40" s="99"/>
      <c r="AA40" s="100"/>
      <c r="AB40" s="99">
        <v>200000000</v>
      </c>
      <c r="AC40" s="100">
        <v>200000000</v>
      </c>
      <c r="AD40" s="99"/>
      <c r="AE40" s="100"/>
      <c r="AF40" s="99"/>
      <c r="AG40" s="100"/>
      <c r="AH40" s="99"/>
      <c r="AI40" s="100"/>
      <c r="AJ40" s="99"/>
      <c r="AK40" s="100"/>
      <c r="AL40" s="99"/>
      <c r="AM40" s="100"/>
      <c r="AN40" s="99">
        <v>1000000000</v>
      </c>
      <c r="AO40" s="100"/>
      <c r="AP40" s="99">
        <f>+X40+Z40+AB40+AD40+AF40+AH40+AJ40+AL40+AN40</f>
        <v>1200000000</v>
      </c>
      <c r="AQ40" s="100">
        <f>Y40+AA40+AC40+AE40+AG40+AI40+AK40+AM40+AO40</f>
        <v>200000000</v>
      </c>
      <c r="AR40" s="109"/>
      <c r="AS40" s="109"/>
      <c r="AT40" s="109"/>
      <c r="AU40" s="109"/>
      <c r="AV40" s="109"/>
      <c r="AW40" s="109"/>
      <c r="AX40" s="109"/>
      <c r="AY40" s="109"/>
      <c r="AZ40" s="109">
        <v>100000000</v>
      </c>
      <c r="BA40" s="109">
        <f>SUM(AR40:AZ40)</f>
        <v>100000000</v>
      </c>
      <c r="BB40" s="109"/>
      <c r="BC40" s="109"/>
      <c r="BD40" s="109"/>
      <c r="BE40" s="109"/>
      <c r="BF40" s="109"/>
      <c r="BG40" s="109"/>
      <c r="BH40" s="109"/>
      <c r="BI40" s="109"/>
      <c r="BJ40" s="109">
        <v>100000000</v>
      </c>
      <c r="BK40" s="109">
        <f>SUM(BB40:BJ40)</f>
        <v>100000000</v>
      </c>
      <c r="BL40" s="109"/>
      <c r="BM40" s="109"/>
      <c r="BN40" s="109"/>
      <c r="BO40" s="109"/>
      <c r="BP40" s="109"/>
      <c r="BQ40" s="109"/>
      <c r="BR40" s="109"/>
      <c r="BS40" s="109"/>
      <c r="BT40" s="109">
        <v>100000000</v>
      </c>
      <c r="BU40" s="109">
        <f>SUM(BL40:BT40)</f>
        <v>100000000</v>
      </c>
      <c r="BV40" s="103">
        <f t="shared" si="10"/>
        <v>600000000</v>
      </c>
    </row>
    <row r="41" spans="1:74" ht="93.75" customHeight="1" x14ac:dyDescent="0.2">
      <c r="A41" s="105">
        <v>24</v>
      </c>
      <c r="B41" s="84">
        <v>2</v>
      </c>
      <c r="C41" s="173"/>
      <c r="D41" s="173"/>
      <c r="E41" s="117">
        <v>6</v>
      </c>
      <c r="F41" s="86" t="s">
        <v>112</v>
      </c>
      <c r="G41" s="106" t="s">
        <v>113</v>
      </c>
      <c r="H41" s="106" t="s">
        <v>114</v>
      </c>
      <c r="I41" s="89">
        <v>22</v>
      </c>
      <c r="J41" s="90" t="s">
        <v>115</v>
      </c>
      <c r="K41" s="86" t="s">
        <v>116</v>
      </c>
      <c r="L41" s="91" t="s">
        <v>111</v>
      </c>
      <c r="M41" s="91">
        <v>13</v>
      </c>
      <c r="N41" s="92" t="s">
        <v>58</v>
      </c>
      <c r="O41" s="93">
        <v>0</v>
      </c>
      <c r="P41" s="93">
        <v>6</v>
      </c>
      <c r="Q41" s="95">
        <v>0</v>
      </c>
      <c r="R41" s="95">
        <v>1</v>
      </c>
      <c r="S41" s="95">
        <v>2</v>
      </c>
      <c r="T41" s="95">
        <v>3</v>
      </c>
      <c r="U41" s="176"/>
      <c r="V41" s="89">
        <v>12</v>
      </c>
      <c r="W41" s="175" t="s">
        <v>59</v>
      </c>
      <c r="X41" s="99"/>
      <c r="Y41" s="100"/>
      <c r="Z41" s="99"/>
      <c r="AA41" s="100"/>
      <c r="AB41" s="99"/>
      <c r="AC41" s="100"/>
      <c r="AD41" s="99"/>
      <c r="AE41" s="100"/>
      <c r="AF41" s="99"/>
      <c r="AG41" s="100"/>
      <c r="AH41" s="99"/>
      <c r="AI41" s="100"/>
      <c r="AJ41" s="99"/>
      <c r="AK41" s="100"/>
      <c r="AL41" s="99"/>
      <c r="AM41" s="100"/>
      <c r="AN41" s="99"/>
      <c r="AO41" s="100"/>
      <c r="AP41" s="99">
        <f>+X41+Z41+AB41+AD41+AF41+AH41+AJ41+AL41+AN41</f>
        <v>0</v>
      </c>
      <c r="AQ41" s="100">
        <f>Y41+AA41+AC41+AE41+AG41+AI41+AK41+AM41+AO41</f>
        <v>0</v>
      </c>
      <c r="AR41" s="109"/>
      <c r="AS41" s="109"/>
      <c r="AT41" s="109"/>
      <c r="AU41" s="109"/>
      <c r="AV41" s="109"/>
      <c r="AW41" s="109"/>
      <c r="AX41" s="109"/>
      <c r="AY41" s="109"/>
      <c r="AZ41" s="109">
        <v>200000000</v>
      </c>
      <c r="BA41" s="109">
        <f>SUM(AR41:AZ41)</f>
        <v>200000000</v>
      </c>
      <c r="BB41" s="109"/>
      <c r="BC41" s="109"/>
      <c r="BD41" s="109"/>
      <c r="BE41" s="109"/>
      <c r="BF41" s="109"/>
      <c r="BG41" s="109"/>
      <c r="BH41" s="109"/>
      <c r="BI41" s="109"/>
      <c r="BJ41" s="109">
        <v>200000000</v>
      </c>
      <c r="BK41" s="109">
        <f>SUM(BB41:BJ41)</f>
        <v>200000000</v>
      </c>
      <c r="BL41" s="109"/>
      <c r="BM41" s="109"/>
      <c r="BN41" s="109"/>
      <c r="BO41" s="109"/>
      <c r="BP41" s="109"/>
      <c r="BQ41" s="109"/>
      <c r="BR41" s="109"/>
      <c r="BS41" s="109"/>
      <c r="BT41" s="109">
        <v>200000000</v>
      </c>
      <c r="BU41" s="109">
        <f>SUM(BL41:BT41)</f>
        <v>200000000</v>
      </c>
      <c r="BV41" s="103">
        <f t="shared" si="10"/>
        <v>1200000000</v>
      </c>
    </row>
    <row r="42" spans="1:74" ht="79.5" customHeight="1" x14ac:dyDescent="0.2">
      <c r="A42" s="84">
        <v>25</v>
      </c>
      <c r="B42" s="84">
        <v>2</v>
      </c>
      <c r="C42" s="173"/>
      <c r="D42" s="173"/>
      <c r="E42" s="85">
        <v>7</v>
      </c>
      <c r="F42" s="112" t="s">
        <v>117</v>
      </c>
      <c r="G42" s="113" t="s">
        <v>118</v>
      </c>
      <c r="H42" s="177">
        <v>0.27</v>
      </c>
      <c r="I42" s="89">
        <v>23</v>
      </c>
      <c r="J42" s="90" t="s">
        <v>119</v>
      </c>
      <c r="K42" s="90" t="s">
        <v>120</v>
      </c>
      <c r="L42" s="91" t="s">
        <v>111</v>
      </c>
      <c r="M42" s="91">
        <v>13</v>
      </c>
      <c r="N42" s="91" t="s">
        <v>44</v>
      </c>
      <c r="O42" s="108">
        <v>0</v>
      </c>
      <c r="P42" s="108">
        <v>1</v>
      </c>
      <c r="Q42" s="94">
        <v>0</v>
      </c>
      <c r="R42" s="94">
        <v>1</v>
      </c>
      <c r="S42" s="94">
        <v>1</v>
      </c>
      <c r="T42" s="94">
        <v>1</v>
      </c>
      <c r="U42" s="176"/>
      <c r="V42" s="89">
        <v>8</v>
      </c>
      <c r="W42" s="175" t="s">
        <v>121</v>
      </c>
      <c r="X42" s="99"/>
      <c r="Y42" s="100"/>
      <c r="Z42" s="99"/>
      <c r="AA42" s="100"/>
      <c r="AB42" s="99"/>
      <c r="AC42" s="100"/>
      <c r="AD42" s="99"/>
      <c r="AE42" s="100"/>
      <c r="AF42" s="99"/>
      <c r="AG42" s="100"/>
      <c r="AH42" s="99"/>
      <c r="AI42" s="100"/>
      <c r="AJ42" s="99"/>
      <c r="AK42" s="100"/>
      <c r="AL42" s="99"/>
      <c r="AM42" s="100"/>
      <c r="AN42" s="99"/>
      <c r="AO42" s="100"/>
      <c r="AP42" s="99">
        <f>+X42+Z42+AB42+AD42+AF42+AH42+AJ42+AL42+AN42</f>
        <v>0</v>
      </c>
      <c r="AQ42" s="100">
        <f>Y42+AA42+AC42+AE42+AG42+AI42+AK42+AM42+AO42</f>
        <v>0</v>
      </c>
      <c r="AR42" s="109"/>
      <c r="AS42" s="109"/>
      <c r="AT42" s="109"/>
      <c r="AU42" s="109"/>
      <c r="AV42" s="109"/>
      <c r="AW42" s="109"/>
      <c r="AX42" s="109"/>
      <c r="AY42" s="109"/>
      <c r="AZ42" s="109">
        <v>100000000</v>
      </c>
      <c r="BA42" s="109">
        <f>SUM(AR42:AZ42)</f>
        <v>100000000</v>
      </c>
      <c r="BB42" s="109"/>
      <c r="BC42" s="109"/>
      <c r="BD42" s="109"/>
      <c r="BE42" s="109"/>
      <c r="BF42" s="109"/>
      <c r="BG42" s="109"/>
      <c r="BH42" s="109"/>
      <c r="BI42" s="109"/>
      <c r="BJ42" s="109">
        <v>100000000</v>
      </c>
      <c r="BK42" s="109">
        <f>SUM(BB42:BJ42)</f>
        <v>100000000</v>
      </c>
      <c r="BL42" s="109"/>
      <c r="BM42" s="109"/>
      <c r="BN42" s="109"/>
      <c r="BO42" s="109"/>
      <c r="BP42" s="109"/>
      <c r="BQ42" s="109"/>
      <c r="BR42" s="109"/>
      <c r="BS42" s="109"/>
      <c r="BT42" s="109">
        <v>100000000</v>
      </c>
      <c r="BU42" s="109">
        <f>SUM(BL42:BT42)</f>
        <v>100000000</v>
      </c>
      <c r="BV42" s="103">
        <f t="shared" si="10"/>
        <v>600000000</v>
      </c>
    </row>
    <row r="43" spans="1:74" ht="101.25" customHeight="1" x14ac:dyDescent="0.2">
      <c r="A43" s="105">
        <v>26</v>
      </c>
      <c r="B43" s="84">
        <v>2</v>
      </c>
      <c r="C43" s="173"/>
      <c r="D43" s="178"/>
      <c r="E43" s="179"/>
      <c r="F43" s="180"/>
      <c r="G43" s="181"/>
      <c r="H43" s="182"/>
      <c r="I43" s="89">
        <v>24</v>
      </c>
      <c r="J43" s="90" t="s">
        <v>122</v>
      </c>
      <c r="K43" s="86" t="s">
        <v>123</v>
      </c>
      <c r="L43" s="91" t="s">
        <v>111</v>
      </c>
      <c r="M43" s="91">
        <v>13</v>
      </c>
      <c r="N43" s="91" t="s">
        <v>58</v>
      </c>
      <c r="O43" s="108">
        <v>0</v>
      </c>
      <c r="P43" s="108">
        <v>1</v>
      </c>
      <c r="Q43" s="94">
        <v>0</v>
      </c>
      <c r="R43" s="94">
        <v>1</v>
      </c>
      <c r="S43" s="94">
        <v>0</v>
      </c>
      <c r="T43" s="94">
        <v>0</v>
      </c>
      <c r="U43" s="176"/>
      <c r="V43" s="89">
        <v>8</v>
      </c>
      <c r="W43" s="175" t="s">
        <v>121</v>
      </c>
      <c r="X43" s="99"/>
      <c r="Y43" s="100"/>
      <c r="Z43" s="99"/>
      <c r="AA43" s="100"/>
      <c r="AB43" s="99"/>
      <c r="AC43" s="100"/>
      <c r="AD43" s="99"/>
      <c r="AE43" s="100"/>
      <c r="AF43" s="99"/>
      <c r="AG43" s="100"/>
      <c r="AH43" s="99"/>
      <c r="AI43" s="100"/>
      <c r="AJ43" s="99"/>
      <c r="AK43" s="100"/>
      <c r="AL43" s="99"/>
      <c r="AM43" s="100"/>
      <c r="AN43" s="99"/>
      <c r="AO43" s="100"/>
      <c r="AP43" s="99">
        <f>+X43+Z43+AB43+AD43+AF43+AH43+AJ43+AL43+AN43</f>
        <v>0</v>
      </c>
      <c r="AQ43" s="100">
        <f>Y43+AA43+AC43+AE43+AG43+AI43+AK43+AM43+AO43</f>
        <v>0</v>
      </c>
      <c r="AR43" s="109"/>
      <c r="AS43" s="109"/>
      <c r="AT43" s="109"/>
      <c r="AU43" s="109"/>
      <c r="AV43" s="109"/>
      <c r="AW43" s="109"/>
      <c r="AX43" s="109"/>
      <c r="AY43" s="109"/>
      <c r="AZ43" s="109">
        <v>600000000</v>
      </c>
      <c r="BA43" s="109">
        <f>SUM(AR43:AZ43)</f>
        <v>600000000</v>
      </c>
      <c r="BB43" s="109"/>
      <c r="BC43" s="109"/>
      <c r="BD43" s="109"/>
      <c r="BE43" s="109"/>
      <c r="BF43" s="109"/>
      <c r="BG43" s="109"/>
      <c r="BH43" s="109"/>
      <c r="BI43" s="109"/>
      <c r="BJ43" s="109">
        <v>600000000</v>
      </c>
      <c r="BK43" s="109">
        <f>SUM(BB43:BJ43)</f>
        <v>600000000</v>
      </c>
      <c r="BL43" s="109"/>
      <c r="BM43" s="109"/>
      <c r="BN43" s="109"/>
      <c r="BO43" s="109"/>
      <c r="BP43" s="109"/>
      <c r="BQ43" s="109"/>
      <c r="BR43" s="109"/>
      <c r="BS43" s="109"/>
      <c r="BT43" s="109">
        <v>600000000</v>
      </c>
      <c r="BU43" s="109">
        <f>SUM(BL43:BT43)</f>
        <v>600000000</v>
      </c>
      <c r="BV43" s="103">
        <f t="shared" si="10"/>
        <v>3600000000</v>
      </c>
    </row>
    <row r="44" spans="1:74" ht="24.75" customHeight="1" x14ac:dyDescent="0.2">
      <c r="A44" s="105"/>
      <c r="B44" s="84"/>
      <c r="C44" s="173"/>
      <c r="D44" s="173"/>
      <c r="E44" s="183">
        <v>5</v>
      </c>
      <c r="F44" s="184" t="s">
        <v>124</v>
      </c>
      <c r="G44" s="184"/>
      <c r="H44" s="185"/>
      <c r="I44" s="76"/>
      <c r="J44" s="186"/>
      <c r="K44" s="75"/>
      <c r="L44" s="74"/>
      <c r="M44" s="76"/>
      <c r="N44" s="77"/>
      <c r="O44" s="75"/>
      <c r="P44" s="75"/>
      <c r="Q44" s="78"/>
      <c r="R44" s="75"/>
      <c r="S44" s="75"/>
      <c r="T44" s="76"/>
      <c r="U44" s="174"/>
      <c r="V44" s="76"/>
      <c r="W44" s="76"/>
      <c r="X44" s="80">
        <f t="shared" ref="X44:AO44" si="27">SUM(X45:X50)</f>
        <v>0</v>
      </c>
      <c r="Y44" s="80">
        <f t="shared" si="27"/>
        <v>0</v>
      </c>
      <c r="Z44" s="80">
        <f t="shared" si="27"/>
        <v>0</v>
      </c>
      <c r="AA44" s="80">
        <f t="shared" si="27"/>
        <v>0</v>
      </c>
      <c r="AB44" s="80">
        <f t="shared" si="27"/>
        <v>0</v>
      </c>
      <c r="AC44" s="80">
        <f t="shared" si="27"/>
        <v>0</v>
      </c>
      <c r="AD44" s="80">
        <f t="shared" si="27"/>
        <v>0</v>
      </c>
      <c r="AE44" s="80">
        <f t="shared" si="27"/>
        <v>0</v>
      </c>
      <c r="AF44" s="80">
        <f t="shared" si="27"/>
        <v>0</v>
      </c>
      <c r="AG44" s="80">
        <f t="shared" si="27"/>
        <v>0</v>
      </c>
      <c r="AH44" s="80">
        <f t="shared" si="27"/>
        <v>0</v>
      </c>
      <c r="AI44" s="80">
        <f t="shared" si="27"/>
        <v>0</v>
      </c>
      <c r="AJ44" s="80">
        <f t="shared" si="27"/>
        <v>0</v>
      </c>
      <c r="AK44" s="80">
        <f t="shared" si="27"/>
        <v>0</v>
      </c>
      <c r="AL44" s="80">
        <f t="shared" si="27"/>
        <v>0</v>
      </c>
      <c r="AM44" s="80">
        <f t="shared" si="27"/>
        <v>0</v>
      </c>
      <c r="AN44" s="80">
        <f t="shared" si="27"/>
        <v>6000000000</v>
      </c>
      <c r="AO44" s="80">
        <f t="shared" si="27"/>
        <v>0</v>
      </c>
      <c r="AP44" s="187">
        <f>SUM(AP45:AP50)</f>
        <v>6000000000</v>
      </c>
      <c r="AQ44" s="80">
        <f>SUM(AQ45:AQ50)</f>
        <v>0</v>
      </c>
      <c r="AR44" s="188"/>
      <c r="AS44" s="188"/>
      <c r="AT44" s="188"/>
      <c r="AU44" s="188"/>
      <c r="AV44" s="188"/>
      <c r="AW44" s="188"/>
      <c r="AX44" s="188"/>
      <c r="AY44" s="188"/>
      <c r="AZ44" s="188"/>
      <c r="BA44" s="188">
        <f>SUM(BA45:BA50)</f>
        <v>6000000000</v>
      </c>
      <c r="BB44" s="188"/>
      <c r="BC44" s="188"/>
      <c r="BD44" s="188"/>
      <c r="BE44" s="188"/>
      <c r="BF44" s="188"/>
      <c r="BG44" s="188"/>
      <c r="BH44" s="188"/>
      <c r="BI44" s="188"/>
      <c r="BJ44" s="188"/>
      <c r="BK44" s="188">
        <f>SUM(BK45:BK50)</f>
        <v>9000000000</v>
      </c>
      <c r="BL44" s="188"/>
      <c r="BM44" s="188"/>
      <c r="BN44" s="188"/>
      <c r="BO44" s="188"/>
      <c r="BP44" s="188"/>
      <c r="BQ44" s="188"/>
      <c r="BR44" s="188"/>
      <c r="BS44" s="188"/>
      <c r="BT44" s="188"/>
      <c r="BU44" s="189">
        <f>SUM(BU45:BU50)</f>
        <v>7000000000</v>
      </c>
      <c r="BV44" s="83">
        <f t="shared" si="10"/>
        <v>22000000000</v>
      </c>
    </row>
    <row r="45" spans="1:74" ht="94.5" customHeight="1" x14ac:dyDescent="0.2">
      <c r="A45" s="84">
        <v>27</v>
      </c>
      <c r="B45" s="84">
        <v>2</v>
      </c>
      <c r="C45" s="173"/>
      <c r="D45" s="173"/>
      <c r="E45" s="85"/>
      <c r="G45" s="87"/>
      <c r="H45" s="190"/>
      <c r="I45" s="94">
        <v>25</v>
      </c>
      <c r="J45" s="90" t="s">
        <v>125</v>
      </c>
      <c r="K45" s="86" t="s">
        <v>126</v>
      </c>
      <c r="L45" s="91" t="s">
        <v>111</v>
      </c>
      <c r="M45" s="91">
        <v>13</v>
      </c>
      <c r="N45" s="92" t="s">
        <v>58</v>
      </c>
      <c r="O45" s="93" t="s">
        <v>39</v>
      </c>
      <c r="P45" s="93">
        <v>6</v>
      </c>
      <c r="Q45" s="95">
        <v>0</v>
      </c>
      <c r="R45" s="95">
        <v>2</v>
      </c>
      <c r="S45" s="95">
        <v>2</v>
      </c>
      <c r="T45" s="95">
        <v>2</v>
      </c>
      <c r="U45" s="191"/>
      <c r="V45" s="94">
        <v>2</v>
      </c>
      <c r="W45" s="91" t="s">
        <v>127</v>
      </c>
      <c r="X45" s="99"/>
      <c r="Y45" s="100"/>
      <c r="Z45" s="99"/>
      <c r="AA45" s="100"/>
      <c r="AB45" s="99"/>
      <c r="AC45" s="100"/>
      <c r="AD45" s="99"/>
      <c r="AE45" s="100"/>
      <c r="AF45" s="99"/>
      <c r="AG45" s="100"/>
      <c r="AH45" s="99"/>
      <c r="AI45" s="100"/>
      <c r="AJ45" s="99"/>
      <c r="AK45" s="100"/>
      <c r="AL45" s="99"/>
      <c r="AM45" s="100"/>
      <c r="AN45" s="99"/>
      <c r="AO45" s="100"/>
      <c r="AP45" s="99">
        <f t="shared" ref="AP45:AP50" si="28">+X45+Z45+AB45+AD45+AF45+AH45+AJ45+AL45+AN45</f>
        <v>0</v>
      </c>
      <c r="AQ45" s="100">
        <f t="shared" ref="AQ45:AQ50" si="29">Y45+AA45+AC45+AE45+AG45+AI45+AK45+AM45+AO45</f>
        <v>0</v>
      </c>
      <c r="AR45" s="109">
        <v>1000000000</v>
      </c>
      <c r="AS45" s="109"/>
      <c r="AT45" s="109"/>
      <c r="AU45" s="109"/>
      <c r="AV45" s="109"/>
      <c r="AW45" s="109"/>
      <c r="AX45" s="109"/>
      <c r="AY45" s="109"/>
      <c r="AZ45" s="109"/>
      <c r="BA45" s="109">
        <f t="shared" ref="BA45:BA50" si="30">SUM(AR45:AY45)+AZ45</f>
        <v>1000000000</v>
      </c>
      <c r="BB45" s="192"/>
      <c r="BC45" s="192"/>
      <c r="BD45" s="192"/>
      <c r="BE45" s="192"/>
      <c r="BF45" s="192"/>
      <c r="BG45" s="192"/>
      <c r="BH45" s="192"/>
      <c r="BI45" s="192"/>
      <c r="BJ45" s="192">
        <v>1000000000</v>
      </c>
      <c r="BK45" s="192">
        <f t="shared" ref="BK45:BK50" si="31">SUM(BB45:BJ45)</f>
        <v>1000000000</v>
      </c>
      <c r="BL45" s="109"/>
      <c r="BM45" s="109"/>
      <c r="BN45" s="109"/>
      <c r="BO45" s="109"/>
      <c r="BP45" s="109"/>
      <c r="BQ45" s="109"/>
      <c r="BR45" s="109"/>
      <c r="BS45" s="109"/>
      <c r="BT45" s="109"/>
      <c r="BU45" s="109">
        <f t="shared" ref="BU45:BU50" si="32">SUM(BL45:BT45)</f>
        <v>0</v>
      </c>
      <c r="BV45" s="103">
        <f t="shared" si="10"/>
        <v>4000000000</v>
      </c>
    </row>
    <row r="46" spans="1:74" ht="132" customHeight="1" x14ac:dyDescent="0.2">
      <c r="A46" s="105">
        <v>28</v>
      </c>
      <c r="B46" s="84">
        <v>2</v>
      </c>
      <c r="C46" s="173"/>
      <c r="D46" s="173"/>
      <c r="E46" s="111">
        <v>5</v>
      </c>
      <c r="F46" s="154" t="s">
        <v>128</v>
      </c>
      <c r="G46" s="193" t="s">
        <v>107</v>
      </c>
      <c r="H46" s="193" t="s">
        <v>108</v>
      </c>
      <c r="I46" s="94">
        <v>26</v>
      </c>
      <c r="J46" s="90" t="s">
        <v>129</v>
      </c>
      <c r="K46" s="86" t="s">
        <v>130</v>
      </c>
      <c r="L46" s="91" t="s">
        <v>111</v>
      </c>
      <c r="M46" s="91">
        <v>13</v>
      </c>
      <c r="N46" s="92" t="s">
        <v>58</v>
      </c>
      <c r="O46" s="93" t="s">
        <v>39</v>
      </c>
      <c r="P46" s="93">
        <v>5</v>
      </c>
      <c r="Q46" s="95">
        <v>0</v>
      </c>
      <c r="R46" s="95">
        <v>1</v>
      </c>
      <c r="S46" s="95">
        <v>2</v>
      </c>
      <c r="T46" s="95">
        <v>2</v>
      </c>
      <c r="U46" s="191"/>
      <c r="V46" s="94">
        <v>2</v>
      </c>
      <c r="W46" s="91" t="s">
        <v>127</v>
      </c>
      <c r="X46" s="99"/>
      <c r="Y46" s="100"/>
      <c r="Z46" s="99"/>
      <c r="AA46" s="100"/>
      <c r="AB46" s="99"/>
      <c r="AC46" s="100"/>
      <c r="AD46" s="99"/>
      <c r="AE46" s="100"/>
      <c r="AF46" s="99"/>
      <c r="AG46" s="100"/>
      <c r="AH46" s="99"/>
      <c r="AI46" s="100"/>
      <c r="AJ46" s="99"/>
      <c r="AK46" s="100"/>
      <c r="AL46" s="99"/>
      <c r="AM46" s="100"/>
      <c r="AN46" s="99"/>
      <c r="AO46" s="100"/>
      <c r="AP46" s="99">
        <f t="shared" si="28"/>
        <v>0</v>
      </c>
      <c r="AQ46" s="100">
        <f t="shared" si="29"/>
        <v>0</v>
      </c>
      <c r="AR46" s="109">
        <v>1000000000</v>
      </c>
      <c r="AS46" s="109"/>
      <c r="AT46" s="109"/>
      <c r="AU46" s="109"/>
      <c r="AV46" s="109"/>
      <c r="AW46" s="109"/>
      <c r="AX46" s="109"/>
      <c r="AY46" s="109"/>
      <c r="AZ46" s="109"/>
      <c r="BA46" s="109">
        <f t="shared" si="30"/>
        <v>1000000000</v>
      </c>
      <c r="BB46" s="192"/>
      <c r="BC46" s="192"/>
      <c r="BD46" s="192"/>
      <c r="BE46" s="192"/>
      <c r="BF46" s="192"/>
      <c r="BG46" s="192"/>
      <c r="BH46" s="192"/>
      <c r="BI46" s="192"/>
      <c r="BJ46" s="192">
        <v>1000000000</v>
      </c>
      <c r="BK46" s="192">
        <f t="shared" si="31"/>
        <v>1000000000</v>
      </c>
      <c r="BL46" s="109"/>
      <c r="BM46" s="109"/>
      <c r="BN46" s="109"/>
      <c r="BO46" s="109"/>
      <c r="BP46" s="109"/>
      <c r="BQ46" s="109"/>
      <c r="BR46" s="109"/>
      <c r="BS46" s="109"/>
      <c r="BT46" s="109">
        <v>7000000000</v>
      </c>
      <c r="BU46" s="109">
        <f t="shared" si="32"/>
        <v>7000000000</v>
      </c>
      <c r="BV46" s="103">
        <f t="shared" si="10"/>
        <v>18000000000</v>
      </c>
    </row>
    <row r="47" spans="1:74" ht="74.25" customHeight="1" x14ac:dyDescent="0.2">
      <c r="A47" s="84">
        <v>29</v>
      </c>
      <c r="B47" s="84">
        <v>2</v>
      </c>
      <c r="C47" s="173"/>
      <c r="D47" s="178"/>
      <c r="E47" s="179"/>
      <c r="F47" s="194"/>
      <c r="G47" s="195"/>
      <c r="H47" s="195"/>
      <c r="I47" s="94">
        <v>27</v>
      </c>
      <c r="J47" s="90" t="s">
        <v>131</v>
      </c>
      <c r="K47" s="86" t="s">
        <v>132</v>
      </c>
      <c r="L47" s="91" t="s">
        <v>111</v>
      </c>
      <c r="M47" s="91">
        <v>13</v>
      </c>
      <c r="N47" s="91" t="s">
        <v>58</v>
      </c>
      <c r="O47" s="108">
        <v>0</v>
      </c>
      <c r="P47" s="108">
        <v>6</v>
      </c>
      <c r="Q47" s="94">
        <v>0</v>
      </c>
      <c r="R47" s="94">
        <v>2</v>
      </c>
      <c r="S47" s="94">
        <v>2</v>
      </c>
      <c r="T47" s="94">
        <v>2</v>
      </c>
      <c r="U47" s="191">
        <f>AP47/AP44</f>
        <v>1</v>
      </c>
      <c r="V47" s="94">
        <v>2</v>
      </c>
      <c r="W47" s="91" t="s">
        <v>127</v>
      </c>
      <c r="X47" s="99"/>
      <c r="Y47" s="100"/>
      <c r="Z47" s="99"/>
      <c r="AA47" s="100"/>
      <c r="AB47" s="99"/>
      <c r="AC47" s="100"/>
      <c r="AD47" s="99"/>
      <c r="AE47" s="100"/>
      <c r="AF47" s="99"/>
      <c r="AG47" s="100"/>
      <c r="AH47" s="99"/>
      <c r="AI47" s="100"/>
      <c r="AJ47" s="99"/>
      <c r="AK47" s="100"/>
      <c r="AL47" s="99"/>
      <c r="AM47" s="100"/>
      <c r="AN47" s="99">
        <v>6000000000</v>
      </c>
      <c r="AO47" s="100"/>
      <c r="AP47" s="99">
        <f t="shared" si="28"/>
        <v>6000000000</v>
      </c>
      <c r="AQ47" s="100">
        <f t="shared" si="29"/>
        <v>0</v>
      </c>
      <c r="AR47" s="109">
        <v>1000000000</v>
      </c>
      <c r="AS47" s="109"/>
      <c r="AT47" s="109"/>
      <c r="AU47" s="109"/>
      <c r="AV47" s="109"/>
      <c r="AW47" s="109"/>
      <c r="AX47" s="109"/>
      <c r="AY47" s="109"/>
      <c r="AZ47" s="109"/>
      <c r="BA47" s="109">
        <f t="shared" si="30"/>
        <v>1000000000</v>
      </c>
      <c r="BB47" s="192"/>
      <c r="BC47" s="192"/>
      <c r="BD47" s="192"/>
      <c r="BE47" s="192"/>
      <c r="BF47" s="192"/>
      <c r="BG47" s="192"/>
      <c r="BH47" s="192"/>
      <c r="BI47" s="192"/>
      <c r="BJ47" s="192">
        <f>1000000000+3000000000</f>
        <v>4000000000</v>
      </c>
      <c r="BK47" s="192">
        <f t="shared" si="31"/>
        <v>4000000000</v>
      </c>
      <c r="BL47" s="109"/>
      <c r="BM47" s="109"/>
      <c r="BN47" s="109"/>
      <c r="BO47" s="109"/>
      <c r="BP47" s="109"/>
      <c r="BQ47" s="109"/>
      <c r="BR47" s="109"/>
      <c r="BS47" s="109"/>
      <c r="BT47" s="109"/>
      <c r="BU47" s="109">
        <f t="shared" si="32"/>
        <v>0</v>
      </c>
      <c r="BV47" s="103">
        <f t="shared" si="10"/>
        <v>10000000000</v>
      </c>
    </row>
    <row r="48" spans="1:74" ht="78" customHeight="1" x14ac:dyDescent="0.2">
      <c r="A48" s="105">
        <v>30</v>
      </c>
      <c r="B48" s="84">
        <v>2</v>
      </c>
      <c r="C48" s="173"/>
      <c r="D48" s="173"/>
      <c r="E48" s="110">
        <v>6</v>
      </c>
      <c r="F48" s="114" t="s">
        <v>133</v>
      </c>
      <c r="G48" s="196" t="s">
        <v>113</v>
      </c>
      <c r="H48" s="196" t="s">
        <v>114</v>
      </c>
      <c r="I48" s="94">
        <v>28</v>
      </c>
      <c r="J48" s="90" t="s">
        <v>134</v>
      </c>
      <c r="K48" s="86" t="s">
        <v>135</v>
      </c>
      <c r="L48" s="91" t="s">
        <v>111</v>
      </c>
      <c r="M48" s="91">
        <v>13</v>
      </c>
      <c r="N48" s="92" t="s">
        <v>58</v>
      </c>
      <c r="O48" s="93" t="s">
        <v>39</v>
      </c>
      <c r="P48" s="93">
        <v>6</v>
      </c>
      <c r="Q48" s="95">
        <v>0</v>
      </c>
      <c r="R48" s="95">
        <v>2</v>
      </c>
      <c r="S48" s="95">
        <v>2</v>
      </c>
      <c r="T48" s="95">
        <v>2</v>
      </c>
      <c r="U48" s="191"/>
      <c r="V48" s="94">
        <v>2</v>
      </c>
      <c r="W48" s="91" t="s">
        <v>127</v>
      </c>
      <c r="X48" s="99"/>
      <c r="Y48" s="100"/>
      <c r="Z48" s="99"/>
      <c r="AA48" s="100"/>
      <c r="AB48" s="99"/>
      <c r="AC48" s="100"/>
      <c r="AD48" s="99"/>
      <c r="AE48" s="100"/>
      <c r="AF48" s="99"/>
      <c r="AG48" s="100"/>
      <c r="AH48" s="99"/>
      <c r="AI48" s="100"/>
      <c r="AJ48" s="99"/>
      <c r="AK48" s="100"/>
      <c r="AL48" s="99"/>
      <c r="AM48" s="100"/>
      <c r="AN48" s="99"/>
      <c r="AO48" s="100"/>
      <c r="AP48" s="99">
        <f t="shared" si="28"/>
        <v>0</v>
      </c>
      <c r="AQ48" s="100">
        <f t="shared" si="29"/>
        <v>0</v>
      </c>
      <c r="AR48" s="109"/>
      <c r="AS48" s="109"/>
      <c r="AT48" s="109"/>
      <c r="AU48" s="109"/>
      <c r="AV48" s="109"/>
      <c r="AW48" s="109"/>
      <c r="AX48" s="109"/>
      <c r="AY48" s="109"/>
      <c r="AZ48" s="192">
        <v>1000000000</v>
      </c>
      <c r="BA48" s="109">
        <f t="shared" si="30"/>
        <v>1000000000</v>
      </c>
      <c r="BB48" s="192">
        <v>1000000000</v>
      </c>
      <c r="BC48" s="192"/>
      <c r="BD48" s="192"/>
      <c r="BE48" s="192"/>
      <c r="BF48" s="192"/>
      <c r="BG48" s="192"/>
      <c r="BH48" s="192"/>
      <c r="BI48" s="192"/>
      <c r="BJ48" s="192" t="s">
        <v>0</v>
      </c>
      <c r="BK48" s="192">
        <f t="shared" si="31"/>
        <v>1000000000</v>
      </c>
      <c r="BL48" s="109"/>
      <c r="BM48" s="109"/>
      <c r="BN48" s="109"/>
      <c r="BO48" s="109"/>
      <c r="BP48" s="109"/>
      <c r="BQ48" s="109"/>
      <c r="BR48" s="109"/>
      <c r="BS48" s="109"/>
      <c r="BT48" s="109"/>
      <c r="BU48" s="109">
        <f t="shared" si="32"/>
        <v>0</v>
      </c>
      <c r="BV48" s="103">
        <f t="shared" si="10"/>
        <v>4000000000</v>
      </c>
    </row>
    <row r="49" spans="1:74" ht="55.5" customHeight="1" x14ac:dyDescent="0.2">
      <c r="A49" s="84">
        <v>31</v>
      </c>
      <c r="B49" s="84">
        <v>2</v>
      </c>
      <c r="C49" s="173"/>
      <c r="D49" s="173"/>
      <c r="E49" s="111">
        <v>7</v>
      </c>
      <c r="F49" s="154" t="s">
        <v>136</v>
      </c>
      <c r="G49" s="149" t="s">
        <v>118</v>
      </c>
      <c r="H49" s="197">
        <v>0.27</v>
      </c>
      <c r="I49" s="94">
        <v>29</v>
      </c>
      <c r="J49" s="90" t="s">
        <v>137</v>
      </c>
      <c r="K49" s="86" t="s">
        <v>138</v>
      </c>
      <c r="L49" s="91" t="s">
        <v>111</v>
      </c>
      <c r="M49" s="91">
        <v>13</v>
      </c>
      <c r="N49" s="92" t="s">
        <v>44</v>
      </c>
      <c r="O49" s="93">
        <v>0</v>
      </c>
      <c r="P49" s="93">
        <v>1</v>
      </c>
      <c r="Q49" s="95">
        <v>0</v>
      </c>
      <c r="R49" s="95">
        <v>1</v>
      </c>
      <c r="S49" s="95">
        <v>1</v>
      </c>
      <c r="T49" s="95">
        <v>1</v>
      </c>
      <c r="U49" s="191"/>
      <c r="V49" s="94">
        <v>2</v>
      </c>
      <c r="W49" s="91" t="s">
        <v>127</v>
      </c>
      <c r="X49" s="99"/>
      <c r="Y49" s="100"/>
      <c r="Z49" s="99"/>
      <c r="AA49" s="100"/>
      <c r="AB49" s="99"/>
      <c r="AC49" s="100"/>
      <c r="AD49" s="99"/>
      <c r="AE49" s="100"/>
      <c r="AF49" s="99"/>
      <c r="AG49" s="100"/>
      <c r="AH49" s="99"/>
      <c r="AI49" s="100"/>
      <c r="AJ49" s="99"/>
      <c r="AK49" s="100"/>
      <c r="AL49" s="99"/>
      <c r="AM49" s="100"/>
      <c r="AN49" s="99"/>
      <c r="AO49" s="100"/>
      <c r="AP49" s="99">
        <f t="shared" si="28"/>
        <v>0</v>
      </c>
      <c r="AQ49" s="100">
        <f t="shared" si="29"/>
        <v>0</v>
      </c>
      <c r="AR49" s="109"/>
      <c r="AS49" s="109"/>
      <c r="AT49" s="109"/>
      <c r="AU49" s="109"/>
      <c r="AV49" s="109"/>
      <c r="AW49" s="109"/>
      <c r="AX49" s="109"/>
      <c r="AY49" s="109"/>
      <c r="AZ49" s="192">
        <v>1000000000</v>
      </c>
      <c r="BA49" s="109">
        <f t="shared" si="30"/>
        <v>1000000000</v>
      </c>
      <c r="BB49" s="192">
        <v>1000000000</v>
      </c>
      <c r="BC49" s="192"/>
      <c r="BD49" s="192"/>
      <c r="BE49" s="192"/>
      <c r="BF49" s="192"/>
      <c r="BG49" s="192"/>
      <c r="BH49" s="192"/>
      <c r="BI49" s="192"/>
      <c r="BJ49" s="192"/>
      <c r="BK49" s="192">
        <f t="shared" si="31"/>
        <v>1000000000</v>
      </c>
      <c r="BL49" s="109"/>
      <c r="BM49" s="109"/>
      <c r="BN49" s="109"/>
      <c r="BO49" s="109"/>
      <c r="BP49" s="109"/>
      <c r="BQ49" s="109"/>
      <c r="BR49" s="109"/>
      <c r="BS49" s="109"/>
      <c r="BT49" s="109"/>
      <c r="BU49" s="109">
        <f t="shared" si="32"/>
        <v>0</v>
      </c>
      <c r="BV49" s="103">
        <f t="shared" si="10"/>
        <v>4000000000</v>
      </c>
    </row>
    <row r="50" spans="1:74" s="208" customFormat="1" ht="68.25" customHeight="1" x14ac:dyDescent="0.2">
      <c r="A50" s="198">
        <v>32</v>
      </c>
      <c r="B50" s="199">
        <v>2</v>
      </c>
      <c r="C50" s="200"/>
      <c r="D50" s="200"/>
      <c r="E50" s="201"/>
      <c r="F50" s="202"/>
      <c r="G50" s="203"/>
      <c r="H50" s="204"/>
      <c r="I50" s="94">
        <v>30</v>
      </c>
      <c r="J50" s="90" t="s">
        <v>139</v>
      </c>
      <c r="K50" s="90" t="s">
        <v>140</v>
      </c>
      <c r="L50" s="91" t="s">
        <v>111</v>
      </c>
      <c r="M50" s="91">
        <v>13</v>
      </c>
      <c r="N50" s="91" t="s">
        <v>44</v>
      </c>
      <c r="O50" s="108">
        <v>1</v>
      </c>
      <c r="P50" s="108">
        <v>1</v>
      </c>
      <c r="Q50" s="94">
        <v>1</v>
      </c>
      <c r="R50" s="94">
        <v>1</v>
      </c>
      <c r="S50" s="94">
        <v>1</v>
      </c>
      <c r="T50" s="94">
        <v>1</v>
      </c>
      <c r="U50" s="191"/>
      <c r="V50" s="94">
        <v>13</v>
      </c>
      <c r="W50" s="91" t="s">
        <v>141</v>
      </c>
      <c r="X50" s="99"/>
      <c r="Y50" s="100"/>
      <c r="Z50" s="99"/>
      <c r="AA50" s="100"/>
      <c r="AB50" s="99"/>
      <c r="AC50" s="100"/>
      <c r="AD50" s="99"/>
      <c r="AE50" s="100"/>
      <c r="AF50" s="99"/>
      <c r="AG50" s="100"/>
      <c r="AH50" s="99"/>
      <c r="AI50" s="100"/>
      <c r="AJ50" s="99"/>
      <c r="AK50" s="100"/>
      <c r="AL50" s="99"/>
      <c r="AM50" s="100"/>
      <c r="AN50" s="99"/>
      <c r="AO50" s="100"/>
      <c r="AP50" s="99">
        <f t="shared" si="28"/>
        <v>0</v>
      </c>
      <c r="AQ50" s="100">
        <f t="shared" si="29"/>
        <v>0</v>
      </c>
      <c r="AR50" s="205"/>
      <c r="AS50" s="205"/>
      <c r="AT50" s="205"/>
      <c r="AU50" s="205"/>
      <c r="AV50" s="205"/>
      <c r="AW50" s="205"/>
      <c r="AX50" s="205"/>
      <c r="AY50" s="205"/>
      <c r="AZ50" s="206">
        <v>1000000000</v>
      </c>
      <c r="BA50" s="109">
        <f t="shared" si="30"/>
        <v>1000000000</v>
      </c>
      <c r="BB50" s="206">
        <v>1000000000</v>
      </c>
      <c r="BC50" s="206"/>
      <c r="BD50" s="206"/>
      <c r="BE50" s="206"/>
      <c r="BF50" s="206"/>
      <c r="BG50" s="206"/>
      <c r="BH50" s="206"/>
      <c r="BI50" s="206"/>
      <c r="BJ50" s="206"/>
      <c r="BK50" s="192">
        <f t="shared" si="31"/>
        <v>1000000000</v>
      </c>
      <c r="BL50" s="109"/>
      <c r="BM50" s="109"/>
      <c r="BN50" s="109"/>
      <c r="BO50" s="109"/>
      <c r="BP50" s="109"/>
      <c r="BQ50" s="109"/>
      <c r="BR50" s="109"/>
      <c r="BS50" s="109"/>
      <c r="BT50" s="109"/>
      <c r="BU50" s="109">
        <f t="shared" si="32"/>
        <v>0</v>
      </c>
      <c r="BV50" s="207">
        <f t="shared" si="10"/>
        <v>4000000000</v>
      </c>
    </row>
    <row r="51" spans="1:74" ht="27" customHeight="1" thickBot="1" x14ac:dyDescent="0.25">
      <c r="A51" s="105"/>
      <c r="B51" s="84"/>
      <c r="C51" s="173"/>
      <c r="D51" s="173"/>
      <c r="E51" s="71">
        <v>6</v>
      </c>
      <c r="F51" s="72" t="s">
        <v>142</v>
      </c>
      <c r="G51" s="209"/>
      <c r="H51" s="124"/>
      <c r="I51" s="74"/>
      <c r="J51" s="75"/>
      <c r="K51" s="75"/>
      <c r="L51" s="74"/>
      <c r="M51" s="76"/>
      <c r="N51" s="77"/>
      <c r="O51" s="75"/>
      <c r="P51" s="75"/>
      <c r="Q51" s="78"/>
      <c r="R51" s="75"/>
      <c r="S51" s="75"/>
      <c r="T51" s="76"/>
      <c r="U51" s="174"/>
      <c r="V51" s="76"/>
      <c r="W51" s="76"/>
      <c r="X51" s="80">
        <f t="shared" ref="X51:AO51" si="33">SUM(X52:X55)</f>
        <v>0</v>
      </c>
      <c r="Y51" s="80">
        <f t="shared" si="33"/>
        <v>0</v>
      </c>
      <c r="Z51" s="80">
        <f t="shared" si="33"/>
        <v>0</v>
      </c>
      <c r="AA51" s="80">
        <f t="shared" si="33"/>
        <v>0</v>
      </c>
      <c r="AB51" s="80">
        <f t="shared" si="33"/>
        <v>280000000</v>
      </c>
      <c r="AC51" s="80">
        <f t="shared" si="33"/>
        <v>280000000</v>
      </c>
      <c r="AD51" s="80">
        <f t="shared" si="33"/>
        <v>0</v>
      </c>
      <c r="AE51" s="80">
        <f t="shared" si="33"/>
        <v>0</v>
      </c>
      <c r="AF51" s="80">
        <f t="shared" si="33"/>
        <v>0</v>
      </c>
      <c r="AG51" s="80">
        <f t="shared" si="33"/>
        <v>0</v>
      </c>
      <c r="AH51" s="80">
        <f t="shared" si="33"/>
        <v>0</v>
      </c>
      <c r="AI51" s="80">
        <f t="shared" si="33"/>
        <v>0</v>
      </c>
      <c r="AJ51" s="80">
        <f t="shared" si="33"/>
        <v>0</v>
      </c>
      <c r="AK51" s="80">
        <f t="shared" si="33"/>
        <v>0</v>
      </c>
      <c r="AL51" s="80">
        <f t="shared" si="33"/>
        <v>0</v>
      </c>
      <c r="AM51" s="80">
        <f t="shared" si="33"/>
        <v>0</v>
      </c>
      <c r="AN51" s="80">
        <f t="shared" si="33"/>
        <v>0</v>
      </c>
      <c r="AO51" s="80">
        <f t="shared" si="33"/>
        <v>0</v>
      </c>
      <c r="AP51" s="81">
        <f>SUM(AP52:AP55)</f>
        <v>280000000</v>
      </c>
      <c r="AQ51" s="80">
        <f>SUM(AQ52:AQ55)</f>
        <v>280000000</v>
      </c>
      <c r="AR51" s="188"/>
      <c r="AS51" s="188"/>
      <c r="AT51" s="188"/>
      <c r="AU51" s="188"/>
      <c r="AV51" s="188"/>
      <c r="AW51" s="188"/>
      <c r="AX51" s="188"/>
      <c r="AY51" s="188"/>
      <c r="AZ51" s="188"/>
      <c r="BA51" s="188">
        <f>SUM(BA52:BA55)</f>
        <v>200000000</v>
      </c>
      <c r="BB51" s="188"/>
      <c r="BC51" s="188"/>
      <c r="BD51" s="188"/>
      <c r="BE51" s="188"/>
      <c r="BF51" s="188"/>
      <c r="BG51" s="188"/>
      <c r="BH51" s="188"/>
      <c r="BI51" s="188"/>
      <c r="BJ51" s="188"/>
      <c r="BK51" s="188">
        <f>SUM(BK52:BK55)</f>
        <v>50000000</v>
      </c>
      <c r="BL51" s="188"/>
      <c r="BM51" s="188"/>
      <c r="BN51" s="188"/>
      <c r="BO51" s="188"/>
      <c r="BP51" s="188"/>
      <c r="BQ51" s="188"/>
      <c r="BR51" s="188"/>
      <c r="BS51" s="188"/>
      <c r="BT51" s="188"/>
      <c r="BU51" s="189">
        <f>SUM(BU52:BU55)</f>
        <v>20000000</v>
      </c>
      <c r="BV51" s="83">
        <f t="shared" si="10"/>
        <v>270000000</v>
      </c>
    </row>
    <row r="52" spans="1:74" ht="71.25" x14ac:dyDescent="0.2">
      <c r="A52" s="84">
        <v>33</v>
      </c>
      <c r="B52" s="84">
        <v>2</v>
      </c>
      <c r="C52" s="173"/>
      <c r="D52" s="173"/>
      <c r="E52" s="85"/>
      <c r="F52" s="133"/>
      <c r="G52" s="87"/>
      <c r="H52" s="87"/>
      <c r="I52" s="89">
        <v>31</v>
      </c>
      <c r="J52" s="90" t="s">
        <v>143</v>
      </c>
      <c r="K52" s="86" t="s">
        <v>144</v>
      </c>
      <c r="L52" s="91" t="s">
        <v>111</v>
      </c>
      <c r="M52" s="91">
        <v>13</v>
      </c>
      <c r="N52" s="210" t="s">
        <v>44</v>
      </c>
      <c r="O52" s="93" t="s">
        <v>39</v>
      </c>
      <c r="P52" s="93">
        <v>4</v>
      </c>
      <c r="Q52" s="211">
        <v>4</v>
      </c>
      <c r="R52" s="212">
        <v>4</v>
      </c>
      <c r="S52" s="212">
        <v>4</v>
      </c>
      <c r="T52" s="212">
        <v>4</v>
      </c>
      <c r="U52" s="96">
        <f>AP52/$AP$51</f>
        <v>0.39285714285714285</v>
      </c>
      <c r="V52" s="97">
        <v>8</v>
      </c>
      <c r="W52" s="213" t="s">
        <v>121</v>
      </c>
      <c r="X52" s="214"/>
      <c r="Y52" s="100"/>
      <c r="Z52" s="214"/>
      <c r="AA52" s="100"/>
      <c r="AB52" s="141">
        <f>100000000+10000000</f>
        <v>110000000</v>
      </c>
      <c r="AC52" s="142">
        <v>110000000</v>
      </c>
      <c r="AD52" s="215"/>
      <c r="AE52" s="142"/>
      <c r="AF52" s="215"/>
      <c r="AG52" s="142"/>
      <c r="AH52" s="214"/>
      <c r="AI52" s="100"/>
      <c r="AJ52" s="214"/>
      <c r="AK52" s="100"/>
      <c r="AL52" s="214"/>
      <c r="AM52" s="100"/>
      <c r="AN52" s="214"/>
      <c r="AO52" s="100"/>
      <c r="AP52" s="99">
        <f>+X52+Z52+AB52+AD52+AF52+AH52+AJ52+AL52+AN52</f>
        <v>110000000</v>
      </c>
      <c r="AQ52" s="100">
        <f>Y52+AA52+AC52+AE52+AG52+AI52+AK52+AM52+AO52</f>
        <v>110000000</v>
      </c>
      <c r="AR52" s="109"/>
      <c r="AS52" s="109"/>
      <c r="AT52" s="192">
        <v>95900000</v>
      </c>
      <c r="AU52" s="109"/>
      <c r="AV52" s="109"/>
      <c r="AW52" s="109"/>
      <c r="AX52" s="109"/>
      <c r="AY52" s="109"/>
      <c r="AZ52" s="109"/>
      <c r="BA52" s="109">
        <f>SUM(AR52:AY52)+AZ52</f>
        <v>95900000</v>
      </c>
      <c r="BB52" s="192"/>
      <c r="BC52" s="192"/>
      <c r="BD52" s="192">
        <v>23900000</v>
      </c>
      <c r="BE52" s="192"/>
      <c r="BF52" s="192"/>
      <c r="BG52" s="192"/>
      <c r="BH52" s="192"/>
      <c r="BI52" s="192"/>
      <c r="BJ52" s="192"/>
      <c r="BK52" s="192">
        <f>SUM(BB52:BJ52)</f>
        <v>23900000</v>
      </c>
      <c r="BL52" s="109"/>
      <c r="BM52" s="109"/>
      <c r="BN52" s="109">
        <v>9700000</v>
      </c>
      <c r="BO52" s="109"/>
      <c r="BP52" s="109"/>
      <c r="BQ52" s="109"/>
      <c r="BR52" s="109"/>
      <c r="BS52" s="109"/>
      <c r="BT52" s="109"/>
      <c r="BU52" s="109">
        <f>SUM(BL52:BT52)</f>
        <v>9700000</v>
      </c>
      <c r="BV52" s="103">
        <f t="shared" si="10"/>
        <v>259000000</v>
      </c>
    </row>
    <row r="53" spans="1:74" ht="90.75" customHeight="1" x14ac:dyDescent="0.2">
      <c r="A53" s="105">
        <v>34</v>
      </c>
      <c r="B53" s="84">
        <v>2</v>
      </c>
      <c r="C53" s="173"/>
      <c r="D53" s="173"/>
      <c r="E53" s="110">
        <v>5</v>
      </c>
      <c r="F53" s="114" t="s">
        <v>145</v>
      </c>
      <c r="G53" s="216" t="s">
        <v>107</v>
      </c>
      <c r="H53" s="216" t="s">
        <v>108</v>
      </c>
      <c r="I53" s="89">
        <v>32</v>
      </c>
      <c r="J53" s="90" t="s">
        <v>146</v>
      </c>
      <c r="K53" s="86" t="s">
        <v>147</v>
      </c>
      <c r="L53" s="91" t="s">
        <v>111</v>
      </c>
      <c r="M53" s="91">
        <v>13</v>
      </c>
      <c r="N53" s="210" t="s">
        <v>58</v>
      </c>
      <c r="O53" s="93" t="s">
        <v>39</v>
      </c>
      <c r="P53" s="93">
        <v>100</v>
      </c>
      <c r="Q53" s="94">
        <v>15</v>
      </c>
      <c r="R53" s="95">
        <v>30</v>
      </c>
      <c r="S53" s="95">
        <v>30</v>
      </c>
      <c r="T53" s="95">
        <v>25</v>
      </c>
      <c r="U53" s="96">
        <f>AP53/$AP$51</f>
        <v>0.5357142857142857</v>
      </c>
      <c r="V53" s="97">
        <v>8</v>
      </c>
      <c r="W53" s="213" t="s">
        <v>121</v>
      </c>
      <c r="X53" s="214"/>
      <c r="Y53" s="100"/>
      <c r="Z53" s="214"/>
      <c r="AA53" s="100"/>
      <c r="AB53" s="141">
        <v>150000000</v>
      </c>
      <c r="AC53" s="101">
        <v>150000000</v>
      </c>
      <c r="AD53" s="215"/>
      <c r="AE53" s="142"/>
      <c r="AF53" s="215"/>
      <c r="AG53" s="142"/>
      <c r="AH53" s="214"/>
      <c r="AI53" s="100"/>
      <c r="AJ53" s="214"/>
      <c r="AK53" s="100"/>
      <c r="AL53" s="214"/>
      <c r="AM53" s="100"/>
      <c r="AN53" s="214"/>
      <c r="AO53" s="100"/>
      <c r="AP53" s="99">
        <f>+X53+Z53+AB53+AD53+AF53+AH53+AJ53+AL53+AN53</f>
        <v>150000000</v>
      </c>
      <c r="AQ53" s="100">
        <f>Y53+AA53+AC53+AE53+AG53+AI53+AK53+AM53+AO53</f>
        <v>150000000</v>
      </c>
      <c r="AR53" s="109"/>
      <c r="AS53" s="109"/>
      <c r="AT53" s="192">
        <v>86900000</v>
      </c>
      <c r="AU53" s="109"/>
      <c r="AV53" s="109"/>
      <c r="AW53" s="109"/>
      <c r="AX53" s="109"/>
      <c r="AY53" s="109"/>
      <c r="AZ53" s="109"/>
      <c r="BA53" s="109">
        <f>SUM(AR53:AY53)+AZ53</f>
        <v>86900000</v>
      </c>
      <c r="BB53" s="192"/>
      <c r="BC53" s="192"/>
      <c r="BD53" s="192">
        <v>21700000</v>
      </c>
      <c r="BE53" s="192"/>
      <c r="BF53" s="192"/>
      <c r="BG53" s="192"/>
      <c r="BH53" s="192"/>
      <c r="BI53" s="192"/>
      <c r="BJ53" s="192"/>
      <c r="BK53" s="192">
        <f>SUM(BB53:BJ53)</f>
        <v>21700000</v>
      </c>
      <c r="BL53" s="109"/>
      <c r="BM53" s="109"/>
      <c r="BN53" s="109">
        <v>4800000</v>
      </c>
      <c r="BO53" s="109"/>
      <c r="BP53" s="109"/>
      <c r="BQ53" s="109"/>
      <c r="BR53" s="109"/>
      <c r="BS53" s="109"/>
      <c r="BT53" s="109"/>
      <c r="BU53" s="109">
        <f>SUM(BL53:BT53)</f>
        <v>4800000</v>
      </c>
      <c r="BV53" s="103">
        <f t="shared" ref="BV53:BV103" si="34">SUM(AR53:BU53)</f>
        <v>226800000</v>
      </c>
    </row>
    <row r="54" spans="1:74" ht="71.25" x14ac:dyDescent="0.2">
      <c r="A54" s="84">
        <v>35</v>
      </c>
      <c r="B54" s="84">
        <v>2</v>
      </c>
      <c r="C54" s="173"/>
      <c r="D54" s="173"/>
      <c r="E54" s="117">
        <v>6</v>
      </c>
      <c r="F54" s="86" t="s">
        <v>148</v>
      </c>
      <c r="G54" s="106" t="s">
        <v>113</v>
      </c>
      <c r="H54" s="106" t="s">
        <v>114</v>
      </c>
      <c r="I54" s="89">
        <v>33</v>
      </c>
      <c r="J54" s="90" t="s">
        <v>149</v>
      </c>
      <c r="K54" s="86" t="s">
        <v>150</v>
      </c>
      <c r="L54" s="91" t="s">
        <v>111</v>
      </c>
      <c r="M54" s="91">
        <v>13</v>
      </c>
      <c r="N54" s="210" t="s">
        <v>58</v>
      </c>
      <c r="O54" s="93" t="s">
        <v>39</v>
      </c>
      <c r="P54" s="217">
        <v>1200</v>
      </c>
      <c r="Q54" s="94">
        <v>200</v>
      </c>
      <c r="R54" s="95">
        <v>400</v>
      </c>
      <c r="S54" s="95">
        <v>400</v>
      </c>
      <c r="T54" s="95">
        <v>200</v>
      </c>
      <c r="U54" s="96">
        <f>AP54/$AP$51</f>
        <v>3.5714285714285712E-2</v>
      </c>
      <c r="V54" s="97">
        <v>8</v>
      </c>
      <c r="W54" s="213" t="s">
        <v>121</v>
      </c>
      <c r="X54" s="214"/>
      <c r="Y54" s="100"/>
      <c r="Z54" s="214"/>
      <c r="AA54" s="100"/>
      <c r="AB54" s="141">
        <v>10000000</v>
      </c>
      <c r="AC54" s="101">
        <v>10000000</v>
      </c>
      <c r="AD54" s="215"/>
      <c r="AE54" s="142"/>
      <c r="AF54" s="215"/>
      <c r="AG54" s="142"/>
      <c r="AH54" s="214"/>
      <c r="AI54" s="100"/>
      <c r="AJ54" s="214"/>
      <c r="AK54" s="100"/>
      <c r="AL54" s="214"/>
      <c r="AM54" s="100"/>
      <c r="AN54" s="214"/>
      <c r="AO54" s="100"/>
      <c r="AP54" s="99">
        <f>+X54+Z54+AB54+AD54+AF54+AH54+AJ54+AL54+AN54</f>
        <v>10000000</v>
      </c>
      <c r="AQ54" s="100">
        <f>Y54+AA54+AC54+AE54+AG54+AI54+AK54+AM54+AO54</f>
        <v>10000000</v>
      </c>
      <c r="AR54" s="109"/>
      <c r="AS54" s="109"/>
      <c r="AT54" s="192">
        <v>8600000</v>
      </c>
      <c r="AU54" s="109"/>
      <c r="AV54" s="109"/>
      <c r="AW54" s="109"/>
      <c r="AX54" s="109"/>
      <c r="AY54" s="109"/>
      <c r="AZ54" s="109"/>
      <c r="BA54" s="109">
        <f>SUM(AR54:AY54)+AZ54</f>
        <v>8600000</v>
      </c>
      <c r="BB54" s="192"/>
      <c r="BC54" s="192"/>
      <c r="BD54" s="192">
        <v>2100000</v>
      </c>
      <c r="BE54" s="192"/>
      <c r="BF54" s="192"/>
      <c r="BG54" s="192"/>
      <c r="BH54" s="192"/>
      <c r="BI54" s="192"/>
      <c r="BJ54" s="192"/>
      <c r="BK54" s="192">
        <f>SUM(BB54:BJ54)</f>
        <v>2100000</v>
      </c>
      <c r="BL54" s="109"/>
      <c r="BM54" s="109"/>
      <c r="BN54" s="109">
        <v>2500000</v>
      </c>
      <c r="BO54" s="109"/>
      <c r="BP54" s="109"/>
      <c r="BQ54" s="109"/>
      <c r="BR54" s="109"/>
      <c r="BS54" s="109"/>
      <c r="BT54" s="109"/>
      <c r="BU54" s="109">
        <f>SUM(BL54:BT54)</f>
        <v>2500000</v>
      </c>
      <c r="BV54" s="103">
        <f t="shared" si="34"/>
        <v>26400000</v>
      </c>
    </row>
    <row r="55" spans="1:74" ht="99.75" x14ac:dyDescent="0.2">
      <c r="A55" s="105">
        <v>36</v>
      </c>
      <c r="B55" s="84">
        <v>2</v>
      </c>
      <c r="C55" s="173"/>
      <c r="D55" s="173"/>
      <c r="E55" s="110">
        <v>7</v>
      </c>
      <c r="F55" s="154" t="s">
        <v>136</v>
      </c>
      <c r="G55" s="149" t="s">
        <v>118</v>
      </c>
      <c r="H55" s="218">
        <v>0.27</v>
      </c>
      <c r="I55" s="89">
        <v>34</v>
      </c>
      <c r="J55" s="90" t="s">
        <v>151</v>
      </c>
      <c r="K55" s="86" t="s">
        <v>152</v>
      </c>
      <c r="L55" s="91" t="s">
        <v>111</v>
      </c>
      <c r="M55" s="91">
        <v>13</v>
      </c>
      <c r="N55" s="181" t="s">
        <v>58</v>
      </c>
      <c r="O55" s="93" t="s">
        <v>39</v>
      </c>
      <c r="P55" s="217">
        <v>2400</v>
      </c>
      <c r="Q55" s="94">
        <v>400</v>
      </c>
      <c r="R55" s="95">
        <v>800</v>
      </c>
      <c r="S55" s="95">
        <v>600</v>
      </c>
      <c r="T55" s="95">
        <v>600</v>
      </c>
      <c r="U55" s="96">
        <f>AP55/$AP$51</f>
        <v>3.5714285714285712E-2</v>
      </c>
      <c r="V55" s="97">
        <v>8</v>
      </c>
      <c r="W55" s="213" t="s">
        <v>121</v>
      </c>
      <c r="X55" s="214"/>
      <c r="Y55" s="100"/>
      <c r="Z55" s="214"/>
      <c r="AA55" s="100"/>
      <c r="AB55" s="141">
        <v>10000000</v>
      </c>
      <c r="AC55" s="101">
        <v>10000000</v>
      </c>
      <c r="AD55" s="215"/>
      <c r="AE55" s="142"/>
      <c r="AF55" s="215"/>
      <c r="AG55" s="142"/>
      <c r="AH55" s="214"/>
      <c r="AI55" s="100"/>
      <c r="AJ55" s="214"/>
      <c r="AK55" s="100"/>
      <c r="AL55" s="214"/>
      <c r="AM55" s="100"/>
      <c r="AN55" s="214"/>
      <c r="AO55" s="100"/>
      <c r="AP55" s="99">
        <f>+X55+Z55+AB55+AD55+AF55+AH55+AJ55+AL55+AN55</f>
        <v>10000000</v>
      </c>
      <c r="AQ55" s="100">
        <f>Y55+AA55+AC55+AE55+AG55+AI55+AK55+AM55+AO55</f>
        <v>10000000</v>
      </c>
      <c r="AR55" s="109"/>
      <c r="AS55" s="109"/>
      <c r="AT55" s="192">
        <v>8600000</v>
      </c>
      <c r="AU55" s="109"/>
      <c r="AV55" s="109"/>
      <c r="AW55" s="109"/>
      <c r="AX55" s="109"/>
      <c r="AY55" s="109"/>
      <c r="AZ55" s="109"/>
      <c r="BA55" s="109">
        <f>SUM(AR55:AY55)+AZ55</f>
        <v>8600000</v>
      </c>
      <c r="BB55" s="192"/>
      <c r="BC55" s="192"/>
      <c r="BD55" s="192">
        <v>2300000</v>
      </c>
      <c r="BE55" s="192"/>
      <c r="BF55" s="192"/>
      <c r="BG55" s="192"/>
      <c r="BH55" s="192"/>
      <c r="BI55" s="192"/>
      <c r="BJ55" s="192"/>
      <c r="BK55" s="192">
        <f>SUM(BB55:BJ55)</f>
        <v>2300000</v>
      </c>
      <c r="BL55" s="109"/>
      <c r="BM55" s="109"/>
      <c r="BN55" s="109">
        <v>3000000</v>
      </c>
      <c r="BO55" s="109"/>
      <c r="BP55" s="109"/>
      <c r="BQ55" s="109"/>
      <c r="BR55" s="109"/>
      <c r="BS55" s="109"/>
      <c r="BT55" s="109"/>
      <c r="BU55" s="109">
        <f>SUM(BL55:BT55)</f>
        <v>3000000</v>
      </c>
      <c r="BV55" s="103">
        <f t="shared" si="34"/>
        <v>27800000</v>
      </c>
    </row>
    <row r="56" spans="1:74" ht="26.25" customHeight="1" x14ac:dyDescent="0.2">
      <c r="A56" s="105"/>
      <c r="B56" s="84"/>
      <c r="C56" s="173"/>
      <c r="D56" s="173"/>
      <c r="E56" s="71">
        <v>7</v>
      </c>
      <c r="F56" s="72" t="s">
        <v>153</v>
      </c>
      <c r="G56" s="74"/>
      <c r="H56" s="125"/>
      <c r="I56" s="74"/>
      <c r="J56" s="125"/>
      <c r="K56" s="125"/>
      <c r="L56" s="74"/>
      <c r="M56" s="74"/>
      <c r="N56" s="126"/>
      <c r="O56" s="125"/>
      <c r="P56" s="125"/>
      <c r="Q56" s="219"/>
      <c r="R56" s="26"/>
      <c r="S56" s="26"/>
      <c r="T56" s="220"/>
      <c r="U56" s="128"/>
      <c r="V56" s="74"/>
      <c r="W56" s="74"/>
      <c r="X56" s="129">
        <f t="shared" ref="X56:AO56" si="35">SUM(X57:X59)</f>
        <v>0</v>
      </c>
      <c r="Y56" s="129">
        <f t="shared" si="35"/>
        <v>0</v>
      </c>
      <c r="Z56" s="129">
        <f t="shared" si="35"/>
        <v>0</v>
      </c>
      <c r="AA56" s="129">
        <f t="shared" si="35"/>
        <v>0</v>
      </c>
      <c r="AB56" s="129">
        <f t="shared" si="35"/>
        <v>140000000</v>
      </c>
      <c r="AC56" s="129">
        <f t="shared" si="35"/>
        <v>140000000</v>
      </c>
      <c r="AD56" s="129">
        <f t="shared" si="35"/>
        <v>0</v>
      </c>
      <c r="AE56" s="129">
        <f t="shared" si="35"/>
        <v>0</v>
      </c>
      <c r="AF56" s="129">
        <f t="shared" si="35"/>
        <v>0</v>
      </c>
      <c r="AG56" s="129">
        <f t="shared" si="35"/>
        <v>0</v>
      </c>
      <c r="AH56" s="129">
        <f t="shared" si="35"/>
        <v>0</v>
      </c>
      <c r="AI56" s="129">
        <f t="shared" si="35"/>
        <v>0</v>
      </c>
      <c r="AJ56" s="129">
        <f t="shared" si="35"/>
        <v>0</v>
      </c>
      <c r="AK56" s="129">
        <f t="shared" si="35"/>
        <v>0</v>
      </c>
      <c r="AL56" s="129">
        <f t="shared" si="35"/>
        <v>0</v>
      </c>
      <c r="AM56" s="129">
        <f t="shared" si="35"/>
        <v>0</v>
      </c>
      <c r="AN56" s="129">
        <f t="shared" si="35"/>
        <v>0</v>
      </c>
      <c r="AO56" s="129">
        <f t="shared" si="35"/>
        <v>0</v>
      </c>
      <c r="AP56" s="130">
        <f>SUM(AP57:AP59)</f>
        <v>140000000</v>
      </c>
      <c r="AQ56" s="129">
        <f>SUM(AQ57:AQ59)</f>
        <v>140000000</v>
      </c>
      <c r="AR56" s="131"/>
      <c r="AS56" s="131"/>
      <c r="AT56" s="131"/>
      <c r="AU56" s="131"/>
      <c r="AV56" s="131"/>
      <c r="AW56" s="131"/>
      <c r="AX56" s="131"/>
      <c r="AY56" s="131"/>
      <c r="AZ56" s="131"/>
      <c r="BA56" s="131">
        <f>SUM(BA57:BA59)</f>
        <v>100000000</v>
      </c>
      <c r="BB56" s="131"/>
      <c r="BC56" s="131"/>
      <c r="BD56" s="131"/>
      <c r="BE56" s="131"/>
      <c r="BF56" s="131"/>
      <c r="BG56" s="131"/>
      <c r="BH56" s="131"/>
      <c r="BI56" s="131"/>
      <c r="BJ56" s="131"/>
      <c r="BK56" s="131">
        <f>SUM(BK57:BK59)</f>
        <v>30000000</v>
      </c>
      <c r="BL56" s="131"/>
      <c r="BM56" s="131"/>
      <c r="BN56" s="131"/>
      <c r="BO56" s="131"/>
      <c r="BP56" s="131"/>
      <c r="BQ56" s="131"/>
      <c r="BR56" s="131"/>
      <c r="BS56" s="131"/>
      <c r="BT56" s="131"/>
      <c r="BU56" s="131">
        <f>SUM(BU57:BU59)</f>
        <v>20000000</v>
      </c>
      <c r="BV56" s="132">
        <f t="shared" si="34"/>
        <v>150000000</v>
      </c>
    </row>
    <row r="57" spans="1:74" ht="90" customHeight="1" x14ac:dyDescent="0.2">
      <c r="A57" s="84">
        <v>37</v>
      </c>
      <c r="B57" s="84">
        <v>2</v>
      </c>
      <c r="C57" s="173"/>
      <c r="D57" s="173"/>
      <c r="E57" s="117">
        <v>5</v>
      </c>
      <c r="F57" s="86" t="s">
        <v>106</v>
      </c>
      <c r="G57" s="221" t="s">
        <v>107</v>
      </c>
      <c r="H57" s="221" t="s">
        <v>108</v>
      </c>
      <c r="I57" s="89">
        <v>35</v>
      </c>
      <c r="J57" s="90" t="s">
        <v>154</v>
      </c>
      <c r="K57" s="86" t="s">
        <v>130</v>
      </c>
      <c r="L57" s="91" t="s">
        <v>111</v>
      </c>
      <c r="M57" s="91">
        <v>13</v>
      </c>
      <c r="N57" s="204" t="s">
        <v>44</v>
      </c>
      <c r="O57" s="108">
        <v>0</v>
      </c>
      <c r="P57" s="108">
        <v>5</v>
      </c>
      <c r="Q57" s="203">
        <v>5</v>
      </c>
      <c r="R57" s="203">
        <v>5</v>
      </c>
      <c r="S57" s="203">
        <v>5</v>
      </c>
      <c r="T57" s="203">
        <v>5</v>
      </c>
      <c r="U57" s="222">
        <f>AP57/$AP$56</f>
        <v>0.8</v>
      </c>
      <c r="V57" s="94">
        <v>8</v>
      </c>
      <c r="W57" s="204" t="s">
        <v>121</v>
      </c>
      <c r="X57" s="214"/>
      <c r="Y57" s="100"/>
      <c r="Z57" s="214"/>
      <c r="AA57" s="100"/>
      <c r="AB57" s="141">
        <v>112000000</v>
      </c>
      <c r="AC57" s="142">
        <v>112000000</v>
      </c>
      <c r="AD57" s="215"/>
      <c r="AE57" s="142"/>
      <c r="AF57" s="215"/>
      <c r="AG57" s="142"/>
      <c r="AH57" s="214"/>
      <c r="AI57" s="100"/>
      <c r="AJ57" s="214"/>
      <c r="AK57" s="100"/>
      <c r="AL57" s="214"/>
      <c r="AM57" s="100"/>
      <c r="AN57" s="214"/>
      <c r="AO57" s="100"/>
      <c r="AP57" s="99">
        <f>+X57+Z57+AB57+AD57+AF57+AH57+AJ57+AL57+AN57</f>
        <v>112000000</v>
      </c>
      <c r="AQ57" s="100">
        <f>Y57+AA57+AC57+AE57+AG57+AI57+AK57+AM57+AO57</f>
        <v>112000000</v>
      </c>
      <c r="AR57" s="109"/>
      <c r="AS57" s="109"/>
      <c r="AT57" s="192">
        <v>90000000</v>
      </c>
      <c r="AU57" s="109"/>
      <c r="AV57" s="109"/>
      <c r="AW57" s="109"/>
      <c r="AX57" s="109"/>
      <c r="AY57" s="109"/>
      <c r="AZ57" s="109"/>
      <c r="BA57" s="109">
        <f>SUM(AR57:AY57)+AZ57</f>
        <v>90000000</v>
      </c>
      <c r="BB57" s="192"/>
      <c r="BC57" s="192"/>
      <c r="BD57" s="192">
        <v>23000000</v>
      </c>
      <c r="BE57" s="192"/>
      <c r="BF57" s="192"/>
      <c r="BG57" s="192"/>
      <c r="BH57" s="192"/>
      <c r="BI57" s="192"/>
      <c r="BJ57" s="192"/>
      <c r="BK57" s="192">
        <f>SUM(BB57:BJ57)</f>
        <v>23000000</v>
      </c>
      <c r="BL57" s="109"/>
      <c r="BM57" s="109"/>
      <c r="BN57" s="109">
        <v>17000000</v>
      </c>
      <c r="BO57" s="109"/>
      <c r="BP57" s="109"/>
      <c r="BQ57" s="109"/>
      <c r="BR57" s="109"/>
      <c r="BS57" s="109"/>
      <c r="BT57" s="109"/>
      <c r="BU57" s="205">
        <f>SUM(BL57:BT57)</f>
        <v>17000000</v>
      </c>
      <c r="BV57" s="103">
        <f t="shared" si="34"/>
        <v>260000000</v>
      </c>
    </row>
    <row r="58" spans="1:74" ht="90.75" customHeight="1" x14ac:dyDescent="0.2">
      <c r="A58" s="105">
        <v>38</v>
      </c>
      <c r="B58" s="84">
        <v>2</v>
      </c>
      <c r="C58" s="173"/>
      <c r="D58" s="173"/>
      <c r="E58" s="117">
        <v>6</v>
      </c>
      <c r="F58" s="86" t="s">
        <v>148</v>
      </c>
      <c r="G58" s="106" t="s">
        <v>113</v>
      </c>
      <c r="H58" s="106" t="s">
        <v>114</v>
      </c>
      <c r="I58" s="94">
        <v>36</v>
      </c>
      <c r="J58" s="90" t="s">
        <v>155</v>
      </c>
      <c r="K58" s="90" t="s">
        <v>156</v>
      </c>
      <c r="L58" s="91" t="s">
        <v>111</v>
      </c>
      <c r="M58" s="91">
        <v>13</v>
      </c>
      <c r="N58" s="204" t="s">
        <v>58</v>
      </c>
      <c r="O58" s="108">
        <v>0</v>
      </c>
      <c r="P58" s="108">
        <v>3</v>
      </c>
      <c r="Q58" s="94">
        <v>1</v>
      </c>
      <c r="R58" s="95">
        <v>1</v>
      </c>
      <c r="S58" s="95">
        <v>1</v>
      </c>
      <c r="T58" s="95">
        <v>0</v>
      </c>
      <c r="U58" s="222">
        <f>AP58/$AP$56</f>
        <v>0.2</v>
      </c>
      <c r="V58" s="94">
        <v>12</v>
      </c>
      <c r="W58" s="204" t="s">
        <v>59</v>
      </c>
      <c r="X58" s="214"/>
      <c r="Y58" s="100"/>
      <c r="Z58" s="214"/>
      <c r="AA58" s="100"/>
      <c r="AB58" s="141">
        <f>3000000+25000000</f>
        <v>28000000</v>
      </c>
      <c r="AC58" s="101">
        <v>28000000</v>
      </c>
      <c r="AD58" s="215"/>
      <c r="AE58" s="142"/>
      <c r="AF58" s="215"/>
      <c r="AG58" s="142"/>
      <c r="AH58" s="214"/>
      <c r="AI58" s="100"/>
      <c r="AJ58" s="214"/>
      <c r="AK58" s="100"/>
      <c r="AL58" s="214"/>
      <c r="AM58" s="100"/>
      <c r="AN58" s="214"/>
      <c r="AO58" s="100"/>
      <c r="AP58" s="99">
        <f>+X58+Z58+AB58+AD58+AF58+AH58+AJ58+AL58+AN58</f>
        <v>28000000</v>
      </c>
      <c r="AQ58" s="100">
        <f>Y58+AA58+AC58+AE58+AG58+AI58+AK58+AM58+AO58</f>
        <v>28000000</v>
      </c>
      <c r="AR58" s="109"/>
      <c r="AS58" s="109"/>
      <c r="AT58" s="192">
        <v>3500000</v>
      </c>
      <c r="AU58" s="109"/>
      <c r="AV58" s="109"/>
      <c r="AW58" s="109"/>
      <c r="AX58" s="109"/>
      <c r="AY58" s="109"/>
      <c r="AZ58" s="109"/>
      <c r="BA58" s="109">
        <f>SUM(AR58:AY58)+AZ58</f>
        <v>3500000</v>
      </c>
      <c r="BB58" s="192"/>
      <c r="BC58" s="192"/>
      <c r="BD58" s="192">
        <v>3000000</v>
      </c>
      <c r="BE58" s="192"/>
      <c r="BF58" s="192"/>
      <c r="BG58" s="192"/>
      <c r="BH58" s="192"/>
      <c r="BI58" s="192"/>
      <c r="BJ58" s="192"/>
      <c r="BK58" s="192">
        <f>SUM(BB58:BJ58)</f>
        <v>3000000</v>
      </c>
      <c r="BL58" s="109"/>
      <c r="BM58" s="109"/>
      <c r="BN58" s="109" t="s">
        <v>0</v>
      </c>
      <c r="BO58" s="109"/>
      <c r="BP58" s="109"/>
      <c r="BQ58" s="109"/>
      <c r="BR58" s="109"/>
      <c r="BS58" s="109"/>
      <c r="BT58" s="109"/>
      <c r="BU58" s="205">
        <f>SUM(BL58:BT58)</f>
        <v>0</v>
      </c>
      <c r="BV58" s="103">
        <f t="shared" si="34"/>
        <v>13000000</v>
      </c>
    </row>
    <row r="59" spans="1:74" ht="102.75" customHeight="1" x14ac:dyDescent="0.2">
      <c r="A59" s="84">
        <v>39</v>
      </c>
      <c r="B59" s="84">
        <v>2</v>
      </c>
      <c r="C59" s="173"/>
      <c r="D59" s="173"/>
      <c r="E59" s="110">
        <v>7</v>
      </c>
      <c r="F59" s="154" t="s">
        <v>136</v>
      </c>
      <c r="G59" s="149" t="s">
        <v>118</v>
      </c>
      <c r="H59" s="218">
        <v>0.27</v>
      </c>
      <c r="I59" s="94">
        <v>37</v>
      </c>
      <c r="J59" s="90" t="s">
        <v>157</v>
      </c>
      <c r="K59" s="86" t="s">
        <v>158</v>
      </c>
      <c r="L59" s="91" t="s">
        <v>111</v>
      </c>
      <c r="M59" s="91">
        <v>13</v>
      </c>
      <c r="N59" s="210" t="s">
        <v>44</v>
      </c>
      <c r="O59" s="93">
        <v>0</v>
      </c>
      <c r="P59" s="93">
        <v>1</v>
      </c>
      <c r="Q59" s="94">
        <v>0</v>
      </c>
      <c r="R59" s="95">
        <v>1</v>
      </c>
      <c r="S59" s="95">
        <v>1</v>
      </c>
      <c r="T59" s="95">
        <v>1</v>
      </c>
      <c r="U59" s="222">
        <f>AP59/$AP$56</f>
        <v>0</v>
      </c>
      <c r="V59" s="94">
        <v>2</v>
      </c>
      <c r="W59" s="204" t="s">
        <v>127</v>
      </c>
      <c r="X59" s="214"/>
      <c r="Y59" s="100"/>
      <c r="Z59" s="214"/>
      <c r="AA59" s="100"/>
      <c r="AB59" s="214"/>
      <c r="AC59" s="100"/>
      <c r="AD59" s="214"/>
      <c r="AE59" s="100"/>
      <c r="AF59" s="214"/>
      <c r="AG59" s="100"/>
      <c r="AH59" s="214"/>
      <c r="AI59" s="100"/>
      <c r="AJ59" s="214"/>
      <c r="AK59" s="100"/>
      <c r="AL59" s="214"/>
      <c r="AM59" s="100"/>
      <c r="AN59" s="214"/>
      <c r="AO59" s="100"/>
      <c r="AP59" s="99">
        <f>+X59+Z59+AB59+AD59+AF59+AH59+AJ59+AL59+AN59</f>
        <v>0</v>
      </c>
      <c r="AQ59" s="100">
        <f>Y59+AA59+AC59+AE59+AG59+AI59+AK59+AM59+AO59</f>
        <v>0</v>
      </c>
      <c r="AR59" s="109"/>
      <c r="AS59" s="109"/>
      <c r="AT59" s="192">
        <v>6500000</v>
      </c>
      <c r="AU59" s="109"/>
      <c r="AV59" s="109"/>
      <c r="AW59" s="109"/>
      <c r="AX59" s="109"/>
      <c r="AY59" s="109"/>
      <c r="AZ59" s="109"/>
      <c r="BA59" s="109">
        <f>SUM(AR59:AY59)+AZ59</f>
        <v>6500000</v>
      </c>
      <c r="BB59" s="192"/>
      <c r="BC59" s="192"/>
      <c r="BD59" s="192">
        <v>4000000</v>
      </c>
      <c r="BE59" s="192"/>
      <c r="BF59" s="192"/>
      <c r="BG59" s="192"/>
      <c r="BH59" s="192"/>
      <c r="BI59" s="192"/>
      <c r="BJ59" s="192"/>
      <c r="BK59" s="192">
        <f>SUM(BB59:BJ59)</f>
        <v>4000000</v>
      </c>
      <c r="BL59" s="109"/>
      <c r="BM59" s="109"/>
      <c r="BN59" s="109">
        <v>3000000</v>
      </c>
      <c r="BO59" s="109"/>
      <c r="BP59" s="109"/>
      <c r="BQ59" s="109"/>
      <c r="BR59" s="109"/>
      <c r="BS59" s="109"/>
      <c r="BT59" s="109"/>
      <c r="BU59" s="205">
        <f>SUM(BL59:BT59)</f>
        <v>3000000</v>
      </c>
      <c r="BV59" s="103">
        <f t="shared" si="34"/>
        <v>27000000</v>
      </c>
    </row>
    <row r="60" spans="1:74" ht="26.25" customHeight="1" x14ac:dyDescent="0.2">
      <c r="A60" s="84"/>
      <c r="B60" s="84"/>
      <c r="C60" s="173"/>
      <c r="D60" s="173"/>
      <c r="E60" s="71">
        <v>8</v>
      </c>
      <c r="F60" s="72" t="s">
        <v>159</v>
      </c>
      <c r="G60" s="74"/>
      <c r="H60" s="125"/>
      <c r="I60" s="74"/>
      <c r="J60" s="125"/>
      <c r="K60" s="125"/>
      <c r="L60" s="74"/>
      <c r="M60" s="74"/>
      <c r="N60" s="126"/>
      <c r="O60" s="125"/>
      <c r="P60" s="125"/>
      <c r="Q60" s="127"/>
      <c r="R60" s="125"/>
      <c r="S60" s="125"/>
      <c r="T60" s="74"/>
      <c r="U60" s="128"/>
      <c r="V60" s="74"/>
      <c r="W60" s="74"/>
      <c r="X60" s="129">
        <f t="shared" ref="X60:AO60" si="36">SUM(X61:X65)</f>
        <v>0</v>
      </c>
      <c r="Y60" s="129">
        <f t="shared" si="36"/>
        <v>0</v>
      </c>
      <c r="Z60" s="129">
        <f t="shared" si="36"/>
        <v>0</v>
      </c>
      <c r="AA60" s="129">
        <f t="shared" si="36"/>
        <v>0</v>
      </c>
      <c r="AB60" s="129">
        <f t="shared" si="36"/>
        <v>50000000</v>
      </c>
      <c r="AC60" s="129">
        <f t="shared" si="36"/>
        <v>50000000</v>
      </c>
      <c r="AD60" s="129">
        <f t="shared" si="36"/>
        <v>0</v>
      </c>
      <c r="AE60" s="129">
        <f t="shared" si="36"/>
        <v>0</v>
      </c>
      <c r="AF60" s="129">
        <f t="shared" si="36"/>
        <v>0</v>
      </c>
      <c r="AG60" s="129">
        <f t="shared" si="36"/>
        <v>0</v>
      </c>
      <c r="AH60" s="129">
        <f t="shared" si="36"/>
        <v>0</v>
      </c>
      <c r="AI60" s="129">
        <f t="shared" si="36"/>
        <v>0</v>
      </c>
      <c r="AJ60" s="129">
        <f t="shared" si="36"/>
        <v>0</v>
      </c>
      <c r="AK60" s="129">
        <f t="shared" si="36"/>
        <v>0</v>
      </c>
      <c r="AL60" s="129">
        <f t="shared" si="36"/>
        <v>0</v>
      </c>
      <c r="AM60" s="129">
        <f t="shared" si="36"/>
        <v>0</v>
      </c>
      <c r="AN60" s="129">
        <f t="shared" si="36"/>
        <v>1250000000</v>
      </c>
      <c r="AO60" s="129">
        <f t="shared" si="36"/>
        <v>0</v>
      </c>
      <c r="AP60" s="130">
        <f>SUM(AP61:AP65)</f>
        <v>1300000000</v>
      </c>
      <c r="AQ60" s="129">
        <f>SUM(AQ61:AQ65)</f>
        <v>50000000</v>
      </c>
      <c r="AR60" s="131"/>
      <c r="AS60" s="131"/>
      <c r="AT60" s="131"/>
      <c r="AU60" s="131"/>
      <c r="AV60" s="131"/>
      <c r="AW60" s="131"/>
      <c r="AX60" s="131"/>
      <c r="AY60" s="131"/>
      <c r="AZ60" s="131"/>
      <c r="BA60" s="131">
        <f>SUM(BA61:BA65)</f>
        <v>50000000</v>
      </c>
      <c r="BB60" s="131"/>
      <c r="BC60" s="131"/>
      <c r="BD60" s="131"/>
      <c r="BE60" s="131"/>
      <c r="BF60" s="131"/>
      <c r="BG60" s="131"/>
      <c r="BH60" s="131"/>
      <c r="BI60" s="131"/>
      <c r="BJ60" s="131"/>
      <c r="BK60" s="131">
        <f>SUM(BK61:BK65)</f>
        <v>20000000</v>
      </c>
      <c r="BL60" s="131"/>
      <c r="BM60" s="131"/>
      <c r="BN60" s="131"/>
      <c r="BO60" s="131"/>
      <c r="BP60" s="131"/>
      <c r="BQ60" s="131"/>
      <c r="BR60" s="131"/>
      <c r="BS60" s="131"/>
      <c r="BT60" s="131"/>
      <c r="BU60" s="131">
        <f>SUM(BU61:BU65)</f>
        <v>10000000</v>
      </c>
      <c r="BV60" s="132">
        <f t="shared" si="34"/>
        <v>80000000</v>
      </c>
    </row>
    <row r="61" spans="1:74" ht="62.25" customHeight="1" x14ac:dyDescent="0.2">
      <c r="A61" s="105">
        <v>40</v>
      </c>
      <c r="B61" s="84">
        <v>2</v>
      </c>
      <c r="C61" s="173"/>
      <c r="D61" s="173"/>
      <c r="E61" s="85"/>
      <c r="F61" s="133"/>
      <c r="G61" s="87"/>
      <c r="H61" s="87"/>
      <c r="I61" s="89">
        <v>38</v>
      </c>
      <c r="J61" s="90" t="s">
        <v>160</v>
      </c>
      <c r="K61" s="86" t="s">
        <v>161</v>
      </c>
      <c r="L61" s="91" t="s">
        <v>111</v>
      </c>
      <c r="M61" s="91">
        <v>13</v>
      </c>
      <c r="N61" s="107" t="s">
        <v>44</v>
      </c>
      <c r="O61" s="93">
        <v>3</v>
      </c>
      <c r="P61" s="93">
        <v>4</v>
      </c>
      <c r="Q61" s="108">
        <v>4</v>
      </c>
      <c r="R61" s="93">
        <v>4</v>
      </c>
      <c r="S61" s="93">
        <v>4</v>
      </c>
      <c r="T61" s="93">
        <v>4</v>
      </c>
      <c r="U61" s="157">
        <f>AP61/$AP$60</f>
        <v>5.7692307692307696E-3</v>
      </c>
      <c r="V61" s="95">
        <v>12</v>
      </c>
      <c r="W61" s="92" t="s">
        <v>59</v>
      </c>
      <c r="X61" s="99"/>
      <c r="Y61" s="100"/>
      <c r="Z61" s="99"/>
      <c r="AA61" s="100"/>
      <c r="AB61" s="141">
        <v>7500000</v>
      </c>
      <c r="AC61" s="101">
        <v>7500000</v>
      </c>
      <c r="AD61" s="141"/>
      <c r="AE61" s="142"/>
      <c r="AF61" s="141"/>
      <c r="AG61" s="142"/>
      <c r="AH61" s="99"/>
      <c r="AI61" s="100"/>
      <c r="AJ61" s="99"/>
      <c r="AK61" s="100"/>
      <c r="AL61" s="99"/>
      <c r="AM61" s="100"/>
      <c r="AN61" s="99"/>
      <c r="AO61" s="100"/>
      <c r="AP61" s="99">
        <f>+X61+Z61+AB61+AD61+AF61+AH61+AJ61+AL61+AN61</f>
        <v>7500000</v>
      </c>
      <c r="AQ61" s="100">
        <f>Y61+AA61+AC61+AE61+AG61+AI61+AK61+AM61+AO61</f>
        <v>7500000</v>
      </c>
      <c r="AR61" s="109"/>
      <c r="AS61" s="109"/>
      <c r="AT61" s="109">
        <v>7500000</v>
      </c>
      <c r="AU61" s="109"/>
      <c r="AV61" s="109"/>
      <c r="AW61" s="109"/>
      <c r="AX61" s="109"/>
      <c r="AY61" s="109"/>
      <c r="AZ61" s="109"/>
      <c r="BA61" s="109">
        <f>SUM(AR61:AY61)+AZ61</f>
        <v>7500000</v>
      </c>
      <c r="BB61" s="192"/>
      <c r="BC61" s="192"/>
      <c r="BD61" s="192">
        <v>3000000</v>
      </c>
      <c r="BE61" s="192"/>
      <c r="BF61" s="192"/>
      <c r="BG61" s="192"/>
      <c r="BH61" s="192"/>
      <c r="BI61" s="192"/>
      <c r="BJ61" s="192"/>
      <c r="BK61" s="192">
        <f>SUM(BB61:BJ61)</f>
        <v>3000000</v>
      </c>
      <c r="BL61" s="109"/>
      <c r="BM61" s="109"/>
      <c r="BN61" s="109">
        <v>57692.307692307695</v>
      </c>
      <c r="BO61" s="109"/>
      <c r="BP61" s="109"/>
      <c r="BQ61" s="109"/>
      <c r="BR61" s="109"/>
      <c r="BS61" s="109"/>
      <c r="BT61" s="109"/>
      <c r="BU61" s="109">
        <f>SUM(BL61:BT61)</f>
        <v>57692.307692307695</v>
      </c>
      <c r="BV61" s="103">
        <f t="shared" si="34"/>
        <v>21115384.615384616</v>
      </c>
    </row>
    <row r="62" spans="1:74" ht="75.75" customHeight="1" x14ac:dyDescent="0.2">
      <c r="A62" s="84">
        <v>41</v>
      </c>
      <c r="B62" s="84">
        <v>2</v>
      </c>
      <c r="C62" s="173"/>
      <c r="D62" s="173"/>
      <c r="E62" s="110">
        <v>5</v>
      </c>
      <c r="F62" s="223" t="s">
        <v>106</v>
      </c>
      <c r="G62" s="216" t="s">
        <v>107</v>
      </c>
      <c r="H62" s="216" t="s">
        <v>108</v>
      </c>
      <c r="I62" s="89">
        <v>39</v>
      </c>
      <c r="J62" s="90" t="s">
        <v>162</v>
      </c>
      <c r="K62" s="86" t="s">
        <v>163</v>
      </c>
      <c r="L62" s="91" t="s">
        <v>111</v>
      </c>
      <c r="M62" s="91">
        <v>13</v>
      </c>
      <c r="N62" s="107" t="s">
        <v>44</v>
      </c>
      <c r="O62" s="93">
        <v>0</v>
      </c>
      <c r="P62" s="93">
        <v>3</v>
      </c>
      <c r="Q62" s="108">
        <v>3</v>
      </c>
      <c r="R62" s="93">
        <v>3</v>
      </c>
      <c r="S62" s="93">
        <v>3</v>
      </c>
      <c r="T62" s="93">
        <v>3</v>
      </c>
      <c r="U62" s="157">
        <f>AP62/$AP$60</f>
        <v>5.7692307692307696E-3</v>
      </c>
      <c r="V62" s="95">
        <v>12</v>
      </c>
      <c r="W62" s="92" t="s">
        <v>59</v>
      </c>
      <c r="X62" s="99"/>
      <c r="Y62" s="100"/>
      <c r="Z62" s="99"/>
      <c r="AA62" s="100"/>
      <c r="AB62" s="141">
        <v>7500000</v>
      </c>
      <c r="AC62" s="101">
        <v>7500000</v>
      </c>
      <c r="AD62" s="141"/>
      <c r="AE62" s="142"/>
      <c r="AF62" s="141"/>
      <c r="AG62" s="142"/>
      <c r="AH62" s="99"/>
      <c r="AI62" s="100"/>
      <c r="AJ62" s="99"/>
      <c r="AK62" s="100"/>
      <c r="AL62" s="99"/>
      <c r="AM62" s="100"/>
      <c r="AN62" s="99"/>
      <c r="AO62" s="100"/>
      <c r="AP62" s="99">
        <f>+X62+Z62+AB62+AD62+AF62+AH62+AJ62+AL62+AN62</f>
        <v>7500000</v>
      </c>
      <c r="AQ62" s="100">
        <f>Y62+AA62+AC62+AE62+AG62+AI62+AK62+AM62+AO62</f>
        <v>7500000</v>
      </c>
      <c r="AR62" s="109"/>
      <c r="AS62" s="109"/>
      <c r="AT62" s="109">
        <v>7500000</v>
      </c>
      <c r="AU62" s="109"/>
      <c r="AV62" s="109"/>
      <c r="AW62" s="109"/>
      <c r="AX62" s="109"/>
      <c r="AY62" s="109"/>
      <c r="AZ62" s="109"/>
      <c r="BA62" s="109">
        <f>SUM(AR62:AY62)+AZ62</f>
        <v>7500000</v>
      </c>
      <c r="BB62" s="192"/>
      <c r="BC62" s="192"/>
      <c r="BD62" s="192">
        <v>3000000</v>
      </c>
      <c r="BE62" s="192"/>
      <c r="BF62" s="192"/>
      <c r="BG62" s="192"/>
      <c r="BH62" s="192"/>
      <c r="BI62" s="192"/>
      <c r="BJ62" s="192"/>
      <c r="BK62" s="192">
        <f>SUM(BB62:BJ62)</f>
        <v>3000000</v>
      </c>
      <c r="BL62" s="109"/>
      <c r="BM62" s="109"/>
      <c r="BN62" s="109">
        <v>57692.307692307695</v>
      </c>
      <c r="BO62" s="109"/>
      <c r="BP62" s="109"/>
      <c r="BQ62" s="109"/>
      <c r="BR62" s="109"/>
      <c r="BS62" s="109"/>
      <c r="BT62" s="109"/>
      <c r="BU62" s="109">
        <f>SUM(BL62:BT62)</f>
        <v>57692.307692307695</v>
      </c>
      <c r="BV62" s="103">
        <f t="shared" si="34"/>
        <v>21115384.615384616</v>
      </c>
    </row>
    <row r="63" spans="1:74" ht="99.75" customHeight="1" x14ac:dyDescent="0.2">
      <c r="A63" s="105">
        <v>42</v>
      </c>
      <c r="B63" s="84">
        <v>2</v>
      </c>
      <c r="C63" s="173"/>
      <c r="D63" s="173"/>
      <c r="E63" s="117">
        <v>6</v>
      </c>
      <c r="F63" s="86" t="s">
        <v>148</v>
      </c>
      <c r="G63" s="106" t="s">
        <v>113</v>
      </c>
      <c r="H63" s="106" t="s">
        <v>114</v>
      </c>
      <c r="I63" s="89">
        <v>40</v>
      </c>
      <c r="J63" s="90" t="s">
        <v>164</v>
      </c>
      <c r="K63" s="86" t="s">
        <v>165</v>
      </c>
      <c r="L63" s="91" t="s">
        <v>111</v>
      </c>
      <c r="M63" s="91">
        <v>13</v>
      </c>
      <c r="N63" s="145" t="s">
        <v>58</v>
      </c>
      <c r="O63" s="93">
        <v>0</v>
      </c>
      <c r="P63" s="93">
        <v>1</v>
      </c>
      <c r="Q63" s="108">
        <v>0.05</v>
      </c>
      <c r="R63" s="93">
        <v>0.35</v>
      </c>
      <c r="S63" s="93">
        <v>0.4</v>
      </c>
      <c r="T63" s="93">
        <v>0.2</v>
      </c>
      <c r="U63" s="157">
        <f>AP63/$AP$60</f>
        <v>1.5384615384615385E-2</v>
      </c>
      <c r="V63" s="95">
        <v>9</v>
      </c>
      <c r="W63" s="95" t="s">
        <v>166</v>
      </c>
      <c r="X63" s="100"/>
      <c r="Y63" s="100"/>
      <c r="Z63" s="99"/>
      <c r="AA63" s="100"/>
      <c r="AB63" s="141">
        <v>20000000</v>
      </c>
      <c r="AC63" s="101">
        <v>20000000</v>
      </c>
      <c r="AD63" s="141"/>
      <c r="AE63" s="142"/>
      <c r="AF63" s="141"/>
      <c r="AG63" s="142"/>
      <c r="AH63" s="99"/>
      <c r="AI63" s="100"/>
      <c r="AJ63" s="99"/>
      <c r="AK63" s="100"/>
      <c r="AL63" s="99"/>
      <c r="AM63" s="100"/>
      <c r="AN63" s="99"/>
      <c r="AO63" s="100"/>
      <c r="AP63" s="99">
        <f>+X63+Z63+AB63+AD63+AF63+AH63+AJ63+AL63+AN63</f>
        <v>20000000</v>
      </c>
      <c r="AQ63" s="100">
        <f>Y63+AA63+AC63+AE63+AG63+AI63+AK63+AM63+AO63</f>
        <v>20000000</v>
      </c>
      <c r="AR63" s="109"/>
      <c r="AS63" s="109"/>
      <c r="AT63" s="109">
        <v>20000000</v>
      </c>
      <c r="AU63" s="109"/>
      <c r="AV63" s="109"/>
      <c r="AW63" s="109"/>
      <c r="AX63" s="109"/>
      <c r="AY63" s="109"/>
      <c r="AZ63" s="109"/>
      <c r="BA63" s="109">
        <f>SUM(AR63:AY63)+AZ63</f>
        <v>20000000</v>
      </c>
      <c r="BB63" s="192"/>
      <c r="BC63" s="192"/>
      <c r="BD63" s="192">
        <v>8000000</v>
      </c>
      <c r="BE63" s="192"/>
      <c r="BF63" s="192"/>
      <c r="BG63" s="192"/>
      <c r="BH63" s="192"/>
      <c r="BI63" s="192"/>
      <c r="BJ63" s="192"/>
      <c r="BK63" s="192">
        <f>SUM(BB63:BJ63)</f>
        <v>8000000</v>
      </c>
      <c r="BL63" s="109"/>
      <c r="BM63" s="109"/>
      <c r="BN63" s="109">
        <v>153846.15384615384</v>
      </c>
      <c r="BO63" s="109"/>
      <c r="BP63" s="109"/>
      <c r="BQ63" s="109"/>
      <c r="BR63" s="109"/>
      <c r="BS63" s="109"/>
      <c r="BT63" s="109"/>
      <c r="BU63" s="109">
        <f>SUM(BL63:BT63)</f>
        <v>153846.15384615384</v>
      </c>
      <c r="BV63" s="103">
        <f t="shared" si="34"/>
        <v>56307692.307692304</v>
      </c>
    </row>
    <row r="64" spans="1:74" ht="75" customHeight="1" x14ac:dyDescent="0.2">
      <c r="A64" s="84">
        <v>43</v>
      </c>
      <c r="B64" s="84">
        <v>2</v>
      </c>
      <c r="C64" s="173"/>
      <c r="D64" s="173"/>
      <c r="E64" s="111">
        <v>7</v>
      </c>
      <c r="F64" s="139" t="s">
        <v>136</v>
      </c>
      <c r="G64" s="224">
        <v>0.317</v>
      </c>
      <c r="H64" s="218">
        <v>0.27</v>
      </c>
      <c r="I64" s="89">
        <v>41</v>
      </c>
      <c r="J64" s="90" t="s">
        <v>167</v>
      </c>
      <c r="K64" s="86" t="s">
        <v>168</v>
      </c>
      <c r="L64" s="91" t="s">
        <v>111</v>
      </c>
      <c r="M64" s="91">
        <v>13</v>
      </c>
      <c r="N64" s="107" t="s">
        <v>44</v>
      </c>
      <c r="O64" s="93">
        <v>0</v>
      </c>
      <c r="P64" s="93">
        <v>1</v>
      </c>
      <c r="Q64" s="108">
        <v>1</v>
      </c>
      <c r="R64" s="93">
        <v>1</v>
      </c>
      <c r="S64" s="93">
        <v>1</v>
      </c>
      <c r="T64" s="93">
        <v>1</v>
      </c>
      <c r="U64" s="157">
        <f>AP64/$AP$60</f>
        <v>5.7692307692307696E-3</v>
      </c>
      <c r="V64" s="95">
        <v>9</v>
      </c>
      <c r="W64" s="98" t="s">
        <v>166</v>
      </c>
      <c r="X64" s="100"/>
      <c r="Y64" s="100"/>
      <c r="Z64" s="99"/>
      <c r="AA64" s="100"/>
      <c r="AB64" s="141">
        <v>7500000</v>
      </c>
      <c r="AC64" s="101">
        <v>7500000</v>
      </c>
      <c r="AD64" s="141"/>
      <c r="AE64" s="142"/>
      <c r="AF64" s="141"/>
      <c r="AG64" s="142"/>
      <c r="AH64" s="99"/>
      <c r="AI64" s="100"/>
      <c r="AJ64" s="99"/>
      <c r="AK64" s="100"/>
      <c r="AL64" s="99"/>
      <c r="AM64" s="100"/>
      <c r="AN64" s="99"/>
      <c r="AO64" s="100"/>
      <c r="AP64" s="99">
        <f>+X64+Z64+AB64+AD64+AF64+AH64+AJ64+AL64+AN64</f>
        <v>7500000</v>
      </c>
      <c r="AQ64" s="100">
        <f>Y64+AA64+AC64+AE64+AG64+AI64+AK64+AM64+AO64</f>
        <v>7500000</v>
      </c>
      <c r="AR64" s="109"/>
      <c r="AS64" s="109"/>
      <c r="AT64" s="109">
        <v>7500000</v>
      </c>
      <c r="AU64" s="109"/>
      <c r="AV64" s="109"/>
      <c r="AW64" s="109"/>
      <c r="AX64" s="109"/>
      <c r="AY64" s="109"/>
      <c r="AZ64" s="109"/>
      <c r="BA64" s="109">
        <f>SUM(AR64:AY64)+AZ64</f>
        <v>7500000</v>
      </c>
      <c r="BB64" s="192"/>
      <c r="BC64" s="192"/>
      <c r="BD64" s="192">
        <v>3000000</v>
      </c>
      <c r="BE64" s="192"/>
      <c r="BF64" s="192"/>
      <c r="BG64" s="192"/>
      <c r="BH64" s="192"/>
      <c r="BI64" s="192"/>
      <c r="BJ64" s="192"/>
      <c r="BK64" s="192">
        <f>SUM(BB64:BJ64)</f>
        <v>3000000</v>
      </c>
      <c r="BL64" s="109"/>
      <c r="BM64" s="109"/>
      <c r="BN64" s="109">
        <v>57692.307692307695</v>
      </c>
      <c r="BO64" s="109"/>
      <c r="BP64" s="109"/>
      <c r="BQ64" s="109"/>
      <c r="BR64" s="109"/>
      <c r="BS64" s="109"/>
      <c r="BT64" s="109"/>
      <c r="BU64" s="109">
        <f>SUM(BL64:BT64)</f>
        <v>57692.307692307695</v>
      </c>
      <c r="BV64" s="103">
        <f t="shared" si="34"/>
        <v>21115384.615384616</v>
      </c>
    </row>
    <row r="65" spans="1:74" ht="85.5" customHeight="1" x14ac:dyDescent="0.2">
      <c r="A65" s="105">
        <v>44</v>
      </c>
      <c r="B65" s="84">
        <v>2</v>
      </c>
      <c r="C65" s="173"/>
      <c r="D65" s="173"/>
      <c r="E65" s="110"/>
      <c r="F65" s="144"/>
      <c r="G65" s="225"/>
      <c r="H65" s="226"/>
      <c r="I65" s="89">
        <v>42</v>
      </c>
      <c r="J65" s="90" t="s">
        <v>169</v>
      </c>
      <c r="K65" s="86" t="s">
        <v>170</v>
      </c>
      <c r="L65" s="91" t="s">
        <v>111</v>
      </c>
      <c r="M65" s="91">
        <v>13</v>
      </c>
      <c r="N65" s="107" t="s">
        <v>44</v>
      </c>
      <c r="O65" s="93">
        <v>1</v>
      </c>
      <c r="P65" s="93">
        <v>1</v>
      </c>
      <c r="Q65" s="108">
        <v>1</v>
      </c>
      <c r="R65" s="93">
        <v>1</v>
      </c>
      <c r="S65" s="93">
        <v>1</v>
      </c>
      <c r="T65" s="93">
        <v>1</v>
      </c>
      <c r="U65" s="157">
        <f>AP65/$AP$60</f>
        <v>0.96730769230769231</v>
      </c>
      <c r="V65" s="95">
        <v>9</v>
      </c>
      <c r="W65" s="98" t="s">
        <v>166</v>
      </c>
      <c r="X65" s="100"/>
      <c r="Y65" s="100"/>
      <c r="Z65" s="99"/>
      <c r="AA65" s="100"/>
      <c r="AB65" s="99">
        <v>7500000</v>
      </c>
      <c r="AC65" s="101">
        <v>7500000</v>
      </c>
      <c r="AD65" s="99"/>
      <c r="AE65" s="100"/>
      <c r="AF65" s="99"/>
      <c r="AG65" s="100"/>
      <c r="AH65" s="99"/>
      <c r="AI65" s="100"/>
      <c r="AJ65" s="99"/>
      <c r="AK65" s="100"/>
      <c r="AL65" s="99"/>
      <c r="AM65" s="100"/>
      <c r="AN65" s="99">
        <v>1250000000</v>
      </c>
      <c r="AO65" s="100"/>
      <c r="AP65" s="99">
        <f>+X65+Z65+AB65+AD65+AF65+AH65+AJ65+AL65+AN65</f>
        <v>1257500000</v>
      </c>
      <c r="AQ65" s="100">
        <f>Y65+AA65+AC65+AE65+AG65+AI65+AK65+AM65+AO65</f>
        <v>7500000</v>
      </c>
      <c r="AR65" s="109"/>
      <c r="AS65" s="109"/>
      <c r="AT65" s="109">
        <v>7500000</v>
      </c>
      <c r="AU65" s="109"/>
      <c r="AV65" s="109"/>
      <c r="AW65" s="109"/>
      <c r="AX65" s="109"/>
      <c r="AY65" s="109"/>
      <c r="AZ65" s="109"/>
      <c r="BA65" s="109">
        <f>SUM(AR65:AY65)+AZ65</f>
        <v>7500000</v>
      </c>
      <c r="BB65" s="192"/>
      <c r="BC65" s="192"/>
      <c r="BD65" s="192">
        <v>3000000</v>
      </c>
      <c r="BE65" s="192"/>
      <c r="BF65" s="192"/>
      <c r="BG65" s="192"/>
      <c r="BH65" s="192"/>
      <c r="BI65" s="192"/>
      <c r="BJ65" s="192"/>
      <c r="BK65" s="192">
        <f>SUM(BB65:BJ65)</f>
        <v>3000000</v>
      </c>
      <c r="BL65" s="109"/>
      <c r="BM65" s="109"/>
      <c r="BN65" s="109">
        <v>9673076.9230769239</v>
      </c>
      <c r="BO65" s="109"/>
      <c r="BP65" s="109"/>
      <c r="BQ65" s="109"/>
      <c r="BR65" s="109"/>
      <c r="BS65" s="109"/>
      <c r="BT65" s="109"/>
      <c r="BU65" s="109">
        <f>SUM(BL65:BT65)</f>
        <v>9673076.9230769239</v>
      </c>
      <c r="BV65" s="103">
        <f t="shared" si="34"/>
        <v>40346153.846153848</v>
      </c>
    </row>
    <row r="66" spans="1:74" ht="24" customHeight="1" x14ac:dyDescent="0.2">
      <c r="A66" s="105"/>
      <c r="B66" s="84"/>
      <c r="C66" s="173"/>
      <c r="D66" s="173"/>
      <c r="E66" s="71">
        <v>9</v>
      </c>
      <c r="F66" s="72" t="s">
        <v>171</v>
      </c>
      <c r="G66" s="227"/>
      <c r="H66" s="227"/>
      <c r="I66" s="228"/>
      <c r="J66" s="229"/>
      <c r="K66" s="125"/>
      <c r="L66" s="74"/>
      <c r="M66" s="74"/>
      <c r="N66" s="126"/>
      <c r="O66" s="125"/>
      <c r="P66" s="125"/>
      <c r="Q66" s="127"/>
      <c r="R66" s="125"/>
      <c r="S66" s="125"/>
      <c r="T66" s="74"/>
      <c r="U66" s="128"/>
      <c r="V66" s="71"/>
      <c r="W66" s="74"/>
      <c r="X66" s="129">
        <f t="shared" ref="X66:AO66" si="37">SUM(X67:X70)</f>
        <v>0</v>
      </c>
      <c r="Y66" s="129">
        <f t="shared" si="37"/>
        <v>0</v>
      </c>
      <c r="Z66" s="129">
        <f t="shared" si="37"/>
        <v>0</v>
      </c>
      <c r="AA66" s="129">
        <f t="shared" si="37"/>
        <v>0</v>
      </c>
      <c r="AB66" s="129">
        <f t="shared" si="37"/>
        <v>177000000</v>
      </c>
      <c r="AC66" s="129">
        <f t="shared" si="37"/>
        <v>177000000</v>
      </c>
      <c r="AD66" s="129">
        <f t="shared" si="37"/>
        <v>0</v>
      </c>
      <c r="AE66" s="129">
        <f t="shared" si="37"/>
        <v>0</v>
      </c>
      <c r="AF66" s="129">
        <f t="shared" si="37"/>
        <v>0</v>
      </c>
      <c r="AG66" s="129">
        <f t="shared" si="37"/>
        <v>0</v>
      </c>
      <c r="AH66" s="129">
        <f t="shared" si="37"/>
        <v>0</v>
      </c>
      <c r="AI66" s="129">
        <f t="shared" si="37"/>
        <v>0</v>
      </c>
      <c r="AJ66" s="129">
        <f t="shared" si="37"/>
        <v>0</v>
      </c>
      <c r="AK66" s="129">
        <f t="shared" si="37"/>
        <v>0</v>
      </c>
      <c r="AL66" s="129">
        <f t="shared" si="37"/>
        <v>0</v>
      </c>
      <c r="AM66" s="129">
        <f t="shared" si="37"/>
        <v>0</v>
      </c>
      <c r="AN66" s="129">
        <f t="shared" si="37"/>
        <v>0</v>
      </c>
      <c r="AO66" s="129">
        <f t="shared" si="37"/>
        <v>0</v>
      </c>
      <c r="AP66" s="130">
        <f>SUM(AP67:AP70)</f>
        <v>177000000</v>
      </c>
      <c r="AQ66" s="129">
        <f>SUM(AQ67:AQ70)</f>
        <v>177000000</v>
      </c>
      <c r="AR66" s="131"/>
      <c r="AS66" s="131"/>
      <c r="AT66" s="131"/>
      <c r="AU66" s="131"/>
      <c r="AV66" s="131"/>
      <c r="AW66" s="131"/>
      <c r="AX66" s="131"/>
      <c r="AY66" s="131"/>
      <c r="AZ66" s="131"/>
      <c r="BA66" s="131">
        <f>SUM(BA67:BA70)</f>
        <v>70000000</v>
      </c>
      <c r="BB66" s="131"/>
      <c r="BC66" s="131"/>
      <c r="BD66" s="131"/>
      <c r="BE66" s="131"/>
      <c r="BF66" s="131"/>
      <c r="BG66" s="131"/>
      <c r="BH66" s="131"/>
      <c r="BI66" s="131"/>
      <c r="BJ66" s="131"/>
      <c r="BK66" s="131">
        <f>SUM(BK67:BK70)</f>
        <v>20000000</v>
      </c>
      <c r="BL66" s="131"/>
      <c r="BM66" s="131"/>
      <c r="BN66" s="131"/>
      <c r="BO66" s="131"/>
      <c r="BP66" s="131"/>
      <c r="BQ66" s="131"/>
      <c r="BR66" s="131"/>
      <c r="BS66" s="131"/>
      <c r="BT66" s="131"/>
      <c r="BU66" s="131">
        <f>SUM(BU67:BU70)</f>
        <v>10000000</v>
      </c>
      <c r="BV66" s="132">
        <f t="shared" si="34"/>
        <v>100000000</v>
      </c>
    </row>
    <row r="67" spans="1:74" ht="87" customHeight="1" x14ac:dyDescent="0.2">
      <c r="A67" s="84">
        <v>45</v>
      </c>
      <c r="B67" s="84">
        <v>2</v>
      </c>
      <c r="C67" s="173"/>
      <c r="D67" s="173"/>
      <c r="E67" s="85"/>
      <c r="F67" s="133"/>
      <c r="G67" s="87"/>
      <c r="H67" s="87"/>
      <c r="I67" s="89">
        <v>43</v>
      </c>
      <c r="J67" s="90" t="s">
        <v>172</v>
      </c>
      <c r="K67" s="86" t="s">
        <v>173</v>
      </c>
      <c r="L67" s="91" t="s">
        <v>111</v>
      </c>
      <c r="M67" s="91">
        <v>13</v>
      </c>
      <c r="N67" s="107" t="s">
        <v>58</v>
      </c>
      <c r="O67" s="93" t="s">
        <v>39</v>
      </c>
      <c r="P67" s="93">
        <v>12</v>
      </c>
      <c r="Q67" s="108">
        <v>3</v>
      </c>
      <c r="R67" s="108">
        <v>3</v>
      </c>
      <c r="S67" s="108">
        <v>3</v>
      </c>
      <c r="T67" s="108">
        <v>3</v>
      </c>
      <c r="U67" s="157">
        <f>AP67/$AP$66</f>
        <v>9.6045197740112997E-2</v>
      </c>
      <c r="V67" s="95">
        <v>8</v>
      </c>
      <c r="W67" s="98" t="s">
        <v>121</v>
      </c>
      <c r="X67" s="100"/>
      <c r="Y67" s="100"/>
      <c r="Z67" s="99"/>
      <c r="AA67" s="100"/>
      <c r="AB67" s="99">
        <v>17000000</v>
      </c>
      <c r="AC67" s="100">
        <v>42550000</v>
      </c>
      <c r="AD67" s="99"/>
      <c r="AE67" s="100"/>
      <c r="AF67" s="99"/>
      <c r="AG67" s="100"/>
      <c r="AH67" s="99"/>
      <c r="AI67" s="100"/>
      <c r="AJ67" s="99"/>
      <c r="AK67" s="100"/>
      <c r="AL67" s="99"/>
      <c r="AM67" s="100"/>
      <c r="AN67" s="99"/>
      <c r="AO67" s="100"/>
      <c r="AP67" s="99">
        <f>+X67+Z67+AB67+AD67+AF67+AH67+AJ67+AL67+AN67</f>
        <v>17000000</v>
      </c>
      <c r="AQ67" s="100">
        <f>Y67+AA67+AC67+AE67+AG67+AI67+AK67+AM67+AO67</f>
        <v>42550000</v>
      </c>
      <c r="AR67" s="109"/>
      <c r="AS67" s="109"/>
      <c r="AT67" s="192">
        <v>15000000</v>
      </c>
      <c r="AU67" s="109"/>
      <c r="AV67" s="109"/>
      <c r="AW67" s="109"/>
      <c r="AX67" s="109"/>
      <c r="AY67" s="109"/>
      <c r="AZ67" s="109"/>
      <c r="BA67" s="109">
        <f>SUM(AR67:AY67)+AZ67</f>
        <v>15000000</v>
      </c>
      <c r="BB67" s="192"/>
      <c r="BC67" s="192"/>
      <c r="BD67" s="192">
        <v>5000000</v>
      </c>
      <c r="BE67" s="192"/>
      <c r="BF67" s="192"/>
      <c r="BG67" s="192"/>
      <c r="BH67" s="192"/>
      <c r="BI67" s="192"/>
      <c r="BJ67" s="192"/>
      <c r="BK67" s="192">
        <f>SUM(BB67:BJ67)</f>
        <v>5000000</v>
      </c>
      <c r="BL67" s="109"/>
      <c r="BM67" s="109"/>
      <c r="BN67" s="109">
        <v>2000000</v>
      </c>
      <c r="BO67" s="109"/>
      <c r="BP67" s="109"/>
      <c r="BQ67" s="109"/>
      <c r="BR67" s="109"/>
      <c r="BS67" s="109"/>
      <c r="BT67" s="109"/>
      <c r="BU67" s="109">
        <f>SUM(BL67:BT67)</f>
        <v>2000000</v>
      </c>
      <c r="BV67" s="103">
        <f t="shared" si="34"/>
        <v>44000000</v>
      </c>
    </row>
    <row r="68" spans="1:74" ht="72.75" customHeight="1" x14ac:dyDescent="0.2">
      <c r="A68" s="105">
        <v>46</v>
      </c>
      <c r="B68" s="84">
        <v>2</v>
      </c>
      <c r="C68" s="173"/>
      <c r="D68" s="173"/>
      <c r="E68" s="110">
        <v>5</v>
      </c>
      <c r="F68" s="223" t="s">
        <v>106</v>
      </c>
      <c r="G68" s="216" t="s">
        <v>107</v>
      </c>
      <c r="H68" s="216" t="s">
        <v>108</v>
      </c>
      <c r="I68" s="89">
        <v>44</v>
      </c>
      <c r="J68" s="90" t="s">
        <v>174</v>
      </c>
      <c r="K68" s="86" t="s">
        <v>175</v>
      </c>
      <c r="L68" s="91" t="s">
        <v>111</v>
      </c>
      <c r="M68" s="91">
        <v>13</v>
      </c>
      <c r="N68" s="107" t="s">
        <v>44</v>
      </c>
      <c r="O68" s="93">
        <v>0</v>
      </c>
      <c r="P68" s="93">
        <v>1</v>
      </c>
      <c r="Q68" s="108">
        <v>1</v>
      </c>
      <c r="R68" s="108">
        <v>1</v>
      </c>
      <c r="S68" s="108">
        <v>1</v>
      </c>
      <c r="T68" s="108">
        <v>1</v>
      </c>
      <c r="U68" s="157">
        <f>AP68/$AP$66</f>
        <v>0.11299435028248588</v>
      </c>
      <c r="V68" s="95">
        <v>8</v>
      </c>
      <c r="W68" s="98" t="s">
        <v>121</v>
      </c>
      <c r="X68" s="100"/>
      <c r="Y68" s="100"/>
      <c r="Z68" s="99"/>
      <c r="AA68" s="100"/>
      <c r="AB68" s="230">
        <v>20000000</v>
      </c>
      <c r="AC68" s="100">
        <v>54450000</v>
      </c>
      <c r="AD68" s="231"/>
      <c r="AE68" s="136"/>
      <c r="AF68" s="141"/>
      <c r="AG68" s="142"/>
      <c r="AH68" s="99"/>
      <c r="AI68" s="100"/>
      <c r="AJ68" s="99"/>
      <c r="AK68" s="100"/>
      <c r="AL68" s="99"/>
      <c r="AM68" s="100"/>
      <c r="AN68" s="99"/>
      <c r="AO68" s="100"/>
      <c r="AP68" s="99">
        <f>+X68+Z68+AB68+AD68+AF68+AH68+AJ68+AL68+AN68</f>
        <v>20000000</v>
      </c>
      <c r="AQ68" s="100">
        <f>Y68+AA68+AC68+AE68+AG68+AI68+AK68+AM68+AO68</f>
        <v>54450000</v>
      </c>
      <c r="AR68" s="109"/>
      <c r="AS68" s="109"/>
      <c r="AT68" s="192">
        <v>15000000</v>
      </c>
      <c r="AU68" s="109"/>
      <c r="AV68" s="109"/>
      <c r="AW68" s="109"/>
      <c r="AX68" s="109"/>
      <c r="AY68" s="109"/>
      <c r="AZ68" s="109"/>
      <c r="BA68" s="109">
        <f>SUM(AR68:AY68)+AZ68</f>
        <v>15000000</v>
      </c>
      <c r="BB68" s="192"/>
      <c r="BC68" s="192"/>
      <c r="BD68" s="192">
        <v>5000000</v>
      </c>
      <c r="BE68" s="192"/>
      <c r="BF68" s="192"/>
      <c r="BG68" s="192"/>
      <c r="BH68" s="192"/>
      <c r="BI68" s="192"/>
      <c r="BJ68" s="192"/>
      <c r="BK68" s="192">
        <f>SUM(BB68:BJ68)</f>
        <v>5000000</v>
      </c>
      <c r="BL68" s="109"/>
      <c r="BM68" s="109"/>
      <c r="BN68" s="109">
        <v>2000000</v>
      </c>
      <c r="BO68" s="109"/>
      <c r="BP68" s="109"/>
      <c r="BQ68" s="109"/>
      <c r="BR68" s="109"/>
      <c r="BS68" s="109"/>
      <c r="BT68" s="109"/>
      <c r="BU68" s="109">
        <f>SUM(BL68:BT68)</f>
        <v>2000000</v>
      </c>
      <c r="BV68" s="103">
        <f t="shared" si="34"/>
        <v>44000000</v>
      </c>
    </row>
    <row r="69" spans="1:74" ht="96" customHeight="1" x14ac:dyDescent="0.2">
      <c r="A69" s="84">
        <v>47</v>
      </c>
      <c r="B69" s="84">
        <v>2</v>
      </c>
      <c r="C69" s="173"/>
      <c r="D69" s="173"/>
      <c r="E69" s="117">
        <v>6</v>
      </c>
      <c r="F69" s="86" t="s">
        <v>148</v>
      </c>
      <c r="G69" s="106" t="s">
        <v>113</v>
      </c>
      <c r="H69" s="106" t="s">
        <v>114</v>
      </c>
      <c r="I69" s="89">
        <v>45</v>
      </c>
      <c r="J69" s="90" t="s">
        <v>176</v>
      </c>
      <c r="K69" s="86" t="s">
        <v>173</v>
      </c>
      <c r="L69" s="91" t="s">
        <v>111</v>
      </c>
      <c r="M69" s="91">
        <v>13</v>
      </c>
      <c r="N69" s="107" t="s">
        <v>58</v>
      </c>
      <c r="O69" s="93" t="s">
        <v>39</v>
      </c>
      <c r="P69" s="93">
        <v>12</v>
      </c>
      <c r="Q69" s="108">
        <v>2</v>
      </c>
      <c r="R69" s="108">
        <v>3</v>
      </c>
      <c r="S69" s="108">
        <v>3</v>
      </c>
      <c r="T69" s="108">
        <v>4</v>
      </c>
      <c r="U69" s="157">
        <f>AP69/$AP$66</f>
        <v>0.11299435028248588</v>
      </c>
      <c r="V69" s="95">
        <v>8</v>
      </c>
      <c r="W69" s="98" t="s">
        <v>121</v>
      </c>
      <c r="X69" s="100"/>
      <c r="Y69" s="100"/>
      <c r="Z69" s="99"/>
      <c r="AA69" s="100"/>
      <c r="AB69" s="231">
        <v>20000000</v>
      </c>
      <c r="AC69" s="100">
        <v>20000000</v>
      </c>
      <c r="AD69" s="231"/>
      <c r="AE69" s="136"/>
      <c r="AF69" s="141"/>
      <c r="AG69" s="142"/>
      <c r="AH69" s="99"/>
      <c r="AI69" s="100"/>
      <c r="AJ69" s="99"/>
      <c r="AK69" s="100"/>
      <c r="AL69" s="99"/>
      <c r="AM69" s="100"/>
      <c r="AN69" s="99"/>
      <c r="AO69" s="100"/>
      <c r="AP69" s="99">
        <f>+X69+Z69+AB69+AD69+AF69+AH69+AJ69+AL69+AN69</f>
        <v>20000000</v>
      </c>
      <c r="AQ69" s="100">
        <f>Y69+AA69+AC69+AE69+AG69+AI69+AK69+AM69+AO69</f>
        <v>20000000</v>
      </c>
      <c r="AR69" s="109"/>
      <c r="AS69" s="109"/>
      <c r="AT69" s="192">
        <v>15000000</v>
      </c>
      <c r="AU69" s="109"/>
      <c r="AV69" s="109"/>
      <c r="AW69" s="109"/>
      <c r="AX69" s="109"/>
      <c r="AY69" s="109"/>
      <c r="AZ69" s="109"/>
      <c r="BA69" s="109">
        <f>SUM(AR69:AY69)+AZ69</f>
        <v>15000000</v>
      </c>
      <c r="BB69" s="192"/>
      <c r="BC69" s="192"/>
      <c r="BD69" s="192">
        <v>5000000</v>
      </c>
      <c r="BE69" s="192"/>
      <c r="BF69" s="192"/>
      <c r="BG69" s="192"/>
      <c r="BH69" s="192"/>
      <c r="BI69" s="192"/>
      <c r="BJ69" s="192"/>
      <c r="BK69" s="192">
        <f>SUM(BB69:BJ69)</f>
        <v>5000000</v>
      </c>
      <c r="BL69" s="109"/>
      <c r="BM69" s="109"/>
      <c r="BN69" s="109">
        <v>2000000</v>
      </c>
      <c r="BO69" s="109"/>
      <c r="BP69" s="109"/>
      <c r="BQ69" s="109"/>
      <c r="BR69" s="109"/>
      <c r="BS69" s="109"/>
      <c r="BT69" s="109"/>
      <c r="BU69" s="109">
        <f>SUM(BL69:BT69)</f>
        <v>2000000</v>
      </c>
      <c r="BV69" s="103">
        <f t="shared" si="34"/>
        <v>44000000</v>
      </c>
    </row>
    <row r="70" spans="1:74" ht="81" customHeight="1" x14ac:dyDescent="0.2">
      <c r="A70" s="105">
        <v>48</v>
      </c>
      <c r="B70" s="84">
        <v>2</v>
      </c>
      <c r="C70" s="173"/>
      <c r="D70" s="173"/>
      <c r="E70" s="110">
        <v>7</v>
      </c>
      <c r="F70" s="154" t="s">
        <v>136</v>
      </c>
      <c r="G70" s="149" t="s">
        <v>118</v>
      </c>
      <c r="H70" s="218">
        <v>0.27</v>
      </c>
      <c r="I70" s="89">
        <v>46</v>
      </c>
      <c r="J70" s="90" t="s">
        <v>177</v>
      </c>
      <c r="K70" s="86" t="s">
        <v>178</v>
      </c>
      <c r="L70" s="91" t="s">
        <v>111</v>
      </c>
      <c r="M70" s="91">
        <v>13</v>
      </c>
      <c r="N70" s="107" t="s">
        <v>44</v>
      </c>
      <c r="O70" s="93">
        <v>0</v>
      </c>
      <c r="P70" s="108">
        <v>1</v>
      </c>
      <c r="Q70" s="108">
        <v>1</v>
      </c>
      <c r="R70" s="108">
        <v>1</v>
      </c>
      <c r="S70" s="108">
        <v>1</v>
      </c>
      <c r="T70" s="108">
        <v>1</v>
      </c>
      <c r="U70" s="157">
        <f>AP70/$AP$66</f>
        <v>0.67796610169491522</v>
      </c>
      <c r="V70" s="95">
        <v>1</v>
      </c>
      <c r="W70" s="95" t="s">
        <v>179</v>
      </c>
      <c r="X70" s="100"/>
      <c r="Y70" s="100"/>
      <c r="Z70" s="99"/>
      <c r="AA70" s="100"/>
      <c r="AB70" s="231">
        <v>120000000</v>
      </c>
      <c r="AC70" s="100">
        <v>60000000</v>
      </c>
      <c r="AD70" s="231"/>
      <c r="AE70" s="136"/>
      <c r="AF70" s="141"/>
      <c r="AG70" s="142"/>
      <c r="AH70" s="99"/>
      <c r="AI70" s="100"/>
      <c r="AJ70" s="99"/>
      <c r="AK70" s="100"/>
      <c r="AL70" s="99"/>
      <c r="AM70" s="100"/>
      <c r="AN70" s="99"/>
      <c r="AO70" s="100"/>
      <c r="AP70" s="99">
        <f>+X70+Z70+AB70+AD70+AF70+AH70+AJ70+AL70+AN70</f>
        <v>120000000</v>
      </c>
      <c r="AQ70" s="100">
        <f>Y70+AA70+AC70+AE70+AG70+AI70+AK70+AM70+AO70</f>
        <v>60000000</v>
      </c>
      <c r="AR70" s="109"/>
      <c r="AS70" s="109"/>
      <c r="AT70" s="192">
        <v>25000000</v>
      </c>
      <c r="AU70" s="109"/>
      <c r="AV70" s="109"/>
      <c r="AW70" s="109"/>
      <c r="AX70" s="109"/>
      <c r="AY70" s="109"/>
      <c r="AZ70" s="109"/>
      <c r="BA70" s="109">
        <f>SUM(AR70:AY70)+AZ70</f>
        <v>25000000</v>
      </c>
      <c r="BB70" s="192"/>
      <c r="BC70" s="192"/>
      <c r="BD70" s="192">
        <v>5000000</v>
      </c>
      <c r="BE70" s="192"/>
      <c r="BF70" s="192"/>
      <c r="BG70" s="192"/>
      <c r="BH70" s="192"/>
      <c r="BI70" s="192"/>
      <c r="BJ70" s="192"/>
      <c r="BK70" s="192">
        <f>SUM(BB70:BJ70)</f>
        <v>5000000</v>
      </c>
      <c r="BL70" s="109"/>
      <c r="BM70" s="109"/>
      <c r="BN70" s="109">
        <v>4000000</v>
      </c>
      <c r="BO70" s="109"/>
      <c r="BP70" s="109"/>
      <c r="BQ70" s="109"/>
      <c r="BR70" s="109"/>
      <c r="BS70" s="109"/>
      <c r="BT70" s="109"/>
      <c r="BU70" s="109">
        <f>SUM(BL70:BT70)</f>
        <v>4000000</v>
      </c>
      <c r="BV70" s="103">
        <f t="shared" si="34"/>
        <v>68000000</v>
      </c>
    </row>
    <row r="71" spans="1:74" ht="30" customHeight="1" x14ac:dyDescent="0.2">
      <c r="A71" s="105"/>
      <c r="B71" s="84"/>
      <c r="C71" s="173"/>
      <c r="D71" s="173"/>
      <c r="E71" s="71">
        <v>10</v>
      </c>
      <c r="F71" s="232" t="s">
        <v>180</v>
      </c>
      <c r="G71" s="74"/>
      <c r="H71" s="233"/>
      <c r="I71" s="74"/>
      <c r="J71" s="233"/>
      <c r="K71" s="233"/>
      <c r="L71" s="74"/>
      <c r="M71" s="74"/>
      <c r="N71" s="234"/>
      <c r="O71" s="235"/>
      <c r="P71" s="235"/>
      <c r="Q71" s="234"/>
      <c r="R71" s="235"/>
      <c r="S71" s="235"/>
      <c r="T71" s="235"/>
      <c r="U71" s="128"/>
      <c r="V71" s="235"/>
      <c r="W71" s="235"/>
      <c r="X71" s="129">
        <f t="shared" ref="X71:AO71" si="38">SUM(X72:X74)</f>
        <v>0</v>
      </c>
      <c r="Y71" s="129">
        <f t="shared" si="38"/>
        <v>0</v>
      </c>
      <c r="Z71" s="129">
        <f t="shared" si="38"/>
        <v>0</v>
      </c>
      <c r="AA71" s="129">
        <f t="shared" si="38"/>
        <v>0</v>
      </c>
      <c r="AB71" s="129">
        <f t="shared" si="38"/>
        <v>190000000</v>
      </c>
      <c r="AC71" s="129">
        <f t="shared" si="38"/>
        <v>190000000</v>
      </c>
      <c r="AD71" s="129">
        <f t="shared" si="38"/>
        <v>0</v>
      </c>
      <c r="AE71" s="129">
        <f t="shared" si="38"/>
        <v>0</v>
      </c>
      <c r="AF71" s="129">
        <f t="shared" si="38"/>
        <v>0</v>
      </c>
      <c r="AG71" s="129">
        <f t="shared" si="38"/>
        <v>0</v>
      </c>
      <c r="AH71" s="129">
        <f t="shared" si="38"/>
        <v>0</v>
      </c>
      <c r="AI71" s="129">
        <f t="shared" si="38"/>
        <v>0</v>
      </c>
      <c r="AJ71" s="129">
        <f t="shared" si="38"/>
        <v>0</v>
      </c>
      <c r="AK71" s="129">
        <f t="shared" si="38"/>
        <v>0</v>
      </c>
      <c r="AL71" s="129">
        <f t="shared" si="38"/>
        <v>0</v>
      </c>
      <c r="AM71" s="129">
        <f t="shared" si="38"/>
        <v>0</v>
      </c>
      <c r="AN71" s="129">
        <f t="shared" si="38"/>
        <v>2000000000</v>
      </c>
      <c r="AO71" s="129">
        <f t="shared" si="38"/>
        <v>0</v>
      </c>
      <c r="AP71" s="130">
        <f>SUM(AP72:AP74)</f>
        <v>2190000000</v>
      </c>
      <c r="AQ71" s="129">
        <f>SUM(AQ72:AQ74)</f>
        <v>190000000</v>
      </c>
      <c r="AR71" s="131"/>
      <c r="AS71" s="131"/>
      <c r="AT71" s="131"/>
      <c r="AU71" s="131"/>
      <c r="AV71" s="131"/>
      <c r="AW71" s="131"/>
      <c r="AX71" s="131"/>
      <c r="AY71" s="131"/>
      <c r="AZ71" s="131"/>
      <c r="BA71" s="131">
        <f>SUM(BA72:BA74)</f>
        <v>90000000</v>
      </c>
      <c r="BB71" s="131"/>
      <c r="BC71" s="131"/>
      <c r="BD71" s="131"/>
      <c r="BE71" s="131"/>
      <c r="BF71" s="131"/>
      <c r="BG71" s="131"/>
      <c r="BH71" s="131"/>
      <c r="BI71" s="131"/>
      <c r="BJ71" s="131"/>
      <c r="BK71" s="131">
        <f>SUM(BK72:BK74)</f>
        <v>30000000</v>
      </c>
      <c r="BL71" s="131"/>
      <c r="BM71" s="131"/>
      <c r="BN71" s="131"/>
      <c r="BO71" s="131"/>
      <c r="BP71" s="131"/>
      <c r="BQ71" s="131"/>
      <c r="BR71" s="131"/>
      <c r="BS71" s="131"/>
      <c r="BT71" s="131"/>
      <c r="BU71" s="131">
        <f>SUM(BU72:BU74)</f>
        <v>15000000</v>
      </c>
      <c r="BV71" s="132">
        <f t="shared" si="34"/>
        <v>135000000</v>
      </c>
    </row>
    <row r="72" spans="1:74" ht="126.75" customHeight="1" x14ac:dyDescent="0.2">
      <c r="A72" s="84">
        <v>49</v>
      </c>
      <c r="B72" s="84">
        <v>2</v>
      </c>
      <c r="C72" s="173"/>
      <c r="D72" s="173"/>
      <c r="E72" s="117">
        <v>5</v>
      </c>
      <c r="F72" s="236" t="s">
        <v>106</v>
      </c>
      <c r="G72" s="221" t="s">
        <v>107</v>
      </c>
      <c r="H72" s="221" t="s">
        <v>108</v>
      </c>
      <c r="I72" s="94">
        <v>47</v>
      </c>
      <c r="J72" s="90" t="s">
        <v>181</v>
      </c>
      <c r="K72" s="86" t="s">
        <v>182</v>
      </c>
      <c r="L72" s="91" t="s">
        <v>111</v>
      </c>
      <c r="M72" s="91">
        <v>13</v>
      </c>
      <c r="N72" s="145" t="s">
        <v>58</v>
      </c>
      <c r="O72" s="93">
        <v>0</v>
      </c>
      <c r="P72" s="93">
        <v>48</v>
      </c>
      <c r="Q72" s="108">
        <v>12</v>
      </c>
      <c r="R72" s="93">
        <v>24</v>
      </c>
      <c r="S72" s="93">
        <v>36</v>
      </c>
      <c r="T72" s="93">
        <v>48</v>
      </c>
      <c r="U72" s="157">
        <f>AP72/$AP$71</f>
        <v>0.9726027397260274</v>
      </c>
      <c r="V72" s="95">
        <v>12</v>
      </c>
      <c r="W72" s="92" t="s">
        <v>59</v>
      </c>
      <c r="X72" s="99"/>
      <c r="Y72" s="100"/>
      <c r="Z72" s="99"/>
      <c r="AA72" s="100"/>
      <c r="AB72" s="99">
        <v>130000000</v>
      </c>
      <c r="AC72" s="100">
        <v>130000000</v>
      </c>
      <c r="AD72" s="99"/>
      <c r="AE72" s="100"/>
      <c r="AF72" s="99"/>
      <c r="AG72" s="100"/>
      <c r="AH72" s="99"/>
      <c r="AI72" s="100"/>
      <c r="AJ72" s="99"/>
      <c r="AK72" s="100"/>
      <c r="AL72" s="99"/>
      <c r="AM72" s="100"/>
      <c r="AN72" s="99">
        <v>2000000000</v>
      </c>
      <c r="AO72" s="100"/>
      <c r="AP72" s="99">
        <f>+X72+Z72+AB72+AD72+AF72+AH72+AJ72+AL72+AN72</f>
        <v>2130000000</v>
      </c>
      <c r="AQ72" s="100">
        <f>Y72+AA72+AC72+AE72+AG72+AI72+AK72+AM72+AO72</f>
        <v>130000000</v>
      </c>
      <c r="AR72" s="109"/>
      <c r="AS72" s="109"/>
      <c r="AT72" s="192">
        <v>78750000</v>
      </c>
      <c r="AU72" s="109"/>
      <c r="AV72" s="109"/>
      <c r="AW72" s="109"/>
      <c r="AX72" s="109"/>
      <c r="AY72" s="109"/>
      <c r="AZ72" s="109"/>
      <c r="BA72" s="109">
        <f>SUM(AR72:AY72)+AZ72</f>
        <v>78750000</v>
      </c>
      <c r="BB72" s="192"/>
      <c r="BC72" s="192"/>
      <c r="BD72" s="192">
        <v>25000000</v>
      </c>
      <c r="BE72" s="192"/>
      <c r="BF72" s="192"/>
      <c r="BG72" s="192"/>
      <c r="BH72" s="192"/>
      <c r="BI72" s="192"/>
      <c r="BJ72" s="192"/>
      <c r="BK72" s="192">
        <f>SUM(BB72:BJ72)</f>
        <v>25000000</v>
      </c>
      <c r="BL72" s="109"/>
      <c r="BM72" s="109"/>
      <c r="BN72" s="109">
        <v>13000000</v>
      </c>
      <c r="BO72" s="109"/>
      <c r="BP72" s="109"/>
      <c r="BQ72" s="109"/>
      <c r="BR72" s="109"/>
      <c r="BS72" s="109"/>
      <c r="BT72" s="109"/>
      <c r="BU72" s="109">
        <f>SUM(BL72:BT72)</f>
        <v>13000000</v>
      </c>
      <c r="BV72" s="103">
        <f t="shared" si="34"/>
        <v>233500000</v>
      </c>
    </row>
    <row r="73" spans="1:74" ht="151.5" customHeight="1" x14ac:dyDescent="0.2">
      <c r="A73" s="105">
        <v>50</v>
      </c>
      <c r="B73" s="84">
        <v>2</v>
      </c>
      <c r="C73" s="173"/>
      <c r="D73" s="173"/>
      <c r="E73" s="117">
        <v>6</v>
      </c>
      <c r="F73" s="86" t="s">
        <v>148</v>
      </c>
      <c r="G73" s="106" t="s">
        <v>113</v>
      </c>
      <c r="H73" s="106" t="s">
        <v>114</v>
      </c>
      <c r="I73" s="94">
        <v>48</v>
      </c>
      <c r="J73" s="90" t="s">
        <v>183</v>
      </c>
      <c r="K73" s="86" t="s">
        <v>184</v>
      </c>
      <c r="L73" s="91" t="s">
        <v>111</v>
      </c>
      <c r="M73" s="91">
        <v>13</v>
      </c>
      <c r="N73" s="107" t="s">
        <v>44</v>
      </c>
      <c r="O73" s="93">
        <v>0</v>
      </c>
      <c r="P73" s="93">
        <v>1</v>
      </c>
      <c r="Q73" s="108">
        <v>1</v>
      </c>
      <c r="R73" s="93">
        <v>1</v>
      </c>
      <c r="S73" s="93">
        <v>1</v>
      </c>
      <c r="T73" s="93">
        <v>1</v>
      </c>
      <c r="U73" s="157">
        <f>AP73/$AP$71</f>
        <v>2.5114155251141551E-2</v>
      </c>
      <c r="V73" s="95">
        <v>8</v>
      </c>
      <c r="W73" s="92" t="s">
        <v>121</v>
      </c>
      <c r="X73" s="99"/>
      <c r="Y73" s="100"/>
      <c r="Z73" s="99"/>
      <c r="AA73" s="100"/>
      <c r="AB73" s="99">
        <v>55000000</v>
      </c>
      <c r="AC73" s="101">
        <v>55000000</v>
      </c>
      <c r="AD73" s="99"/>
      <c r="AE73" s="100"/>
      <c r="AF73" s="99"/>
      <c r="AG73" s="100"/>
      <c r="AH73" s="99"/>
      <c r="AI73" s="100"/>
      <c r="AJ73" s="99"/>
      <c r="AK73" s="100"/>
      <c r="AL73" s="99"/>
      <c r="AM73" s="100"/>
      <c r="AN73" s="99"/>
      <c r="AO73" s="100"/>
      <c r="AP73" s="99">
        <f>+X73+Z73+AB73+AD73+AF73+AH73+AJ73+AL73+AN73</f>
        <v>55000000</v>
      </c>
      <c r="AQ73" s="100">
        <f>Y73+AA73+AC73+AE73+AG73+AI73+AK73+AM73+AO73</f>
        <v>55000000</v>
      </c>
      <c r="AR73" s="109"/>
      <c r="AS73" s="109"/>
      <c r="AT73" s="192">
        <v>5625000</v>
      </c>
      <c r="AU73" s="109"/>
      <c r="AV73" s="109"/>
      <c r="AW73" s="109"/>
      <c r="AX73" s="109"/>
      <c r="AY73" s="109"/>
      <c r="AZ73" s="109"/>
      <c r="BA73" s="109">
        <f>SUM(AR73:AY73)+AZ73</f>
        <v>5625000</v>
      </c>
      <c r="BB73" s="192"/>
      <c r="BC73" s="192"/>
      <c r="BD73" s="192">
        <v>2500000</v>
      </c>
      <c r="BE73" s="192"/>
      <c r="BF73" s="192"/>
      <c r="BG73" s="192"/>
      <c r="BH73" s="192"/>
      <c r="BI73" s="192"/>
      <c r="BJ73" s="192"/>
      <c r="BK73" s="192">
        <f>SUM(BB73:BJ73)</f>
        <v>2500000</v>
      </c>
      <c r="BL73" s="109"/>
      <c r="BM73" s="109"/>
      <c r="BN73" s="109">
        <v>1000000</v>
      </c>
      <c r="BO73" s="109"/>
      <c r="BP73" s="109"/>
      <c r="BQ73" s="109"/>
      <c r="BR73" s="109"/>
      <c r="BS73" s="109"/>
      <c r="BT73" s="109"/>
      <c r="BU73" s="109">
        <f>SUM(BL73:BT73)</f>
        <v>1000000</v>
      </c>
      <c r="BV73" s="103">
        <f t="shared" si="34"/>
        <v>18250000</v>
      </c>
    </row>
    <row r="74" spans="1:74" ht="85.5" x14ac:dyDescent="0.2">
      <c r="A74" s="84">
        <v>51</v>
      </c>
      <c r="B74" s="84">
        <v>2</v>
      </c>
      <c r="C74" s="173"/>
      <c r="D74" s="237"/>
      <c r="E74" s="110">
        <v>7</v>
      </c>
      <c r="F74" s="154" t="s">
        <v>136</v>
      </c>
      <c r="G74" s="149" t="s">
        <v>118</v>
      </c>
      <c r="H74" s="218">
        <v>0.27</v>
      </c>
      <c r="I74" s="94">
        <v>49</v>
      </c>
      <c r="J74" s="90" t="s">
        <v>185</v>
      </c>
      <c r="K74" s="86" t="s">
        <v>186</v>
      </c>
      <c r="L74" s="91" t="s">
        <v>111</v>
      </c>
      <c r="M74" s="91">
        <v>13</v>
      </c>
      <c r="N74" s="107" t="s">
        <v>44</v>
      </c>
      <c r="O74" s="93">
        <v>0</v>
      </c>
      <c r="P74" s="93">
        <v>1</v>
      </c>
      <c r="Q74" s="108">
        <v>1</v>
      </c>
      <c r="R74" s="93">
        <v>1</v>
      </c>
      <c r="S74" s="93">
        <v>1</v>
      </c>
      <c r="T74" s="93">
        <v>1</v>
      </c>
      <c r="U74" s="157">
        <f>AP74/$AP$71</f>
        <v>2.2831050228310501E-3</v>
      </c>
      <c r="V74" s="95">
        <v>9</v>
      </c>
      <c r="W74" s="92" t="s">
        <v>166</v>
      </c>
      <c r="X74" s="99"/>
      <c r="Y74" s="100"/>
      <c r="Z74" s="99"/>
      <c r="AA74" s="100"/>
      <c r="AB74" s="99">
        <v>5000000</v>
      </c>
      <c r="AC74" s="101">
        <v>5000000</v>
      </c>
      <c r="AD74" s="99"/>
      <c r="AE74" s="100"/>
      <c r="AF74" s="99"/>
      <c r="AG74" s="100"/>
      <c r="AH74" s="99"/>
      <c r="AI74" s="100"/>
      <c r="AJ74" s="99"/>
      <c r="AK74" s="100"/>
      <c r="AL74" s="99"/>
      <c r="AM74" s="100"/>
      <c r="AN74" s="99"/>
      <c r="AO74" s="100"/>
      <c r="AP74" s="99">
        <f>+X74+Z74+AB74+AD74+AF74+AH74+AJ74+AL74+AN74</f>
        <v>5000000</v>
      </c>
      <c r="AQ74" s="100">
        <f>Y74+AA74+AC74+AE74+AG74+AI74+AK74+AM74+AO74</f>
        <v>5000000</v>
      </c>
      <c r="AR74" s="109"/>
      <c r="AS74" s="109"/>
      <c r="AT74" s="192">
        <v>5625000</v>
      </c>
      <c r="AU74" s="109"/>
      <c r="AV74" s="109"/>
      <c r="AW74" s="109"/>
      <c r="AX74" s="109"/>
      <c r="AY74" s="109"/>
      <c r="AZ74" s="109"/>
      <c r="BA74" s="109">
        <f>SUM(AR74:AY74)+AZ74</f>
        <v>5625000</v>
      </c>
      <c r="BB74" s="192"/>
      <c r="BC74" s="192"/>
      <c r="BD74" s="192">
        <v>2500000</v>
      </c>
      <c r="BE74" s="192"/>
      <c r="BF74" s="192"/>
      <c r="BG74" s="192"/>
      <c r="BH74" s="192"/>
      <c r="BI74" s="192"/>
      <c r="BJ74" s="192"/>
      <c r="BK74" s="192">
        <f>SUM(BB74:BJ74)</f>
        <v>2500000</v>
      </c>
      <c r="BL74" s="109"/>
      <c r="BM74" s="109"/>
      <c r="BN74" s="109">
        <v>1000000</v>
      </c>
      <c r="BO74" s="109"/>
      <c r="BP74" s="109"/>
      <c r="BQ74" s="109"/>
      <c r="BR74" s="109"/>
      <c r="BS74" s="109"/>
      <c r="BT74" s="109"/>
      <c r="BU74" s="109">
        <f>SUM(BL74:BT74)</f>
        <v>1000000</v>
      </c>
      <c r="BV74" s="103">
        <f t="shared" si="34"/>
        <v>18250000</v>
      </c>
    </row>
    <row r="75" spans="1:74" ht="21" customHeight="1" x14ac:dyDescent="0.2">
      <c r="A75" s="84"/>
      <c r="B75" s="84"/>
      <c r="C75" s="173"/>
      <c r="D75" s="56">
        <v>3</v>
      </c>
      <c r="E75" s="170" t="s">
        <v>187</v>
      </c>
      <c r="F75" s="58"/>
      <c r="G75" s="59"/>
      <c r="H75" s="59"/>
      <c r="I75" s="60"/>
      <c r="J75" s="61"/>
      <c r="K75" s="61"/>
      <c r="L75" s="62"/>
      <c r="M75" s="60"/>
      <c r="N75" s="63"/>
      <c r="O75" s="61"/>
      <c r="P75" s="61"/>
      <c r="Q75" s="64"/>
      <c r="R75" s="61"/>
      <c r="S75" s="61"/>
      <c r="T75" s="60"/>
      <c r="U75" s="171"/>
      <c r="V75" s="60"/>
      <c r="W75" s="60"/>
      <c r="X75" s="66">
        <f t="shared" ref="X75:AO75" si="39">X76+X79+X81</f>
        <v>0</v>
      </c>
      <c r="Y75" s="66">
        <f t="shared" si="39"/>
        <v>0</v>
      </c>
      <c r="Z75" s="66">
        <f t="shared" si="39"/>
        <v>312360000</v>
      </c>
      <c r="AA75" s="66">
        <f t="shared" si="39"/>
        <v>380765559</v>
      </c>
      <c r="AB75" s="66">
        <f t="shared" si="39"/>
        <v>336000000</v>
      </c>
      <c r="AC75" s="66">
        <f t="shared" si="39"/>
        <v>345140678</v>
      </c>
      <c r="AD75" s="66">
        <f t="shared" si="39"/>
        <v>0</v>
      </c>
      <c r="AE75" s="66">
        <f t="shared" si="39"/>
        <v>0</v>
      </c>
      <c r="AF75" s="66">
        <f t="shared" si="39"/>
        <v>0</v>
      </c>
      <c r="AG75" s="66">
        <f t="shared" si="39"/>
        <v>0</v>
      </c>
      <c r="AH75" s="66">
        <f t="shared" si="39"/>
        <v>0</v>
      </c>
      <c r="AI75" s="66">
        <f t="shared" si="39"/>
        <v>0</v>
      </c>
      <c r="AJ75" s="66">
        <f t="shared" si="39"/>
        <v>0</v>
      </c>
      <c r="AK75" s="66">
        <f t="shared" si="39"/>
        <v>0</v>
      </c>
      <c r="AL75" s="66">
        <f t="shared" si="39"/>
        <v>0</v>
      </c>
      <c r="AM75" s="66">
        <f t="shared" si="39"/>
        <v>0</v>
      </c>
      <c r="AN75" s="66">
        <f t="shared" si="39"/>
        <v>3000000000</v>
      </c>
      <c r="AO75" s="66">
        <f t="shared" si="39"/>
        <v>0</v>
      </c>
      <c r="AP75" s="67">
        <f>AP76+AP79+AP81</f>
        <v>3648360000</v>
      </c>
      <c r="AQ75" s="66">
        <f>AQ76+AQ79+AQ81</f>
        <v>725906237</v>
      </c>
      <c r="AR75" s="68"/>
      <c r="AS75" s="68"/>
      <c r="AT75" s="68"/>
      <c r="AU75" s="68"/>
      <c r="AV75" s="68"/>
      <c r="AW75" s="68"/>
      <c r="AX75" s="68"/>
      <c r="AY75" s="68"/>
      <c r="AZ75" s="68"/>
      <c r="BA75" s="68">
        <f>BA76+BA79+BA81</f>
        <v>526620800</v>
      </c>
      <c r="BB75" s="68"/>
      <c r="BC75" s="68"/>
      <c r="BD75" s="68"/>
      <c r="BE75" s="68"/>
      <c r="BF75" s="68"/>
      <c r="BG75" s="68"/>
      <c r="BH75" s="68"/>
      <c r="BI75" s="68"/>
      <c r="BJ75" s="68"/>
      <c r="BK75" s="68">
        <f>BK76+BK79+BK81</f>
        <v>448219424</v>
      </c>
      <c r="BL75" s="68"/>
      <c r="BM75" s="68"/>
      <c r="BN75" s="68"/>
      <c r="BO75" s="68"/>
      <c r="BP75" s="68"/>
      <c r="BQ75" s="68"/>
      <c r="BR75" s="68"/>
      <c r="BS75" s="68"/>
      <c r="BT75" s="68"/>
      <c r="BU75" s="68">
        <f>BU76+BU79+BU81</f>
        <v>440166007</v>
      </c>
      <c r="BV75" s="172">
        <f t="shared" si="34"/>
        <v>1415006231</v>
      </c>
    </row>
    <row r="76" spans="1:74" ht="21" customHeight="1" x14ac:dyDescent="0.2">
      <c r="A76" s="84"/>
      <c r="B76" s="84"/>
      <c r="C76" s="173"/>
      <c r="D76" s="169"/>
      <c r="E76" s="71">
        <v>11</v>
      </c>
      <c r="F76" s="72" t="s">
        <v>188</v>
      </c>
      <c r="G76" s="124"/>
      <c r="H76" s="75"/>
      <c r="I76" s="74"/>
      <c r="J76" s="75"/>
      <c r="K76" s="75"/>
      <c r="L76" s="74"/>
      <c r="M76" s="76"/>
      <c r="N76" s="77"/>
      <c r="O76" s="75"/>
      <c r="P76" s="75"/>
      <c r="Q76" s="78"/>
      <c r="R76" s="75"/>
      <c r="S76" s="75"/>
      <c r="T76" s="76"/>
      <c r="U76" s="174"/>
      <c r="V76" s="76"/>
      <c r="W76" s="76"/>
      <c r="X76" s="80">
        <f t="shared" ref="X76:AO76" si="40">SUM(X77:X78)</f>
        <v>0</v>
      </c>
      <c r="Y76" s="80">
        <f t="shared" si="40"/>
        <v>0</v>
      </c>
      <c r="Z76" s="80">
        <f t="shared" si="40"/>
        <v>20000000</v>
      </c>
      <c r="AA76" s="80">
        <f t="shared" si="40"/>
        <v>20000000</v>
      </c>
      <c r="AB76" s="80">
        <f t="shared" si="40"/>
        <v>40000000</v>
      </c>
      <c r="AC76" s="80">
        <f t="shared" si="40"/>
        <v>40000000</v>
      </c>
      <c r="AD76" s="80">
        <f t="shared" si="40"/>
        <v>0</v>
      </c>
      <c r="AE76" s="80">
        <f t="shared" si="40"/>
        <v>0</v>
      </c>
      <c r="AF76" s="80">
        <f t="shared" si="40"/>
        <v>0</v>
      </c>
      <c r="AG76" s="80">
        <f t="shared" si="40"/>
        <v>0</v>
      </c>
      <c r="AH76" s="80">
        <f t="shared" si="40"/>
        <v>0</v>
      </c>
      <c r="AI76" s="80">
        <f t="shared" si="40"/>
        <v>0</v>
      </c>
      <c r="AJ76" s="80">
        <f t="shared" si="40"/>
        <v>0</v>
      </c>
      <c r="AK76" s="80">
        <f t="shared" si="40"/>
        <v>0</v>
      </c>
      <c r="AL76" s="80">
        <f t="shared" si="40"/>
        <v>0</v>
      </c>
      <c r="AM76" s="80">
        <f t="shared" si="40"/>
        <v>0</v>
      </c>
      <c r="AN76" s="80">
        <f t="shared" si="40"/>
        <v>1000000000</v>
      </c>
      <c r="AO76" s="80">
        <f t="shared" si="40"/>
        <v>0</v>
      </c>
      <c r="AP76" s="81">
        <f>SUM(AP77:AP78)</f>
        <v>1060000000</v>
      </c>
      <c r="AQ76" s="80">
        <f>SUM(AQ77:AQ78)</f>
        <v>60000000</v>
      </c>
      <c r="AR76" s="82"/>
      <c r="AS76" s="82"/>
      <c r="AT76" s="82"/>
      <c r="AU76" s="82"/>
      <c r="AV76" s="82"/>
      <c r="AW76" s="82"/>
      <c r="AX76" s="82"/>
      <c r="AY76" s="82"/>
      <c r="AZ76" s="82"/>
      <c r="BA76" s="82">
        <f>SUM(BA77:BA78)</f>
        <v>50000000</v>
      </c>
      <c r="BB76" s="82"/>
      <c r="BC76" s="82"/>
      <c r="BD76" s="82"/>
      <c r="BE76" s="82"/>
      <c r="BF76" s="82"/>
      <c r="BG76" s="82"/>
      <c r="BH76" s="82"/>
      <c r="BI76" s="82"/>
      <c r="BJ76" s="82"/>
      <c r="BK76" s="82">
        <f>SUM(BK77:BK78)</f>
        <v>20000000</v>
      </c>
      <c r="BL76" s="82"/>
      <c r="BM76" s="82"/>
      <c r="BN76" s="82"/>
      <c r="BO76" s="82"/>
      <c r="BP76" s="82"/>
      <c r="BQ76" s="82"/>
      <c r="BR76" s="82"/>
      <c r="BS76" s="82"/>
      <c r="BT76" s="82"/>
      <c r="BU76" s="82">
        <f>SUM(BU77:BU78)</f>
        <v>10000000</v>
      </c>
      <c r="BV76" s="83">
        <f t="shared" si="34"/>
        <v>80000000</v>
      </c>
    </row>
    <row r="77" spans="1:74" ht="106.5" customHeight="1" x14ac:dyDescent="0.2">
      <c r="A77" s="105">
        <v>52</v>
      </c>
      <c r="B77" s="84">
        <v>2</v>
      </c>
      <c r="C77" s="173"/>
      <c r="D77" s="173"/>
      <c r="E77" s="85">
        <v>8</v>
      </c>
      <c r="F77" s="112" t="s">
        <v>189</v>
      </c>
      <c r="G77" s="113">
        <v>665</v>
      </c>
      <c r="H77" s="113">
        <v>798</v>
      </c>
      <c r="I77" s="89">
        <v>50</v>
      </c>
      <c r="J77" s="90" t="s">
        <v>190</v>
      </c>
      <c r="K77" s="86" t="s">
        <v>191</v>
      </c>
      <c r="L77" s="91" t="s">
        <v>111</v>
      </c>
      <c r="M77" s="91">
        <v>13</v>
      </c>
      <c r="N77" s="238" t="s">
        <v>58</v>
      </c>
      <c r="O77" s="93" t="s">
        <v>39</v>
      </c>
      <c r="P77" s="93">
        <v>15</v>
      </c>
      <c r="Q77" s="239">
        <v>2</v>
      </c>
      <c r="R77" s="240">
        <v>5</v>
      </c>
      <c r="S77" s="240">
        <v>5</v>
      </c>
      <c r="T77" s="240">
        <v>3</v>
      </c>
      <c r="U77" s="241">
        <f>AP77/AP76</f>
        <v>1</v>
      </c>
      <c r="V77" s="94">
        <v>8</v>
      </c>
      <c r="W77" s="242" t="s">
        <v>121</v>
      </c>
      <c r="X77" s="243"/>
      <c r="Y77" s="100"/>
      <c r="Z77" s="243">
        <v>20000000</v>
      </c>
      <c r="AA77" s="142">
        <v>20000000</v>
      </c>
      <c r="AB77" s="243">
        <v>40000000</v>
      </c>
      <c r="AC77" s="100">
        <v>40000000</v>
      </c>
      <c r="AD77" s="243"/>
      <c r="AE77" s="100"/>
      <c r="AF77" s="243"/>
      <c r="AG77" s="100"/>
      <c r="AH77" s="243"/>
      <c r="AI77" s="100"/>
      <c r="AJ77" s="243"/>
      <c r="AK77" s="100"/>
      <c r="AL77" s="243"/>
      <c r="AM77" s="100"/>
      <c r="AN77" s="243">
        <v>1000000000</v>
      </c>
      <c r="AO77" s="100"/>
      <c r="AP77" s="99">
        <f>+X77+Z77+AB77+AD77+AF77+AH77+AJ77+AL77+AN77</f>
        <v>1060000000</v>
      </c>
      <c r="AQ77" s="100">
        <f>Y77+AA77+AC77+AE77+AG77+AI77+AK77+AM77+AO77</f>
        <v>60000000</v>
      </c>
      <c r="AR77" s="109"/>
      <c r="AS77" s="109"/>
      <c r="AT77" s="192">
        <v>40000000</v>
      </c>
      <c r="AU77" s="109"/>
      <c r="AV77" s="109"/>
      <c r="AW77" s="109"/>
      <c r="AX77" s="109"/>
      <c r="AY77" s="109"/>
      <c r="AZ77" s="109"/>
      <c r="BA77" s="109">
        <f>SUM(AR77:AY77)+AZ77</f>
        <v>40000000</v>
      </c>
      <c r="BB77" s="192"/>
      <c r="BC77" s="192"/>
      <c r="BD77" s="192">
        <v>10000000</v>
      </c>
      <c r="BE77" s="192"/>
      <c r="BF77" s="192"/>
      <c r="BG77" s="192"/>
      <c r="BH77" s="192"/>
      <c r="BI77" s="192"/>
      <c r="BJ77" s="192"/>
      <c r="BK77" s="192">
        <f>SUM(BB77:BJ77)</f>
        <v>10000000</v>
      </c>
      <c r="BL77" s="109"/>
      <c r="BM77" s="109"/>
      <c r="BN77" s="109">
        <v>5000000</v>
      </c>
      <c r="BO77" s="109"/>
      <c r="BP77" s="109"/>
      <c r="BQ77" s="109"/>
      <c r="BR77" s="109"/>
      <c r="BS77" s="109"/>
      <c r="BT77" s="109"/>
      <c r="BU77" s="109">
        <f>SUM(BL77:BT77)</f>
        <v>5000000</v>
      </c>
      <c r="BV77" s="103">
        <f t="shared" si="34"/>
        <v>110000000</v>
      </c>
    </row>
    <row r="78" spans="1:74" ht="57.75" customHeight="1" x14ac:dyDescent="0.2">
      <c r="A78" s="84">
        <v>53</v>
      </c>
      <c r="B78" s="84">
        <v>2</v>
      </c>
      <c r="C78" s="173"/>
      <c r="D78" s="173"/>
      <c r="E78" s="110"/>
      <c r="F78" s="114"/>
      <c r="G78" s="116"/>
      <c r="H78" s="116"/>
      <c r="I78" s="89">
        <v>51</v>
      </c>
      <c r="J78" s="90" t="s">
        <v>192</v>
      </c>
      <c r="K78" s="86" t="s">
        <v>193</v>
      </c>
      <c r="L78" s="91" t="s">
        <v>111</v>
      </c>
      <c r="M78" s="91">
        <v>13</v>
      </c>
      <c r="N78" s="145" t="s">
        <v>44</v>
      </c>
      <c r="O78" s="108">
        <v>0</v>
      </c>
      <c r="P78" s="108">
        <v>1</v>
      </c>
      <c r="Q78" s="108">
        <v>0</v>
      </c>
      <c r="R78" s="108">
        <v>1</v>
      </c>
      <c r="S78" s="108">
        <v>1</v>
      </c>
      <c r="T78" s="108">
        <v>1</v>
      </c>
      <c r="U78" s="191"/>
      <c r="V78" s="94">
        <v>12</v>
      </c>
      <c r="W78" s="91" t="s">
        <v>59</v>
      </c>
      <c r="X78" s="99"/>
      <c r="Y78" s="100"/>
      <c r="Z78" s="99"/>
      <c r="AA78" s="100"/>
      <c r="AB78" s="99"/>
      <c r="AC78" s="100"/>
      <c r="AD78" s="99"/>
      <c r="AE78" s="100"/>
      <c r="AF78" s="99"/>
      <c r="AG78" s="100"/>
      <c r="AH78" s="99"/>
      <c r="AI78" s="100"/>
      <c r="AJ78" s="99"/>
      <c r="AK78" s="100"/>
      <c r="AL78" s="99"/>
      <c r="AM78" s="100"/>
      <c r="AN78" s="99"/>
      <c r="AO78" s="100"/>
      <c r="AP78" s="99">
        <f>+X78+Z78+AB78+AD78+AF78+AH78+AJ78+AL78+AN78</f>
        <v>0</v>
      </c>
      <c r="AQ78" s="100">
        <f>Y78+AA78+AC78+AE78+AG78+AI78+AK78+AM78+AO78</f>
        <v>0</v>
      </c>
      <c r="AR78" s="205"/>
      <c r="AS78" s="205"/>
      <c r="AT78" s="192">
        <v>10000000</v>
      </c>
      <c r="AU78" s="109"/>
      <c r="AV78" s="205"/>
      <c r="AW78" s="205"/>
      <c r="AX78" s="205"/>
      <c r="AY78" s="205"/>
      <c r="AZ78" s="205"/>
      <c r="BA78" s="109">
        <f>SUM(AR78:AY78)+AZ78</f>
        <v>10000000</v>
      </c>
      <c r="BB78" s="192"/>
      <c r="BC78" s="192"/>
      <c r="BD78" s="192">
        <v>10000000</v>
      </c>
      <c r="BE78" s="192"/>
      <c r="BF78" s="192"/>
      <c r="BG78" s="192"/>
      <c r="BH78" s="192"/>
      <c r="BI78" s="192"/>
      <c r="BJ78" s="192"/>
      <c r="BK78" s="192">
        <f>SUM(BB78:BJ78)</f>
        <v>10000000</v>
      </c>
      <c r="BL78" s="109"/>
      <c r="BM78" s="109"/>
      <c r="BN78" s="109">
        <v>5000000</v>
      </c>
      <c r="BO78" s="109"/>
      <c r="BP78" s="109"/>
      <c r="BQ78" s="109"/>
      <c r="BR78" s="109"/>
      <c r="BS78" s="109"/>
      <c r="BT78" s="109"/>
      <c r="BU78" s="109">
        <f>SUM(BL78:BT78)</f>
        <v>5000000</v>
      </c>
      <c r="BV78" s="103">
        <f t="shared" si="34"/>
        <v>50000000</v>
      </c>
    </row>
    <row r="79" spans="1:74" ht="26.25" customHeight="1" x14ac:dyDescent="0.2">
      <c r="A79" s="84"/>
      <c r="B79" s="84"/>
      <c r="C79" s="173"/>
      <c r="D79" s="173"/>
      <c r="E79" s="71">
        <v>12</v>
      </c>
      <c r="F79" s="72" t="s">
        <v>194</v>
      </c>
      <c r="G79" s="125"/>
      <c r="H79" s="125"/>
      <c r="I79" s="74"/>
      <c r="J79" s="125"/>
      <c r="K79" s="125"/>
      <c r="L79" s="74"/>
      <c r="M79" s="74"/>
      <c r="N79" s="126"/>
      <c r="O79" s="125"/>
      <c r="P79" s="125"/>
      <c r="Q79" s="127"/>
      <c r="R79" s="125"/>
      <c r="S79" s="125"/>
      <c r="T79" s="74"/>
      <c r="U79" s="128"/>
      <c r="V79" s="74"/>
      <c r="W79" s="74"/>
      <c r="X79" s="129">
        <f t="shared" ref="X79:AO79" si="41">SUM(X80)</f>
        <v>0</v>
      </c>
      <c r="Y79" s="129">
        <f t="shared" si="41"/>
        <v>0</v>
      </c>
      <c r="Z79" s="129">
        <f t="shared" si="41"/>
        <v>0</v>
      </c>
      <c r="AA79" s="129">
        <f t="shared" si="41"/>
        <v>63000000</v>
      </c>
      <c r="AB79" s="129">
        <f t="shared" si="41"/>
        <v>80000000</v>
      </c>
      <c r="AC79" s="129">
        <f t="shared" si="41"/>
        <v>17000000</v>
      </c>
      <c r="AD79" s="129">
        <f t="shared" si="41"/>
        <v>0</v>
      </c>
      <c r="AE79" s="129">
        <f t="shared" si="41"/>
        <v>0</v>
      </c>
      <c r="AF79" s="129">
        <f t="shared" si="41"/>
        <v>0</v>
      </c>
      <c r="AG79" s="129">
        <f t="shared" si="41"/>
        <v>0</v>
      </c>
      <c r="AH79" s="129">
        <f t="shared" si="41"/>
        <v>0</v>
      </c>
      <c r="AI79" s="129">
        <f t="shared" si="41"/>
        <v>0</v>
      </c>
      <c r="AJ79" s="129">
        <f t="shared" si="41"/>
        <v>0</v>
      </c>
      <c r="AK79" s="129">
        <f t="shared" si="41"/>
        <v>0</v>
      </c>
      <c r="AL79" s="129">
        <f t="shared" si="41"/>
        <v>0</v>
      </c>
      <c r="AM79" s="129">
        <f t="shared" si="41"/>
        <v>0</v>
      </c>
      <c r="AN79" s="129">
        <f t="shared" si="41"/>
        <v>2000000000</v>
      </c>
      <c r="AO79" s="129">
        <f t="shared" si="41"/>
        <v>0</v>
      </c>
      <c r="AP79" s="129">
        <f>SUM(AP80)</f>
        <v>2080000000</v>
      </c>
      <c r="AQ79" s="130">
        <f>SUM(AQ80)</f>
        <v>80000000</v>
      </c>
      <c r="AR79" s="131"/>
      <c r="AS79" s="131"/>
      <c r="AT79" s="131"/>
      <c r="AU79" s="131"/>
      <c r="AV79" s="131"/>
      <c r="AW79" s="131"/>
      <c r="AX79" s="131"/>
      <c r="AY79" s="131"/>
      <c r="AZ79" s="131"/>
      <c r="BA79" s="131">
        <f>SUM(BA80)</f>
        <v>90000000</v>
      </c>
      <c r="BB79" s="131"/>
      <c r="BC79" s="131"/>
      <c r="BD79" s="131"/>
      <c r="BE79" s="131"/>
      <c r="BF79" s="131"/>
      <c r="BG79" s="131"/>
      <c r="BH79" s="131"/>
      <c r="BI79" s="131"/>
      <c r="BJ79" s="131"/>
      <c r="BK79" s="131">
        <f>SUM(BK80)</f>
        <v>30000000</v>
      </c>
      <c r="BL79" s="131"/>
      <c r="BM79" s="131"/>
      <c r="BN79" s="131"/>
      <c r="BO79" s="131"/>
      <c r="BP79" s="131"/>
      <c r="BQ79" s="131"/>
      <c r="BR79" s="131"/>
      <c r="BS79" s="131"/>
      <c r="BT79" s="131"/>
      <c r="BU79" s="131">
        <f>SUM(BU80)</f>
        <v>20000000</v>
      </c>
      <c r="BV79" s="132">
        <f t="shared" si="34"/>
        <v>140000000</v>
      </c>
    </row>
    <row r="80" spans="1:74" ht="71.25" x14ac:dyDescent="0.2">
      <c r="A80" s="105">
        <v>54</v>
      </c>
      <c r="B80" s="84">
        <v>2</v>
      </c>
      <c r="C80" s="173"/>
      <c r="D80" s="173"/>
      <c r="E80" s="111">
        <v>8</v>
      </c>
      <c r="F80" s="112" t="s">
        <v>189</v>
      </c>
      <c r="G80" s="149">
        <v>665</v>
      </c>
      <c r="H80" s="149">
        <v>798</v>
      </c>
      <c r="I80" s="89">
        <v>52</v>
      </c>
      <c r="J80" s="90" t="s">
        <v>195</v>
      </c>
      <c r="K80" s="86" t="s">
        <v>196</v>
      </c>
      <c r="L80" s="91" t="s">
        <v>111</v>
      </c>
      <c r="M80" s="91">
        <v>13</v>
      </c>
      <c r="N80" s="238" t="s">
        <v>44</v>
      </c>
      <c r="O80" s="93">
        <v>0</v>
      </c>
      <c r="P80" s="93">
        <v>3</v>
      </c>
      <c r="Q80" s="239">
        <v>3</v>
      </c>
      <c r="R80" s="240">
        <v>3</v>
      </c>
      <c r="S80" s="240">
        <v>3</v>
      </c>
      <c r="T80" s="240">
        <v>3</v>
      </c>
      <c r="U80" s="241">
        <f>AP80/AP79</f>
        <v>1</v>
      </c>
      <c r="V80" s="95">
        <v>8</v>
      </c>
      <c r="W80" s="190" t="s">
        <v>121</v>
      </c>
      <c r="X80" s="243"/>
      <c r="Y80" s="100"/>
      <c r="Z80" s="243"/>
      <c r="AA80" s="142">
        <v>63000000</v>
      </c>
      <c r="AB80" s="243">
        <v>80000000</v>
      </c>
      <c r="AC80" s="100">
        <v>17000000</v>
      </c>
      <c r="AD80" s="243"/>
      <c r="AE80" s="100"/>
      <c r="AF80" s="243"/>
      <c r="AG80" s="100"/>
      <c r="AH80" s="243"/>
      <c r="AI80" s="100"/>
      <c r="AJ80" s="243"/>
      <c r="AK80" s="100"/>
      <c r="AL80" s="243"/>
      <c r="AM80" s="100"/>
      <c r="AN80" s="243">
        <v>2000000000</v>
      </c>
      <c r="AO80" s="100"/>
      <c r="AP80" s="99">
        <f>+X80+Z80+AB80+AD80+AF80+AH80+AJ80+AL80+AN80</f>
        <v>2080000000</v>
      </c>
      <c r="AQ80" s="100">
        <f>Y80+AA80+AC80+AE80+AG80+AI80+AK80+AM80+AO80</f>
        <v>80000000</v>
      </c>
      <c r="AR80" s="109"/>
      <c r="AS80" s="109"/>
      <c r="AT80" s="109">
        <v>90000000</v>
      </c>
      <c r="AU80" s="109"/>
      <c r="AV80" s="109"/>
      <c r="AW80" s="109"/>
      <c r="AX80" s="109"/>
      <c r="AY80" s="109"/>
      <c r="AZ80" s="109"/>
      <c r="BA80" s="109">
        <f>SUM(AR80:AY80)+AZ80</f>
        <v>90000000</v>
      </c>
      <c r="BB80" s="192"/>
      <c r="BC80" s="192"/>
      <c r="BD80" s="192">
        <v>30000000</v>
      </c>
      <c r="BE80" s="192"/>
      <c r="BF80" s="192"/>
      <c r="BG80" s="192"/>
      <c r="BH80" s="192"/>
      <c r="BI80" s="192"/>
      <c r="BJ80" s="192"/>
      <c r="BK80" s="192">
        <f>SUM(BB80:BJ80)</f>
        <v>30000000</v>
      </c>
      <c r="BL80" s="109"/>
      <c r="BM80" s="109"/>
      <c r="BN80" s="109">
        <v>20000000</v>
      </c>
      <c r="BO80" s="109"/>
      <c r="BP80" s="109"/>
      <c r="BQ80" s="109"/>
      <c r="BR80" s="109"/>
      <c r="BS80" s="109"/>
      <c r="BT80" s="109"/>
      <c r="BU80" s="109">
        <f>SUM(BL80:BT80)</f>
        <v>20000000</v>
      </c>
      <c r="BV80" s="103">
        <f t="shared" si="34"/>
        <v>280000000</v>
      </c>
    </row>
    <row r="81" spans="1:76" ht="24.75" customHeight="1" x14ac:dyDescent="0.2">
      <c r="A81" s="105"/>
      <c r="B81" s="84"/>
      <c r="C81" s="173"/>
      <c r="D81" s="173"/>
      <c r="E81" s="71">
        <v>13</v>
      </c>
      <c r="F81" s="72" t="s">
        <v>197</v>
      </c>
      <c r="G81" s="74"/>
      <c r="H81" s="125"/>
      <c r="I81" s="74"/>
      <c r="J81" s="125"/>
      <c r="K81" s="125"/>
      <c r="L81" s="74"/>
      <c r="M81" s="74"/>
      <c r="N81" s="126"/>
      <c r="O81" s="125"/>
      <c r="P81" s="125"/>
      <c r="Q81" s="127"/>
      <c r="R81" s="125"/>
      <c r="S81" s="125"/>
      <c r="T81" s="74"/>
      <c r="U81" s="128"/>
      <c r="V81" s="74"/>
      <c r="W81" s="74"/>
      <c r="X81" s="129">
        <f t="shared" ref="X81:AO81" si="42">SUM(X82)</f>
        <v>0</v>
      </c>
      <c r="Y81" s="129">
        <f t="shared" si="42"/>
        <v>0</v>
      </c>
      <c r="Z81" s="129">
        <f t="shared" si="42"/>
        <v>292360000</v>
      </c>
      <c r="AA81" s="129">
        <f t="shared" si="42"/>
        <v>297765559</v>
      </c>
      <c r="AB81" s="129">
        <f t="shared" si="42"/>
        <v>216000000</v>
      </c>
      <c r="AC81" s="129">
        <f t="shared" si="42"/>
        <v>288140678</v>
      </c>
      <c r="AD81" s="129">
        <f t="shared" si="42"/>
        <v>0</v>
      </c>
      <c r="AE81" s="129">
        <f t="shared" si="42"/>
        <v>0</v>
      </c>
      <c r="AF81" s="129">
        <f t="shared" si="42"/>
        <v>0</v>
      </c>
      <c r="AG81" s="129">
        <f t="shared" si="42"/>
        <v>0</v>
      </c>
      <c r="AH81" s="129">
        <f t="shared" si="42"/>
        <v>0</v>
      </c>
      <c r="AI81" s="129">
        <f t="shared" si="42"/>
        <v>0</v>
      </c>
      <c r="AJ81" s="129">
        <f t="shared" si="42"/>
        <v>0</v>
      </c>
      <c r="AK81" s="129">
        <f t="shared" si="42"/>
        <v>0</v>
      </c>
      <c r="AL81" s="129">
        <f t="shared" si="42"/>
        <v>0</v>
      </c>
      <c r="AM81" s="129">
        <f t="shared" si="42"/>
        <v>0</v>
      </c>
      <c r="AN81" s="129">
        <f t="shared" si="42"/>
        <v>0</v>
      </c>
      <c r="AO81" s="129">
        <f t="shared" si="42"/>
        <v>0</v>
      </c>
      <c r="AP81" s="130">
        <f>SUM(AP82)</f>
        <v>508360000</v>
      </c>
      <c r="AQ81" s="129">
        <f>SUM(AQ82)</f>
        <v>585906237</v>
      </c>
      <c r="AR81" s="131"/>
      <c r="AS81" s="131"/>
      <c r="AT81" s="131"/>
      <c r="AU81" s="131"/>
      <c r="AV81" s="131"/>
      <c r="AW81" s="131"/>
      <c r="AX81" s="131"/>
      <c r="AY81" s="131"/>
      <c r="AZ81" s="131"/>
      <c r="BA81" s="131">
        <f>SUM(BA82)</f>
        <v>386620800</v>
      </c>
      <c r="BB81" s="131"/>
      <c r="BC81" s="131"/>
      <c r="BD81" s="131"/>
      <c r="BE81" s="131"/>
      <c r="BF81" s="131"/>
      <c r="BG81" s="131"/>
      <c r="BH81" s="131"/>
      <c r="BI81" s="131"/>
      <c r="BJ81" s="131"/>
      <c r="BK81" s="131">
        <f>SUM(BK82)</f>
        <v>398219424</v>
      </c>
      <c r="BL81" s="131"/>
      <c r="BM81" s="131"/>
      <c r="BN81" s="131"/>
      <c r="BO81" s="131"/>
      <c r="BP81" s="131"/>
      <c r="BQ81" s="131"/>
      <c r="BR81" s="131"/>
      <c r="BS81" s="131"/>
      <c r="BT81" s="131"/>
      <c r="BU81" s="131">
        <f>SUM(BU82)</f>
        <v>410166007</v>
      </c>
      <c r="BV81" s="132">
        <f t="shared" si="34"/>
        <v>1195006231</v>
      </c>
    </row>
    <row r="82" spans="1:76" ht="76.5" customHeight="1" x14ac:dyDescent="0.2">
      <c r="A82" s="84">
        <v>55</v>
      </c>
      <c r="B82" s="84">
        <v>2</v>
      </c>
      <c r="C82" s="173"/>
      <c r="D82" s="237"/>
      <c r="E82" s="110">
        <v>8</v>
      </c>
      <c r="F82" s="112" t="s">
        <v>189</v>
      </c>
      <c r="G82" s="149">
        <v>665</v>
      </c>
      <c r="H82" s="149">
        <v>798</v>
      </c>
      <c r="I82" s="89">
        <v>53</v>
      </c>
      <c r="J82" s="90" t="s">
        <v>198</v>
      </c>
      <c r="K82" s="86" t="s">
        <v>199</v>
      </c>
      <c r="L82" s="91" t="s">
        <v>111</v>
      </c>
      <c r="M82" s="91">
        <v>13</v>
      </c>
      <c r="N82" s="238" t="s">
        <v>44</v>
      </c>
      <c r="O82" s="93">
        <v>0</v>
      </c>
      <c r="P82" s="93">
        <v>1</v>
      </c>
      <c r="Q82" s="239">
        <v>1</v>
      </c>
      <c r="R82" s="240">
        <v>1</v>
      </c>
      <c r="S82" s="240">
        <v>1</v>
      </c>
      <c r="T82" s="240">
        <v>1</v>
      </c>
      <c r="U82" s="241">
        <f>AP82/AP81</f>
        <v>1</v>
      </c>
      <c r="V82" s="95">
        <v>8</v>
      </c>
      <c r="W82" s="190" t="s">
        <v>121</v>
      </c>
      <c r="X82" s="243"/>
      <c r="Y82" s="100"/>
      <c r="Z82" s="243">
        <v>292360000</v>
      </c>
      <c r="AA82" s="101">
        <v>297765559</v>
      </c>
      <c r="AB82" s="243">
        <f>83000000+133000000</f>
        <v>216000000</v>
      </c>
      <c r="AC82" s="100">
        <v>288140678</v>
      </c>
      <c r="AD82" s="243"/>
      <c r="AE82" s="100"/>
      <c r="AF82" s="243"/>
      <c r="AG82" s="100"/>
      <c r="AH82" s="243"/>
      <c r="AI82" s="100"/>
      <c r="AJ82" s="243"/>
      <c r="AK82" s="100"/>
      <c r="AL82" s="243"/>
      <c r="AM82" s="100"/>
      <c r="AN82" s="243"/>
      <c r="AO82" s="100"/>
      <c r="AP82" s="99">
        <f>+X82+Z82+AB82+AD82+AF82+AH82+AJ82+AL82+AN82</f>
        <v>508360000</v>
      </c>
      <c r="AQ82" s="100">
        <f>Y82+AA82+AC82+AE82+AG82+AI82+AK82+AM82+AO82</f>
        <v>585906237</v>
      </c>
      <c r="AR82" s="109"/>
      <c r="AS82" s="192">
        <v>386620800</v>
      </c>
      <c r="AT82" s="109"/>
      <c r="AU82" s="109"/>
      <c r="AV82" s="109"/>
      <c r="AW82" s="109"/>
      <c r="AX82" s="109"/>
      <c r="AY82" s="109"/>
      <c r="AZ82" s="109"/>
      <c r="BA82" s="109">
        <f>SUM(AR82:AY82)+AZ82</f>
        <v>386620800</v>
      </c>
      <c r="BB82" s="192"/>
      <c r="BC82" s="192"/>
      <c r="BD82" s="192">
        <v>398219424</v>
      </c>
      <c r="BE82" s="192"/>
      <c r="BF82" s="192"/>
      <c r="BG82" s="192"/>
      <c r="BH82" s="192"/>
      <c r="BI82" s="192"/>
      <c r="BJ82" s="192"/>
      <c r="BK82" s="192">
        <f>SUM(BB82:BJ82)</f>
        <v>398219424</v>
      </c>
      <c r="BL82" s="109"/>
      <c r="BM82" s="109"/>
      <c r="BN82" s="109">
        <v>410166007</v>
      </c>
      <c r="BO82" s="109"/>
      <c r="BP82" s="109"/>
      <c r="BQ82" s="109"/>
      <c r="BR82" s="109"/>
      <c r="BS82" s="109"/>
      <c r="BT82" s="109"/>
      <c r="BU82" s="109">
        <f>SUM(BL82:BT82)</f>
        <v>410166007</v>
      </c>
      <c r="BV82" s="103">
        <f t="shared" si="34"/>
        <v>2390012462</v>
      </c>
    </row>
    <row r="83" spans="1:76" s="208" customFormat="1" ht="24.75" customHeight="1" x14ac:dyDescent="0.2">
      <c r="A83" s="199"/>
      <c r="B83" s="199"/>
      <c r="C83" s="173"/>
      <c r="D83" s="56">
        <v>4</v>
      </c>
      <c r="E83" s="170" t="s">
        <v>200</v>
      </c>
      <c r="F83" s="61"/>
      <c r="G83" s="61"/>
      <c r="H83" s="61"/>
      <c r="I83" s="60"/>
      <c r="J83" s="61"/>
      <c r="K83" s="61"/>
      <c r="L83" s="62"/>
      <c r="M83" s="60"/>
      <c r="N83" s="63"/>
      <c r="O83" s="61"/>
      <c r="P83" s="61"/>
      <c r="Q83" s="64"/>
      <c r="R83" s="61"/>
      <c r="S83" s="61"/>
      <c r="T83" s="60"/>
      <c r="U83" s="171"/>
      <c r="V83" s="60"/>
      <c r="W83" s="60"/>
      <c r="X83" s="66">
        <f t="shared" ref="X83:AO83" si="43">X84+X88</f>
        <v>0</v>
      </c>
      <c r="Y83" s="66">
        <f t="shared" si="43"/>
        <v>0</v>
      </c>
      <c r="Z83" s="66">
        <f t="shared" si="43"/>
        <v>7625296341</v>
      </c>
      <c r="AA83" s="66">
        <f t="shared" si="43"/>
        <v>8236643741</v>
      </c>
      <c r="AB83" s="66">
        <f t="shared" si="43"/>
        <v>803293889</v>
      </c>
      <c r="AC83" s="66">
        <f t="shared" si="43"/>
        <v>744891377</v>
      </c>
      <c r="AD83" s="66">
        <f t="shared" si="43"/>
        <v>20519904</v>
      </c>
      <c r="AE83" s="66">
        <f t="shared" si="43"/>
        <v>148519904</v>
      </c>
      <c r="AF83" s="66">
        <f t="shared" si="43"/>
        <v>0</v>
      </c>
      <c r="AG83" s="66">
        <f t="shared" si="43"/>
        <v>0</v>
      </c>
      <c r="AH83" s="66">
        <f t="shared" si="43"/>
        <v>0</v>
      </c>
      <c r="AI83" s="66">
        <f t="shared" si="43"/>
        <v>0</v>
      </c>
      <c r="AJ83" s="66">
        <f t="shared" si="43"/>
        <v>0</v>
      </c>
      <c r="AK83" s="66">
        <f t="shared" si="43"/>
        <v>0</v>
      </c>
      <c r="AL83" s="66">
        <f t="shared" si="43"/>
        <v>0</v>
      </c>
      <c r="AM83" s="66">
        <f t="shared" si="43"/>
        <v>0</v>
      </c>
      <c r="AN83" s="66">
        <f t="shared" si="43"/>
        <v>2400000000</v>
      </c>
      <c r="AO83" s="66">
        <f t="shared" si="43"/>
        <v>0</v>
      </c>
      <c r="AP83" s="67">
        <f>AP84+AP88</f>
        <v>10849110134</v>
      </c>
      <c r="AQ83" s="66">
        <f>AQ84+AQ88</f>
        <v>9130055022</v>
      </c>
      <c r="AR83" s="68"/>
      <c r="AS83" s="68"/>
      <c r="AT83" s="68"/>
      <c r="AU83" s="68"/>
      <c r="AV83" s="68"/>
      <c r="AW83" s="68"/>
      <c r="AX83" s="68"/>
      <c r="AY83" s="68"/>
      <c r="AZ83" s="68"/>
      <c r="BA83" s="68">
        <f>BA84+BA88</f>
        <v>23058719927</v>
      </c>
      <c r="BB83" s="68"/>
      <c r="BC83" s="68"/>
      <c r="BD83" s="68"/>
      <c r="BE83" s="68"/>
      <c r="BF83" s="68"/>
      <c r="BG83" s="68"/>
      <c r="BH83" s="68"/>
      <c r="BI83" s="68"/>
      <c r="BJ83" s="68"/>
      <c r="BK83" s="68">
        <f>BK84+BK88</f>
        <v>21404317496</v>
      </c>
      <c r="BL83" s="68"/>
      <c r="BM83" s="68"/>
      <c r="BN83" s="68"/>
      <c r="BO83" s="68"/>
      <c r="BP83" s="68"/>
      <c r="BQ83" s="68"/>
      <c r="BR83" s="68"/>
      <c r="BS83" s="68"/>
      <c r="BT83" s="68"/>
      <c r="BU83" s="68">
        <f>BU84+BU88</f>
        <v>24853681020</v>
      </c>
      <c r="BV83" s="172">
        <f t="shared" si="34"/>
        <v>69316718443</v>
      </c>
      <c r="BW83" s="1"/>
      <c r="BX83" s="1"/>
    </row>
    <row r="84" spans="1:76" s="208" customFormat="1" ht="24.75" customHeight="1" x14ac:dyDescent="0.2">
      <c r="A84" s="199"/>
      <c r="B84" s="199"/>
      <c r="C84" s="173"/>
      <c r="D84" s="245"/>
      <c r="E84" s="71">
        <v>14</v>
      </c>
      <c r="F84" s="72" t="s">
        <v>201</v>
      </c>
      <c r="G84" s="73"/>
      <c r="H84" s="72"/>
      <c r="I84" s="155"/>
      <c r="J84" s="75"/>
      <c r="K84" s="75"/>
      <c r="L84" s="74"/>
      <c r="M84" s="76"/>
      <c r="N84" s="77"/>
      <c r="O84" s="75"/>
      <c r="P84" s="75"/>
      <c r="Q84" s="78"/>
      <c r="R84" s="75"/>
      <c r="S84" s="75"/>
      <c r="T84" s="76"/>
      <c r="U84" s="174"/>
      <c r="V84" s="76"/>
      <c r="W84" s="76"/>
      <c r="X84" s="80">
        <f t="shared" ref="X84:AO84" si="44">SUM(X85:X87)</f>
        <v>0</v>
      </c>
      <c r="Y84" s="80">
        <f t="shared" si="44"/>
        <v>0</v>
      </c>
      <c r="Z84" s="80">
        <f t="shared" si="44"/>
        <v>502256341</v>
      </c>
      <c r="AA84" s="80">
        <f t="shared" si="44"/>
        <v>727867045.57999992</v>
      </c>
      <c r="AB84" s="80">
        <f t="shared" si="44"/>
        <v>463293889</v>
      </c>
      <c r="AC84" s="80">
        <f t="shared" si="44"/>
        <v>404891377</v>
      </c>
      <c r="AD84" s="80">
        <f t="shared" si="44"/>
        <v>0</v>
      </c>
      <c r="AE84" s="80">
        <f t="shared" si="44"/>
        <v>0</v>
      </c>
      <c r="AF84" s="80">
        <f t="shared" si="44"/>
        <v>0</v>
      </c>
      <c r="AG84" s="80">
        <f t="shared" si="44"/>
        <v>0</v>
      </c>
      <c r="AH84" s="80">
        <f t="shared" si="44"/>
        <v>0</v>
      </c>
      <c r="AI84" s="80">
        <f t="shared" si="44"/>
        <v>0</v>
      </c>
      <c r="AJ84" s="80">
        <f t="shared" si="44"/>
        <v>0</v>
      </c>
      <c r="AK84" s="80">
        <f t="shared" si="44"/>
        <v>0</v>
      </c>
      <c r="AL84" s="80">
        <f t="shared" si="44"/>
        <v>0</v>
      </c>
      <c r="AM84" s="80">
        <f t="shared" si="44"/>
        <v>0</v>
      </c>
      <c r="AN84" s="80">
        <f t="shared" si="44"/>
        <v>0</v>
      </c>
      <c r="AO84" s="80">
        <f t="shared" si="44"/>
        <v>0</v>
      </c>
      <c r="AP84" s="81">
        <f>SUM(AP85:AP87)</f>
        <v>965550230</v>
      </c>
      <c r="AQ84" s="80">
        <f>SUM(AQ85:AQ87)</f>
        <v>1132758422.5799999</v>
      </c>
      <c r="AR84" s="188"/>
      <c r="AS84" s="188"/>
      <c r="AT84" s="188"/>
      <c r="AU84" s="188"/>
      <c r="AV84" s="188"/>
      <c r="AW84" s="188"/>
      <c r="AX84" s="188"/>
      <c r="AY84" s="188"/>
      <c r="AZ84" s="188"/>
      <c r="BA84" s="188">
        <f>SUM(BA85:BA87)</f>
        <v>621988727</v>
      </c>
      <c r="BB84" s="188"/>
      <c r="BC84" s="188"/>
      <c r="BD84" s="188"/>
      <c r="BE84" s="188"/>
      <c r="BF84" s="188"/>
      <c r="BG84" s="188"/>
      <c r="BH84" s="188"/>
      <c r="BI84" s="188"/>
      <c r="BJ84" s="188"/>
      <c r="BK84" s="188">
        <f>SUM(BK85:BK87)</f>
        <v>4807484360</v>
      </c>
      <c r="BL84" s="188"/>
      <c r="BM84" s="188"/>
      <c r="BN84" s="188"/>
      <c r="BO84" s="188"/>
      <c r="BP84" s="188"/>
      <c r="BQ84" s="188"/>
      <c r="BR84" s="188"/>
      <c r="BS84" s="188"/>
      <c r="BT84" s="188"/>
      <c r="BU84" s="189">
        <f>SUM(BU85:BU87)</f>
        <v>5995263005</v>
      </c>
      <c r="BV84" s="83">
        <f t="shared" si="34"/>
        <v>11424736092</v>
      </c>
      <c r="BW84" s="1"/>
      <c r="BX84" s="1"/>
    </row>
    <row r="85" spans="1:76" ht="110.25" customHeight="1" x14ac:dyDescent="0.2">
      <c r="A85" s="105">
        <v>56</v>
      </c>
      <c r="B85" s="84">
        <v>2</v>
      </c>
      <c r="C85" s="173"/>
      <c r="D85" s="200"/>
      <c r="E85" s="85">
        <v>9</v>
      </c>
      <c r="F85" s="112" t="s">
        <v>202</v>
      </c>
      <c r="G85" s="177">
        <v>0.59</v>
      </c>
      <c r="H85" s="177">
        <v>0.87</v>
      </c>
      <c r="I85" s="246">
        <v>54</v>
      </c>
      <c r="J85" s="247" t="s">
        <v>203</v>
      </c>
      <c r="K85" s="86" t="s">
        <v>204</v>
      </c>
      <c r="L85" s="91" t="s">
        <v>205</v>
      </c>
      <c r="M85" s="91">
        <v>9</v>
      </c>
      <c r="N85" s="92" t="s">
        <v>44</v>
      </c>
      <c r="O85" s="93">
        <v>129.85</v>
      </c>
      <c r="P85" s="108">
        <v>130</v>
      </c>
      <c r="Q85" s="94">
        <v>130</v>
      </c>
      <c r="R85" s="95">
        <v>130</v>
      </c>
      <c r="S85" s="95">
        <v>130</v>
      </c>
      <c r="T85" s="95">
        <v>130</v>
      </c>
      <c r="U85" s="157">
        <f>AP85/$AP$84</f>
        <v>0.43732198272067108</v>
      </c>
      <c r="V85" s="248">
        <v>9</v>
      </c>
      <c r="W85" s="94" t="s">
        <v>166</v>
      </c>
      <c r="X85" s="100"/>
      <c r="Y85" s="100"/>
      <c r="Z85" s="100">
        <f>292256341-49000000+30000000+49000000</f>
        <v>322256341</v>
      </c>
      <c r="AA85" s="100">
        <f>'[1]SGTO POAI '!AH66+'[1]SGTO POAI '!AH65+'[1]SGTO POAI '!BL596</f>
        <v>547867045.57999992</v>
      </c>
      <c r="AB85" s="100">
        <v>100000000</v>
      </c>
      <c r="AC85" s="249">
        <v>41597488</v>
      </c>
      <c r="AD85" s="99"/>
      <c r="AE85" s="100"/>
      <c r="AF85" s="99"/>
      <c r="AG85" s="100"/>
      <c r="AH85" s="99"/>
      <c r="AI85" s="100"/>
      <c r="AJ85" s="99"/>
      <c r="AK85" s="100"/>
      <c r="AL85" s="99"/>
      <c r="AM85" s="100"/>
      <c r="AN85" s="99"/>
      <c r="AO85" s="100"/>
      <c r="AP85" s="99">
        <f>+X85+Z85+AB85+AD85+AF85+AH85+AJ85+AL85+AN85</f>
        <v>422256341</v>
      </c>
      <c r="AQ85" s="100">
        <f>Y85+AA85+AC85+AE85+AG85+AI85+AK85+AM85+AO85</f>
        <v>589464533.57999992</v>
      </c>
      <c r="AR85" s="109"/>
      <c r="AS85" s="109">
        <v>231688727</v>
      </c>
      <c r="AT85" s="109"/>
      <c r="AU85" s="109"/>
      <c r="AV85" s="109"/>
      <c r="AW85" s="109"/>
      <c r="AX85" s="109"/>
      <c r="AY85" s="109"/>
      <c r="AZ85" s="109"/>
      <c r="BA85" s="109">
        <f>SUM(AR85:AY85)+AZ85</f>
        <v>231688727</v>
      </c>
      <c r="BB85" s="109"/>
      <c r="BC85" s="109">
        <v>300000000</v>
      </c>
      <c r="BD85" s="109"/>
      <c r="BE85" s="109"/>
      <c r="BF85" s="109"/>
      <c r="BG85" s="109"/>
      <c r="BH85" s="109"/>
      <c r="BI85" s="109"/>
      <c r="BJ85" s="109">
        <v>2000000000</v>
      </c>
      <c r="BK85" s="109">
        <f>SUM(BB85:BJ85)</f>
        <v>2300000000</v>
      </c>
      <c r="BL85" s="109">
        <v>4000000000</v>
      </c>
      <c r="BM85" s="109">
        <v>473550204</v>
      </c>
      <c r="BN85" s="109"/>
      <c r="BO85" s="109"/>
      <c r="BP85" s="109"/>
      <c r="BQ85" s="109"/>
      <c r="BR85" s="109"/>
      <c r="BS85" s="109"/>
      <c r="BT85" s="109"/>
      <c r="BU85" s="109">
        <f>SUM(BL85:BT85)</f>
        <v>4473550204</v>
      </c>
      <c r="BV85" s="103">
        <f t="shared" si="34"/>
        <v>14010477862</v>
      </c>
    </row>
    <row r="86" spans="1:76" ht="90" customHeight="1" x14ac:dyDescent="0.2">
      <c r="A86" s="84">
        <v>57</v>
      </c>
      <c r="B86" s="84">
        <v>2</v>
      </c>
      <c r="C86" s="173"/>
      <c r="D86" s="200"/>
      <c r="E86" s="111"/>
      <c r="F86" s="154"/>
      <c r="G86" s="218"/>
      <c r="H86" s="218"/>
      <c r="I86" s="246">
        <v>55</v>
      </c>
      <c r="J86" s="247" t="s">
        <v>206</v>
      </c>
      <c r="K86" s="86" t="s">
        <v>207</v>
      </c>
      <c r="L86" s="91" t="s">
        <v>205</v>
      </c>
      <c r="M86" s="91">
        <v>9</v>
      </c>
      <c r="N86" s="92" t="s">
        <v>44</v>
      </c>
      <c r="O86" s="93">
        <v>12</v>
      </c>
      <c r="P86" s="93">
        <v>12</v>
      </c>
      <c r="Q86" s="94">
        <v>12</v>
      </c>
      <c r="R86" s="95">
        <v>12</v>
      </c>
      <c r="S86" s="95">
        <v>12</v>
      </c>
      <c r="T86" s="95">
        <v>12</v>
      </c>
      <c r="U86" s="157">
        <f>AP86/$AP$84</f>
        <v>0.37625581529818497</v>
      </c>
      <c r="V86" s="248">
        <v>9</v>
      </c>
      <c r="W86" s="94" t="s">
        <v>166</v>
      </c>
      <c r="X86" s="100"/>
      <c r="Y86" s="100"/>
      <c r="Z86" s="100"/>
      <c r="AA86" s="100"/>
      <c r="AB86" s="143">
        <v>363293889</v>
      </c>
      <c r="AC86" s="136">
        <f>'[2]GTO POAI 2016'!$BI$84</f>
        <v>363293889</v>
      </c>
      <c r="AD86" s="153"/>
      <c r="AE86" s="143"/>
      <c r="AF86" s="153"/>
      <c r="AG86" s="143"/>
      <c r="AH86" s="99"/>
      <c r="AI86" s="100"/>
      <c r="AJ86" s="99"/>
      <c r="AK86" s="100"/>
      <c r="AL86" s="99"/>
      <c r="AM86" s="100"/>
      <c r="AN86" s="99"/>
      <c r="AO86" s="100"/>
      <c r="AP86" s="99">
        <f>+X86+Z86+AB86+AD86+AF86+AH86+AJ86+AL86+AN86</f>
        <v>363293889</v>
      </c>
      <c r="AQ86" s="100">
        <f>Y86+AA86+AC86+AE86+AG86+AI86+AK86+AM86+AO86</f>
        <v>363293889</v>
      </c>
      <c r="AR86" s="102"/>
      <c r="AS86" s="109">
        <v>261000000</v>
      </c>
      <c r="AT86" s="102"/>
      <c r="AU86" s="102"/>
      <c r="AV86" s="102"/>
      <c r="AW86" s="102"/>
      <c r="AX86" s="102"/>
      <c r="AY86" s="102"/>
      <c r="AZ86" s="102"/>
      <c r="BA86" s="109">
        <f>SUM(AR86:AY86)+AZ86</f>
        <v>261000000</v>
      </c>
      <c r="BB86" s="109">
        <v>2000000000</v>
      </c>
      <c r="BC86" s="109">
        <v>338000000</v>
      </c>
      <c r="BD86" s="109"/>
      <c r="BE86" s="109"/>
      <c r="BF86" s="109"/>
      <c r="BG86" s="109"/>
      <c r="BH86" s="109"/>
      <c r="BI86" s="109"/>
      <c r="BJ86" s="109"/>
      <c r="BK86" s="109">
        <f>SUM(BB86:BJ86)</f>
        <v>2338000000</v>
      </c>
      <c r="BL86" s="109"/>
      <c r="BM86" s="109">
        <v>521712801</v>
      </c>
      <c r="BN86" s="109"/>
      <c r="BO86" s="109"/>
      <c r="BP86" s="109"/>
      <c r="BQ86" s="109"/>
      <c r="BR86" s="109"/>
      <c r="BS86" s="109"/>
      <c r="BT86" s="109">
        <v>1000000000</v>
      </c>
      <c r="BU86" s="109">
        <f>SUM(BL86:BT86)</f>
        <v>1521712801</v>
      </c>
      <c r="BV86" s="103">
        <f t="shared" si="34"/>
        <v>8241425602</v>
      </c>
    </row>
    <row r="87" spans="1:76" ht="132.75" customHeight="1" x14ac:dyDescent="0.2">
      <c r="A87" s="105">
        <v>58</v>
      </c>
      <c r="B87" s="84">
        <v>2</v>
      </c>
      <c r="C87" s="173"/>
      <c r="D87" s="200"/>
      <c r="E87" s="110"/>
      <c r="F87" s="114"/>
      <c r="G87" s="250"/>
      <c r="H87" s="250"/>
      <c r="I87" s="246">
        <v>56</v>
      </c>
      <c r="J87" s="247" t="s">
        <v>208</v>
      </c>
      <c r="K87" s="86" t="s">
        <v>209</v>
      </c>
      <c r="L87" s="91" t="s">
        <v>205</v>
      </c>
      <c r="M87" s="91">
        <v>9</v>
      </c>
      <c r="N87" s="251" t="s">
        <v>58</v>
      </c>
      <c r="O87" s="93">
        <v>9</v>
      </c>
      <c r="P87" s="93">
        <v>8</v>
      </c>
      <c r="Q87" s="94">
        <v>3</v>
      </c>
      <c r="R87" s="95">
        <v>3</v>
      </c>
      <c r="S87" s="95">
        <v>2</v>
      </c>
      <c r="T87" s="95">
        <v>0</v>
      </c>
      <c r="U87" s="157">
        <f>AP87/$AP$84</f>
        <v>0.18642220198114395</v>
      </c>
      <c r="V87" s="248">
        <v>9</v>
      </c>
      <c r="W87" s="94" t="s">
        <v>166</v>
      </c>
      <c r="X87" s="100"/>
      <c r="Y87" s="100"/>
      <c r="Z87" s="100">
        <v>180000000</v>
      </c>
      <c r="AA87" s="100">
        <v>180000000</v>
      </c>
      <c r="AB87" s="100"/>
      <c r="AC87" s="100"/>
      <c r="AD87" s="99"/>
      <c r="AE87" s="100"/>
      <c r="AF87" s="99"/>
      <c r="AG87" s="100"/>
      <c r="AH87" s="99"/>
      <c r="AI87" s="100"/>
      <c r="AJ87" s="99"/>
      <c r="AK87" s="100"/>
      <c r="AL87" s="99"/>
      <c r="AM87" s="100"/>
      <c r="AN87" s="99"/>
      <c r="AO87" s="100"/>
      <c r="AP87" s="99">
        <f>+X87+Z87+AB87+AD87+AF87+AH87+AJ87+AL87+AN87</f>
        <v>180000000</v>
      </c>
      <c r="AQ87" s="100">
        <f>Y87+AA87+AC87+AE87+AG87+AI87+AK87+AM87+AO87</f>
        <v>180000000</v>
      </c>
      <c r="AR87" s="109"/>
      <c r="AS87" s="109">
        <v>129300000</v>
      </c>
      <c r="AT87" s="109"/>
      <c r="AU87" s="109"/>
      <c r="AV87" s="109"/>
      <c r="AW87" s="109"/>
      <c r="AX87" s="109"/>
      <c r="AY87" s="109"/>
      <c r="AZ87" s="109"/>
      <c r="BA87" s="109">
        <f>SUM(AR87:AY87)+AZ87</f>
        <v>129300000</v>
      </c>
      <c r="BB87" s="109"/>
      <c r="BC87" s="109">
        <v>169484360</v>
      </c>
      <c r="BD87" s="109"/>
      <c r="BE87" s="109"/>
      <c r="BF87" s="109"/>
      <c r="BG87" s="109"/>
      <c r="BH87" s="109"/>
      <c r="BI87" s="109"/>
      <c r="BJ87" s="109"/>
      <c r="BK87" s="109">
        <f>SUM(BB87:BJ87)</f>
        <v>169484360</v>
      </c>
      <c r="BL87" s="109"/>
      <c r="BM87" s="109"/>
      <c r="BN87" s="109"/>
      <c r="BO87" s="109"/>
      <c r="BP87" s="109"/>
      <c r="BQ87" s="109"/>
      <c r="BR87" s="109"/>
      <c r="BS87" s="109"/>
      <c r="BT87" s="109"/>
      <c r="BU87" s="109">
        <f>SUM(BL87:BT87)</f>
        <v>0</v>
      </c>
      <c r="BV87" s="103">
        <f t="shared" si="34"/>
        <v>597568720</v>
      </c>
    </row>
    <row r="88" spans="1:76" ht="27.75" customHeight="1" x14ac:dyDescent="0.2">
      <c r="A88" s="105"/>
      <c r="B88" s="84"/>
      <c r="C88" s="173"/>
      <c r="D88" s="200"/>
      <c r="E88" s="71">
        <v>15</v>
      </c>
      <c r="F88" s="72" t="s">
        <v>210</v>
      </c>
      <c r="G88" s="75"/>
      <c r="H88" s="75"/>
      <c r="I88" s="76"/>
      <c r="J88" s="75"/>
      <c r="K88" s="125"/>
      <c r="L88" s="74"/>
      <c r="M88" s="74"/>
      <c r="N88" s="126"/>
      <c r="O88" s="125"/>
      <c r="P88" s="125"/>
      <c r="Q88" s="127"/>
      <c r="R88" s="125"/>
      <c r="S88" s="125"/>
      <c r="T88" s="74"/>
      <c r="U88" s="128"/>
      <c r="V88" s="74"/>
      <c r="W88" s="74"/>
      <c r="X88" s="129">
        <f t="shared" ref="X88:AO88" si="45">SUM(X89:X96)</f>
        <v>0</v>
      </c>
      <c r="Y88" s="129">
        <f t="shared" si="45"/>
        <v>0</v>
      </c>
      <c r="Z88" s="129">
        <f t="shared" si="45"/>
        <v>7123040000</v>
      </c>
      <c r="AA88" s="129">
        <f t="shared" si="45"/>
        <v>7508776695.4200001</v>
      </c>
      <c r="AB88" s="129">
        <f t="shared" si="45"/>
        <v>340000000</v>
      </c>
      <c r="AC88" s="129">
        <f t="shared" si="45"/>
        <v>340000000</v>
      </c>
      <c r="AD88" s="129">
        <f t="shared" si="45"/>
        <v>20519904</v>
      </c>
      <c r="AE88" s="129">
        <f t="shared" si="45"/>
        <v>148519904</v>
      </c>
      <c r="AF88" s="129">
        <f t="shared" si="45"/>
        <v>0</v>
      </c>
      <c r="AG88" s="129">
        <f t="shared" si="45"/>
        <v>0</v>
      </c>
      <c r="AH88" s="129">
        <f t="shared" si="45"/>
        <v>0</v>
      </c>
      <c r="AI88" s="129">
        <f t="shared" si="45"/>
        <v>0</v>
      </c>
      <c r="AJ88" s="129">
        <f t="shared" si="45"/>
        <v>0</v>
      </c>
      <c r="AK88" s="129">
        <f t="shared" si="45"/>
        <v>0</v>
      </c>
      <c r="AL88" s="129">
        <f t="shared" si="45"/>
        <v>0</v>
      </c>
      <c r="AM88" s="129">
        <f t="shared" si="45"/>
        <v>0</v>
      </c>
      <c r="AN88" s="129">
        <f t="shared" si="45"/>
        <v>2400000000</v>
      </c>
      <c r="AO88" s="129">
        <f t="shared" si="45"/>
        <v>0</v>
      </c>
      <c r="AP88" s="130">
        <f>SUM(AP89:AP96)</f>
        <v>9883559904</v>
      </c>
      <c r="AQ88" s="129">
        <f>SUM(AQ89:AQ96)</f>
        <v>7997296599.4200001</v>
      </c>
      <c r="AR88" s="131"/>
      <c r="AS88" s="131"/>
      <c r="AT88" s="131"/>
      <c r="AU88" s="131"/>
      <c r="AV88" s="131"/>
      <c r="AW88" s="131"/>
      <c r="AX88" s="131"/>
      <c r="AY88" s="131"/>
      <c r="AZ88" s="131"/>
      <c r="BA88" s="131">
        <f>SUM(BA89:BA96)</f>
        <v>22436731200</v>
      </c>
      <c r="BB88" s="131"/>
      <c r="BC88" s="131"/>
      <c r="BD88" s="131"/>
      <c r="BE88" s="131"/>
      <c r="BF88" s="131"/>
      <c r="BG88" s="131"/>
      <c r="BH88" s="131"/>
      <c r="BI88" s="131"/>
      <c r="BJ88" s="131"/>
      <c r="BK88" s="131">
        <f>SUM(BK89:BK96)</f>
        <v>16596833136</v>
      </c>
      <c r="BL88" s="131"/>
      <c r="BM88" s="131"/>
      <c r="BN88" s="131"/>
      <c r="BO88" s="131"/>
      <c r="BP88" s="131"/>
      <c r="BQ88" s="131"/>
      <c r="BR88" s="131"/>
      <c r="BS88" s="131"/>
      <c r="BT88" s="131"/>
      <c r="BU88" s="131">
        <f>SUM(BU89:BU96)</f>
        <v>18858418015</v>
      </c>
      <c r="BV88" s="132">
        <f t="shared" si="34"/>
        <v>57891982351</v>
      </c>
    </row>
    <row r="89" spans="1:76" ht="71.25" x14ac:dyDescent="0.2">
      <c r="A89" s="84">
        <v>59</v>
      </c>
      <c r="B89" s="84">
        <v>2</v>
      </c>
      <c r="C89" s="173"/>
      <c r="D89" s="200"/>
      <c r="E89" s="117">
        <v>14</v>
      </c>
      <c r="F89" s="86" t="s">
        <v>211</v>
      </c>
      <c r="G89" s="252" t="s">
        <v>212</v>
      </c>
      <c r="H89" s="252">
        <v>0.03</v>
      </c>
      <c r="I89" s="89">
        <v>57</v>
      </c>
      <c r="J89" s="90" t="s">
        <v>213</v>
      </c>
      <c r="K89" s="86" t="s">
        <v>214</v>
      </c>
      <c r="L89" s="91" t="s">
        <v>215</v>
      </c>
      <c r="M89" s="91">
        <v>1</v>
      </c>
      <c r="N89" s="92" t="s">
        <v>58</v>
      </c>
      <c r="O89" s="93">
        <v>103</v>
      </c>
      <c r="P89" s="93">
        <v>48</v>
      </c>
      <c r="Q89" s="94">
        <v>12</v>
      </c>
      <c r="R89" s="94">
        <v>12</v>
      </c>
      <c r="S89" s="95">
        <v>12</v>
      </c>
      <c r="T89" s="95">
        <v>12</v>
      </c>
      <c r="U89" s="157">
        <f t="shared" ref="U89:U96" si="46">AP89/$AP$88</f>
        <v>0.35923492531907053</v>
      </c>
      <c r="V89" s="94">
        <v>11</v>
      </c>
      <c r="W89" s="91" t="s">
        <v>216</v>
      </c>
      <c r="X89" s="99"/>
      <c r="Y89" s="100"/>
      <c r="Z89" s="99">
        <v>3530000000</v>
      </c>
      <c r="AA89" s="100">
        <f>3532944888+'[1]SGTO POAI '!Y598+'[1]SGTO POAI '!BL598</f>
        <v>4388984888</v>
      </c>
      <c r="AB89" s="136"/>
      <c r="AC89" s="136"/>
      <c r="AD89" s="253">
        <v>20519904</v>
      </c>
      <c r="AE89" s="249">
        <v>20519904</v>
      </c>
      <c r="AF89" s="253"/>
      <c r="AG89" s="249"/>
      <c r="AH89" s="99"/>
      <c r="AI89" s="100"/>
      <c r="AJ89" s="99"/>
      <c r="AK89" s="100"/>
      <c r="AL89" s="99"/>
      <c r="AM89" s="100"/>
      <c r="AN89" s="99"/>
      <c r="AO89" s="100"/>
      <c r="AP89" s="99">
        <f t="shared" ref="AP89:AP96" si="47">+X89+Z89+AB89+AD89+AF89+AH89+AJ89+AL89+AN89</f>
        <v>3550519904</v>
      </c>
      <c r="AQ89" s="100">
        <f t="shared" ref="AQ89:AQ96" si="48">Y89+AA89+AC89+AE89+AG89+AI89+AK89+AM89+AO89</f>
        <v>4409504792</v>
      </c>
      <c r="AR89" s="109"/>
      <c r="AS89" s="109">
        <v>4489900000</v>
      </c>
      <c r="AT89" s="109"/>
      <c r="AU89" s="109"/>
      <c r="AV89" s="109"/>
      <c r="AW89" s="109"/>
      <c r="AX89" s="109"/>
      <c r="AY89" s="109"/>
      <c r="AZ89" s="109"/>
      <c r="BA89" s="109">
        <f>SUM(AR89:AZ89)</f>
        <v>4489900000</v>
      </c>
      <c r="BB89" s="109"/>
      <c r="BC89" s="109">
        <f>3297438011+357158989</f>
        <v>3654597000</v>
      </c>
      <c r="BD89" s="109"/>
      <c r="BE89" s="109"/>
      <c r="BF89" s="109"/>
      <c r="BG89" s="109"/>
      <c r="BH89" s="109"/>
      <c r="BI89" s="109"/>
      <c r="BJ89" s="109"/>
      <c r="BK89" s="109">
        <f t="shared" ref="BK89:BK96" si="49">SUM(BB89:BJ89)</f>
        <v>3654597000</v>
      </c>
      <c r="BL89" s="109"/>
      <c r="BM89" s="109">
        <v>3824234910</v>
      </c>
      <c r="BN89" s="109"/>
      <c r="BO89" s="109"/>
      <c r="BP89" s="109"/>
      <c r="BQ89" s="109"/>
      <c r="BR89" s="109"/>
      <c r="BS89" s="109"/>
      <c r="BT89" s="109"/>
      <c r="BU89" s="109">
        <f t="shared" ref="BU89:BU96" si="50">SUM(BL89:BT89)</f>
        <v>3824234910</v>
      </c>
      <c r="BV89" s="103">
        <f t="shared" si="34"/>
        <v>23937463820</v>
      </c>
    </row>
    <row r="90" spans="1:76" ht="71.25" x14ac:dyDescent="0.2">
      <c r="A90" s="84"/>
      <c r="B90" s="84"/>
      <c r="C90" s="173"/>
      <c r="D90" s="200"/>
      <c r="E90" s="110">
        <v>6</v>
      </c>
      <c r="F90" s="114" t="s">
        <v>217</v>
      </c>
      <c r="G90" s="196" t="s">
        <v>113</v>
      </c>
      <c r="H90" s="254" t="s">
        <v>113</v>
      </c>
      <c r="I90" s="255">
        <v>58</v>
      </c>
      <c r="J90" s="256" t="s">
        <v>218</v>
      </c>
      <c r="K90" s="112" t="s">
        <v>219</v>
      </c>
      <c r="L90" s="242" t="s">
        <v>220</v>
      </c>
      <c r="M90" s="242">
        <v>15</v>
      </c>
      <c r="N90" s="92" t="s">
        <v>58</v>
      </c>
      <c r="O90" s="240">
        <v>6</v>
      </c>
      <c r="P90" s="240">
        <v>4</v>
      </c>
      <c r="Q90" s="95">
        <v>0</v>
      </c>
      <c r="R90" s="95">
        <v>1</v>
      </c>
      <c r="S90" s="95">
        <v>2</v>
      </c>
      <c r="T90" s="95">
        <v>1</v>
      </c>
      <c r="U90" s="157">
        <f t="shared" si="46"/>
        <v>0</v>
      </c>
      <c r="V90" s="94">
        <v>11</v>
      </c>
      <c r="W90" s="91" t="s">
        <v>216</v>
      </c>
      <c r="X90" s="99"/>
      <c r="Y90" s="100"/>
      <c r="Z90" s="231">
        <v>0</v>
      </c>
      <c r="AA90" s="136"/>
      <c r="AB90" s="136"/>
      <c r="AC90" s="136"/>
      <c r="AD90" s="231"/>
      <c r="AE90" s="136"/>
      <c r="AF90" s="231"/>
      <c r="AG90" s="136"/>
      <c r="AH90" s="99"/>
      <c r="AI90" s="100"/>
      <c r="AJ90" s="99"/>
      <c r="AK90" s="100"/>
      <c r="AL90" s="99"/>
      <c r="AM90" s="100"/>
      <c r="AN90" s="99"/>
      <c r="AO90" s="100"/>
      <c r="AP90" s="99">
        <f t="shared" si="47"/>
        <v>0</v>
      </c>
      <c r="AQ90" s="100">
        <f t="shared" si="48"/>
        <v>0</v>
      </c>
      <c r="AR90" s="192"/>
      <c r="AS90" s="109"/>
      <c r="AT90" s="109"/>
      <c r="AU90" s="109"/>
      <c r="AV90" s="109"/>
      <c r="AW90" s="109"/>
      <c r="AX90" s="109"/>
      <c r="AY90" s="109"/>
      <c r="AZ90" s="109">
        <v>1000000000</v>
      </c>
      <c r="BA90" s="109">
        <f>SUM(AS90:AZ90)</f>
        <v>1000000000</v>
      </c>
      <c r="BB90" s="109"/>
      <c r="BC90" s="109"/>
      <c r="BD90" s="109"/>
      <c r="BE90" s="109"/>
      <c r="BF90" s="109"/>
      <c r="BG90" s="109"/>
      <c r="BH90" s="109"/>
      <c r="BI90" s="109"/>
      <c r="BJ90" s="109">
        <v>1000000000</v>
      </c>
      <c r="BK90" s="109">
        <f t="shared" si="49"/>
        <v>1000000000</v>
      </c>
      <c r="BL90" s="109"/>
      <c r="BM90" s="109"/>
      <c r="BN90" s="109"/>
      <c r="BO90" s="109"/>
      <c r="BP90" s="109"/>
      <c r="BQ90" s="109"/>
      <c r="BR90" s="109"/>
      <c r="BS90" s="109"/>
      <c r="BT90" s="109">
        <v>1000000000</v>
      </c>
      <c r="BU90" s="109">
        <f t="shared" si="50"/>
        <v>1000000000</v>
      </c>
      <c r="BV90" s="103">
        <f t="shared" si="34"/>
        <v>6000000000</v>
      </c>
    </row>
    <row r="91" spans="1:76" ht="85.5" x14ac:dyDescent="0.2">
      <c r="A91" s="84">
        <v>61</v>
      </c>
      <c r="B91" s="84">
        <v>2</v>
      </c>
      <c r="C91" s="173"/>
      <c r="D91" s="200"/>
      <c r="E91" s="117">
        <v>36</v>
      </c>
      <c r="F91" s="114" t="s">
        <v>221</v>
      </c>
      <c r="G91" s="257">
        <v>0.4</v>
      </c>
      <c r="H91" s="250">
        <v>0.6</v>
      </c>
      <c r="I91" s="89">
        <v>59</v>
      </c>
      <c r="J91" s="90" t="s">
        <v>222</v>
      </c>
      <c r="K91" s="86" t="s">
        <v>223</v>
      </c>
      <c r="L91" s="242" t="s">
        <v>220</v>
      </c>
      <c r="M91" s="242">
        <v>15</v>
      </c>
      <c r="N91" s="91" t="s">
        <v>58</v>
      </c>
      <c r="O91" s="108">
        <v>82</v>
      </c>
      <c r="P91" s="108">
        <v>48</v>
      </c>
      <c r="Q91" s="94">
        <v>12</v>
      </c>
      <c r="R91" s="95">
        <v>12</v>
      </c>
      <c r="S91" s="95">
        <v>12</v>
      </c>
      <c r="T91" s="95">
        <v>12</v>
      </c>
      <c r="U91" s="157">
        <f t="shared" si="46"/>
        <v>0.18212061417986827</v>
      </c>
      <c r="V91" s="94">
        <v>11</v>
      </c>
      <c r="W91" s="91" t="s">
        <v>216</v>
      </c>
      <c r="X91" s="99"/>
      <c r="Y91" s="100"/>
      <c r="Z91" s="231">
        <v>1800000000</v>
      </c>
      <c r="AA91" s="249">
        <f>2350000000+'[1]SGTO POAI '!BU599</f>
        <v>2582791807.4200001</v>
      </c>
      <c r="AB91" s="136"/>
      <c r="AC91" s="136"/>
      <c r="AD91" s="231"/>
      <c r="AE91" s="136"/>
      <c r="AF91" s="231"/>
      <c r="AG91" s="136"/>
      <c r="AH91" s="99"/>
      <c r="AI91" s="100"/>
      <c r="AJ91" s="99"/>
      <c r="AK91" s="100"/>
      <c r="AL91" s="99"/>
      <c r="AM91" s="100"/>
      <c r="AN91" s="99"/>
      <c r="AO91" s="100"/>
      <c r="AP91" s="99">
        <f t="shared" si="47"/>
        <v>1800000000</v>
      </c>
      <c r="AQ91" s="100">
        <f t="shared" si="48"/>
        <v>2582791807.4200001</v>
      </c>
      <c r="AR91" s="109"/>
      <c r="AS91" s="109">
        <v>1000000000</v>
      </c>
      <c r="AT91" s="109"/>
      <c r="AU91" s="109"/>
      <c r="AV91" s="109"/>
      <c r="AW91" s="109"/>
      <c r="AX91" s="109"/>
      <c r="AY91" s="192"/>
      <c r="AZ91" s="109">
        <v>2000000000</v>
      </c>
      <c r="BA91" s="109">
        <f t="shared" ref="BA91:BA96" si="51">SUM(AR91:AZ91)</f>
        <v>3000000000</v>
      </c>
      <c r="BB91" s="109"/>
      <c r="BC91" s="109">
        <f>2357158989-357158989</f>
        <v>2000000000</v>
      </c>
      <c r="BD91" s="109"/>
      <c r="BE91" s="109"/>
      <c r="BF91" s="109"/>
      <c r="BG91" s="109"/>
      <c r="BH91" s="109"/>
      <c r="BI91" s="109"/>
      <c r="BJ91" s="109"/>
      <c r="BK91" s="109">
        <f t="shared" si="49"/>
        <v>2000000000</v>
      </c>
      <c r="BL91" s="109"/>
      <c r="BM91" s="109">
        <v>2000000000</v>
      </c>
      <c r="BN91" s="109"/>
      <c r="BO91" s="109"/>
      <c r="BP91" s="109"/>
      <c r="BQ91" s="109"/>
      <c r="BR91" s="109"/>
      <c r="BS91" s="109"/>
      <c r="BT91" s="109"/>
      <c r="BU91" s="109">
        <f t="shared" si="50"/>
        <v>2000000000</v>
      </c>
      <c r="BV91" s="103">
        <f t="shared" si="34"/>
        <v>14000000000</v>
      </c>
    </row>
    <row r="92" spans="1:76" ht="99.75" x14ac:dyDescent="0.2">
      <c r="A92" s="105">
        <v>62</v>
      </c>
      <c r="B92" s="84">
        <v>2</v>
      </c>
      <c r="C92" s="173"/>
      <c r="D92" s="200"/>
      <c r="E92" s="117">
        <v>10</v>
      </c>
      <c r="F92" s="86" t="s">
        <v>224</v>
      </c>
      <c r="G92" s="88" t="s">
        <v>225</v>
      </c>
      <c r="H92" s="258" t="s">
        <v>226</v>
      </c>
      <c r="I92" s="89">
        <v>60</v>
      </c>
      <c r="J92" s="90" t="s">
        <v>227</v>
      </c>
      <c r="K92" s="86" t="s">
        <v>228</v>
      </c>
      <c r="L92" s="242" t="s">
        <v>220</v>
      </c>
      <c r="M92" s="242">
        <v>15</v>
      </c>
      <c r="N92" s="91" t="s">
        <v>58</v>
      </c>
      <c r="O92" s="108">
        <v>9</v>
      </c>
      <c r="P92" s="108">
        <v>48</v>
      </c>
      <c r="Q92" s="94">
        <v>12</v>
      </c>
      <c r="R92" s="94">
        <v>12</v>
      </c>
      <c r="S92" s="94">
        <v>12</v>
      </c>
      <c r="T92" s="94">
        <v>12</v>
      </c>
      <c r="U92" s="157">
        <f t="shared" si="46"/>
        <v>0</v>
      </c>
      <c r="V92" s="94">
        <v>11</v>
      </c>
      <c r="W92" s="91" t="s">
        <v>216</v>
      </c>
      <c r="X92" s="99"/>
      <c r="Y92" s="100"/>
      <c r="Z92" s="231">
        <v>0</v>
      </c>
      <c r="AA92" s="136">
        <v>171365859.79000002</v>
      </c>
      <c r="AB92" s="249"/>
      <c r="AC92" s="249"/>
      <c r="AD92" s="253"/>
      <c r="AE92" s="249"/>
      <c r="AF92" s="253"/>
      <c r="AG92" s="249"/>
      <c r="AH92" s="99"/>
      <c r="AI92" s="100"/>
      <c r="AJ92" s="99"/>
      <c r="AK92" s="100"/>
      <c r="AL92" s="99"/>
      <c r="AM92" s="100"/>
      <c r="AN92" s="99"/>
      <c r="AO92" s="100"/>
      <c r="AP92" s="99">
        <f t="shared" si="47"/>
        <v>0</v>
      </c>
      <c r="AQ92" s="100">
        <f t="shared" si="48"/>
        <v>171365859.79000002</v>
      </c>
      <c r="AR92" s="109"/>
      <c r="AS92" s="109"/>
      <c r="AT92" s="109"/>
      <c r="AU92" s="109"/>
      <c r="AV92" s="109"/>
      <c r="AW92" s="109"/>
      <c r="AX92" s="109"/>
      <c r="AY92" s="192"/>
      <c r="AZ92" s="109">
        <v>4000000000</v>
      </c>
      <c r="BA92" s="109">
        <f t="shared" si="51"/>
        <v>4000000000</v>
      </c>
      <c r="BB92" s="109">
        <v>2500000000</v>
      </c>
      <c r="BC92" s="109"/>
      <c r="BD92" s="109"/>
      <c r="BE92" s="109"/>
      <c r="BF92" s="109"/>
      <c r="BG92" s="109"/>
      <c r="BH92" s="109"/>
      <c r="BI92" s="109"/>
      <c r="BJ92" s="109"/>
      <c r="BK92" s="109">
        <f t="shared" si="49"/>
        <v>2500000000</v>
      </c>
      <c r="BL92" s="109">
        <f>4000000000-2054879885</f>
        <v>1945120115</v>
      </c>
      <c r="BM92" s="109"/>
      <c r="BN92" s="109"/>
      <c r="BO92" s="109"/>
      <c r="BP92" s="109"/>
      <c r="BQ92" s="109"/>
      <c r="BR92" s="109"/>
      <c r="BS92" s="109"/>
      <c r="BT92" s="109">
        <v>2054879885</v>
      </c>
      <c r="BU92" s="109">
        <f t="shared" si="50"/>
        <v>4000000000</v>
      </c>
      <c r="BV92" s="103">
        <f t="shared" si="34"/>
        <v>21000000000</v>
      </c>
    </row>
    <row r="93" spans="1:76" ht="174.75" customHeight="1" x14ac:dyDescent="0.2">
      <c r="A93" s="84">
        <v>63</v>
      </c>
      <c r="B93" s="84">
        <v>2</v>
      </c>
      <c r="C93" s="173"/>
      <c r="D93" s="200"/>
      <c r="E93" s="110">
        <v>22</v>
      </c>
      <c r="F93" s="114" t="s">
        <v>229</v>
      </c>
      <c r="G93" s="259" t="s">
        <v>230</v>
      </c>
      <c r="H93" s="260" t="s">
        <v>231</v>
      </c>
      <c r="I93" s="89">
        <v>61</v>
      </c>
      <c r="J93" s="90" t="s">
        <v>232</v>
      </c>
      <c r="K93" s="86" t="s">
        <v>233</v>
      </c>
      <c r="L93" s="242" t="s">
        <v>220</v>
      </c>
      <c r="M93" s="242">
        <v>15</v>
      </c>
      <c r="N93" s="92" t="s">
        <v>58</v>
      </c>
      <c r="O93" s="93">
        <v>2</v>
      </c>
      <c r="P93" s="93">
        <v>4</v>
      </c>
      <c r="Q93" s="94">
        <v>1</v>
      </c>
      <c r="R93" s="94">
        <v>2</v>
      </c>
      <c r="S93" s="94">
        <v>1</v>
      </c>
      <c r="T93" s="94">
        <v>0</v>
      </c>
      <c r="U93" s="157">
        <f t="shared" si="46"/>
        <v>3.1365216886532869E-2</v>
      </c>
      <c r="V93" s="94">
        <v>11</v>
      </c>
      <c r="W93" s="91" t="s">
        <v>216</v>
      </c>
      <c r="X93" s="99"/>
      <c r="Y93" s="100"/>
      <c r="Z93" s="231">
        <v>0</v>
      </c>
      <c r="AA93" s="136"/>
      <c r="AB93" s="249">
        <f>170000000+140000000</f>
        <v>310000000</v>
      </c>
      <c r="AC93" s="249">
        <v>310000000</v>
      </c>
      <c r="AD93" s="253"/>
      <c r="AE93" s="249">
        <v>128000000</v>
      </c>
      <c r="AF93" s="253"/>
      <c r="AG93" s="249"/>
      <c r="AH93" s="99"/>
      <c r="AI93" s="100"/>
      <c r="AJ93" s="99"/>
      <c r="AK93" s="100"/>
      <c r="AL93" s="99"/>
      <c r="AM93" s="100"/>
      <c r="AN93" s="99"/>
      <c r="AO93" s="100"/>
      <c r="AP93" s="99">
        <f t="shared" si="47"/>
        <v>310000000</v>
      </c>
      <c r="AQ93" s="100">
        <f t="shared" si="48"/>
        <v>438000000</v>
      </c>
      <c r="AR93" s="109"/>
      <c r="AS93" s="109"/>
      <c r="AT93" s="109"/>
      <c r="AU93" s="109"/>
      <c r="AV93" s="109"/>
      <c r="AW93" s="109"/>
      <c r="AX93" s="109"/>
      <c r="AY93" s="192"/>
      <c r="AZ93" s="109">
        <v>2000000000</v>
      </c>
      <c r="BA93" s="109">
        <f t="shared" si="51"/>
        <v>2000000000</v>
      </c>
      <c r="BB93" s="109">
        <v>1000000000</v>
      </c>
      <c r="BC93" s="109"/>
      <c r="BD93" s="109"/>
      <c r="BE93" s="109"/>
      <c r="BF93" s="109"/>
      <c r="BG93" s="109"/>
      <c r="BH93" s="109"/>
      <c r="BI93" s="109"/>
      <c r="BJ93" s="109"/>
      <c r="BK93" s="109">
        <f t="shared" si="49"/>
        <v>1000000000</v>
      </c>
      <c r="BL93" s="109"/>
      <c r="BM93" s="109"/>
      <c r="BN93" s="109"/>
      <c r="BO93" s="109"/>
      <c r="BP93" s="109"/>
      <c r="BQ93" s="109"/>
      <c r="BR93" s="109"/>
      <c r="BS93" s="109"/>
      <c r="BT93" s="109"/>
      <c r="BU93" s="109">
        <f t="shared" si="50"/>
        <v>0</v>
      </c>
      <c r="BV93" s="103">
        <f t="shared" si="34"/>
        <v>6000000000</v>
      </c>
    </row>
    <row r="94" spans="1:76" ht="125.25" customHeight="1" x14ac:dyDescent="0.2">
      <c r="A94" s="105">
        <v>64</v>
      </c>
      <c r="B94" s="84">
        <v>2</v>
      </c>
      <c r="C94" s="173"/>
      <c r="D94" s="200"/>
      <c r="E94" s="117">
        <v>22</v>
      </c>
      <c r="F94" s="86" t="s">
        <v>229</v>
      </c>
      <c r="G94" s="106" t="s">
        <v>230</v>
      </c>
      <c r="H94" s="106" t="s">
        <v>234</v>
      </c>
      <c r="I94" s="89">
        <v>62</v>
      </c>
      <c r="J94" s="90" t="s">
        <v>235</v>
      </c>
      <c r="K94" s="86" t="s">
        <v>236</v>
      </c>
      <c r="L94" s="242" t="s">
        <v>220</v>
      </c>
      <c r="M94" s="242">
        <v>15</v>
      </c>
      <c r="N94" s="92" t="s">
        <v>44</v>
      </c>
      <c r="O94" s="93">
        <v>1</v>
      </c>
      <c r="P94" s="93">
        <v>2</v>
      </c>
      <c r="Q94" s="94">
        <v>2</v>
      </c>
      <c r="R94" s="95">
        <v>2</v>
      </c>
      <c r="S94" s="95">
        <v>2</v>
      </c>
      <c r="T94" s="95">
        <v>2</v>
      </c>
      <c r="U94" s="157">
        <f t="shared" si="46"/>
        <v>3.0353435696644712E-3</v>
      </c>
      <c r="V94" s="94">
        <v>11</v>
      </c>
      <c r="W94" s="91" t="s">
        <v>216</v>
      </c>
      <c r="X94" s="99"/>
      <c r="Y94" s="100"/>
      <c r="Z94" s="231">
        <v>0</v>
      </c>
      <c r="AA94" s="136"/>
      <c r="AB94" s="249">
        <v>30000000</v>
      </c>
      <c r="AC94" s="249">
        <v>30000000</v>
      </c>
      <c r="AD94" s="253"/>
      <c r="AE94" s="249"/>
      <c r="AF94" s="253"/>
      <c r="AG94" s="249"/>
      <c r="AH94" s="99"/>
      <c r="AI94" s="100"/>
      <c r="AJ94" s="99"/>
      <c r="AK94" s="100"/>
      <c r="AL94" s="99"/>
      <c r="AM94" s="100"/>
      <c r="AN94" s="99"/>
      <c r="AO94" s="100"/>
      <c r="AP94" s="99">
        <f t="shared" si="47"/>
        <v>30000000</v>
      </c>
      <c r="AQ94" s="100">
        <f t="shared" si="48"/>
        <v>30000000</v>
      </c>
      <c r="AR94" s="109">
        <v>3000000000</v>
      </c>
      <c r="AS94" s="109"/>
      <c r="AT94" s="109">
        <v>70000000</v>
      </c>
      <c r="AU94" s="109"/>
      <c r="AV94" s="109"/>
      <c r="AW94" s="109"/>
      <c r="AX94" s="109"/>
      <c r="AY94" s="192"/>
      <c r="AZ94" s="109"/>
      <c r="BA94" s="109">
        <f t="shared" si="51"/>
        <v>3070000000</v>
      </c>
      <c r="BB94" s="109">
        <v>2500000000</v>
      </c>
      <c r="BC94" s="109"/>
      <c r="BD94" s="109">
        <v>40000000</v>
      </c>
      <c r="BE94" s="109"/>
      <c r="BF94" s="109"/>
      <c r="BG94" s="109"/>
      <c r="BH94" s="109"/>
      <c r="BI94" s="109"/>
      <c r="BJ94" s="109"/>
      <c r="BK94" s="109">
        <f t="shared" si="49"/>
        <v>2540000000</v>
      </c>
      <c r="BL94" s="109">
        <v>2000000000</v>
      </c>
      <c r="BM94" s="109"/>
      <c r="BN94" s="109">
        <v>20000000</v>
      </c>
      <c r="BO94" s="109"/>
      <c r="BP94" s="109"/>
      <c r="BQ94" s="109"/>
      <c r="BR94" s="109"/>
      <c r="BS94" s="109"/>
      <c r="BT94" s="109"/>
      <c r="BU94" s="109">
        <f t="shared" si="50"/>
        <v>2020000000</v>
      </c>
      <c r="BV94" s="103">
        <f t="shared" si="34"/>
        <v>15260000000</v>
      </c>
    </row>
    <row r="95" spans="1:76" ht="99.75" customHeight="1" x14ac:dyDescent="0.2">
      <c r="A95" s="84">
        <v>65</v>
      </c>
      <c r="B95" s="84">
        <v>2</v>
      </c>
      <c r="C95" s="173"/>
      <c r="D95" s="200"/>
      <c r="E95" s="117">
        <v>32</v>
      </c>
      <c r="F95" s="86" t="s">
        <v>237</v>
      </c>
      <c r="G95" s="88" t="s">
        <v>238</v>
      </c>
      <c r="H95" s="88" t="s">
        <v>239</v>
      </c>
      <c r="I95" s="89">
        <v>63</v>
      </c>
      <c r="J95" s="90" t="s">
        <v>240</v>
      </c>
      <c r="K95" s="86" t="s">
        <v>241</v>
      </c>
      <c r="L95" s="91" t="s">
        <v>242</v>
      </c>
      <c r="M95" s="91">
        <v>7</v>
      </c>
      <c r="N95" s="92" t="s">
        <v>58</v>
      </c>
      <c r="O95" s="93" t="s">
        <v>39</v>
      </c>
      <c r="P95" s="93">
        <v>1000</v>
      </c>
      <c r="Q95" s="94">
        <v>250</v>
      </c>
      <c r="R95" s="95">
        <v>250</v>
      </c>
      <c r="S95" s="95">
        <v>250</v>
      </c>
      <c r="T95" s="95">
        <v>250</v>
      </c>
      <c r="U95" s="157">
        <f t="shared" si="46"/>
        <v>0.42424390004486384</v>
      </c>
      <c r="V95" s="94">
        <v>1</v>
      </c>
      <c r="W95" s="91" t="s">
        <v>179</v>
      </c>
      <c r="X95" s="99"/>
      <c r="Y95" s="100"/>
      <c r="Z95" s="231">
        <f>1230000000+563040000</f>
        <v>1793040000</v>
      </c>
      <c r="AA95" s="142">
        <v>365634140.21000004</v>
      </c>
      <c r="AB95" s="136"/>
      <c r="AC95" s="136"/>
      <c r="AD95" s="231"/>
      <c r="AE95" s="136"/>
      <c r="AF95" s="231"/>
      <c r="AG95" s="136"/>
      <c r="AH95" s="99"/>
      <c r="AI95" s="100"/>
      <c r="AJ95" s="99"/>
      <c r="AK95" s="100"/>
      <c r="AL95" s="99"/>
      <c r="AM95" s="100"/>
      <c r="AN95" s="99">
        <v>2400000000</v>
      </c>
      <c r="AO95" s="100"/>
      <c r="AP95" s="99">
        <f t="shared" si="47"/>
        <v>4193040000</v>
      </c>
      <c r="AQ95" s="100">
        <f t="shared" si="48"/>
        <v>365634140.21000004</v>
      </c>
      <c r="AR95" s="109"/>
      <c r="AS95" s="109">
        <f>1266900000+579931200</f>
        <v>1846831200</v>
      </c>
      <c r="AT95" s="109"/>
      <c r="AU95" s="109"/>
      <c r="AV95" s="109"/>
      <c r="AW95" s="109"/>
      <c r="AX95" s="109"/>
      <c r="AY95" s="192"/>
      <c r="AZ95" s="109">
        <v>2000000000</v>
      </c>
      <c r="BA95" s="109">
        <f t="shared" si="51"/>
        <v>3846831200</v>
      </c>
      <c r="BB95" s="109">
        <v>1000000000</v>
      </c>
      <c r="BC95" s="206">
        <f>1304907000+597329136</f>
        <v>1902236136</v>
      </c>
      <c r="BD95" s="109"/>
      <c r="BE95" s="109"/>
      <c r="BF95" s="109"/>
      <c r="BG95" s="109"/>
      <c r="BH95" s="109"/>
      <c r="BI95" s="109"/>
      <c r="BJ95" s="109"/>
      <c r="BK95" s="109">
        <f t="shared" si="49"/>
        <v>2902236136</v>
      </c>
      <c r="BL95" s="109">
        <f>5014183105-2959303220</f>
        <v>2054879885</v>
      </c>
      <c r="BM95" s="109">
        <f>1344054210+615249010</f>
        <v>1959303220</v>
      </c>
      <c r="BN95" s="109"/>
      <c r="BO95" s="109"/>
      <c r="BP95" s="109"/>
      <c r="BQ95" s="109"/>
      <c r="BR95" s="109"/>
      <c r="BS95" s="109"/>
      <c r="BT95" s="109">
        <v>1000000000</v>
      </c>
      <c r="BU95" s="109">
        <f t="shared" si="50"/>
        <v>5014183105</v>
      </c>
      <c r="BV95" s="103">
        <f t="shared" si="34"/>
        <v>23526500882</v>
      </c>
    </row>
    <row r="96" spans="1:76" ht="127.5" customHeight="1" x14ac:dyDescent="0.2">
      <c r="A96" s="105">
        <v>66</v>
      </c>
      <c r="B96" s="84">
        <v>2</v>
      </c>
      <c r="C96" s="237"/>
      <c r="D96" s="261"/>
      <c r="E96" s="110">
        <v>6</v>
      </c>
      <c r="F96" s="144" t="s">
        <v>217</v>
      </c>
      <c r="G96" s="262" t="s">
        <v>113</v>
      </c>
      <c r="H96" s="196" t="s">
        <v>113</v>
      </c>
      <c r="I96" s="89">
        <v>64</v>
      </c>
      <c r="J96" s="90" t="s">
        <v>243</v>
      </c>
      <c r="K96" s="86" t="s">
        <v>244</v>
      </c>
      <c r="L96" s="242" t="s">
        <v>220</v>
      </c>
      <c r="M96" s="242">
        <v>15</v>
      </c>
      <c r="N96" s="92" t="s">
        <v>58</v>
      </c>
      <c r="O96" s="93">
        <v>0</v>
      </c>
      <c r="P96" s="93">
        <v>3</v>
      </c>
      <c r="Q96" s="95">
        <v>0</v>
      </c>
      <c r="R96" s="95">
        <v>1</v>
      </c>
      <c r="S96" s="95">
        <v>1</v>
      </c>
      <c r="T96" s="95">
        <v>1</v>
      </c>
      <c r="U96" s="157">
        <f t="shared" si="46"/>
        <v>0</v>
      </c>
      <c r="V96" s="94">
        <v>11</v>
      </c>
      <c r="W96" s="91" t="s">
        <v>216</v>
      </c>
      <c r="X96" s="99"/>
      <c r="Y96" s="100"/>
      <c r="Z96" s="99"/>
      <c r="AA96" s="100"/>
      <c r="AB96" s="136"/>
      <c r="AC96" s="136"/>
      <c r="AD96" s="231"/>
      <c r="AE96" s="136"/>
      <c r="AF96" s="231"/>
      <c r="AG96" s="136"/>
      <c r="AH96" s="99"/>
      <c r="AI96" s="100"/>
      <c r="AJ96" s="99"/>
      <c r="AK96" s="100"/>
      <c r="AL96" s="99"/>
      <c r="AM96" s="100"/>
      <c r="AN96" s="99"/>
      <c r="AO96" s="100"/>
      <c r="AP96" s="99">
        <f t="shared" si="47"/>
        <v>0</v>
      </c>
      <c r="AQ96" s="100">
        <f t="shared" si="48"/>
        <v>0</v>
      </c>
      <c r="AR96" s="109"/>
      <c r="AS96" s="109"/>
      <c r="AT96" s="109">
        <v>30000000</v>
      </c>
      <c r="AU96" s="109"/>
      <c r="AV96" s="109"/>
      <c r="AW96" s="109"/>
      <c r="AX96" s="109"/>
      <c r="AY96" s="109"/>
      <c r="AZ96" s="109">
        <v>1000000000</v>
      </c>
      <c r="BA96" s="109">
        <f t="shared" si="51"/>
        <v>1030000000</v>
      </c>
      <c r="BB96" s="109">
        <v>1000000000</v>
      </c>
      <c r="BC96" s="192"/>
      <c r="BD96" s="192"/>
      <c r="BE96" s="109"/>
      <c r="BF96" s="109"/>
      <c r="BG96" s="109"/>
      <c r="BH96" s="109"/>
      <c r="BI96" s="109"/>
      <c r="BJ96" s="109"/>
      <c r="BK96" s="109">
        <f t="shared" si="49"/>
        <v>1000000000</v>
      </c>
      <c r="BL96" s="109"/>
      <c r="BM96" s="109"/>
      <c r="BN96" s="109"/>
      <c r="BO96" s="109"/>
      <c r="BP96" s="109"/>
      <c r="BQ96" s="109"/>
      <c r="BR96" s="109"/>
      <c r="BS96" s="109"/>
      <c r="BT96" s="109">
        <v>1000000000</v>
      </c>
      <c r="BU96" s="109">
        <f t="shared" si="50"/>
        <v>1000000000</v>
      </c>
      <c r="BV96" s="103">
        <f t="shared" si="34"/>
        <v>6060000000</v>
      </c>
    </row>
    <row r="97" spans="1:74" ht="26.25" customHeight="1" x14ac:dyDescent="0.2">
      <c r="A97" s="105"/>
      <c r="B97" s="84"/>
      <c r="C97" s="159">
        <v>3</v>
      </c>
      <c r="D97" s="624" t="s">
        <v>245</v>
      </c>
      <c r="E97" s="625"/>
      <c r="F97" s="625"/>
      <c r="G97" s="263"/>
      <c r="H97" s="263"/>
      <c r="I97" s="163"/>
      <c r="J97" s="263"/>
      <c r="K97" s="263"/>
      <c r="L97" s="163"/>
      <c r="M97" s="163"/>
      <c r="N97" s="264"/>
      <c r="O97" s="263"/>
      <c r="P97" s="263"/>
      <c r="Q97" s="265"/>
      <c r="R97" s="263"/>
      <c r="S97" s="263"/>
      <c r="T97" s="163"/>
      <c r="U97" s="266"/>
      <c r="V97" s="163"/>
      <c r="W97" s="163"/>
      <c r="X97" s="267">
        <f t="shared" ref="X97:AO97" si="52">X98+X112+X143+X156+X167+X177+X183+X194+X240+X247+X264+X269+X275+X288+X302+X308+X320+X327</f>
        <v>0</v>
      </c>
      <c r="Y97" s="267">
        <f t="shared" si="52"/>
        <v>0</v>
      </c>
      <c r="Z97" s="267">
        <f t="shared" si="52"/>
        <v>42035588216.449997</v>
      </c>
      <c r="AA97" s="267">
        <f t="shared" si="52"/>
        <v>37653815543</v>
      </c>
      <c r="AB97" s="267">
        <f t="shared" si="52"/>
        <v>7009909756.6400003</v>
      </c>
      <c r="AC97" s="267">
        <f t="shared" si="52"/>
        <v>7209909756.6400003</v>
      </c>
      <c r="AD97" s="267">
        <f t="shared" si="52"/>
        <v>1747491034</v>
      </c>
      <c r="AE97" s="267">
        <f t="shared" si="52"/>
        <v>1875171512</v>
      </c>
      <c r="AF97" s="267">
        <f t="shared" si="52"/>
        <v>0</v>
      </c>
      <c r="AG97" s="267">
        <f t="shared" si="52"/>
        <v>5817514937.4499998</v>
      </c>
      <c r="AH97" s="267">
        <f t="shared" si="52"/>
        <v>0</v>
      </c>
      <c r="AI97" s="267">
        <f t="shared" si="52"/>
        <v>0</v>
      </c>
      <c r="AJ97" s="267">
        <f t="shared" si="52"/>
        <v>116209715044.84</v>
      </c>
      <c r="AK97" s="267">
        <f t="shared" si="52"/>
        <v>115872342405.84</v>
      </c>
      <c r="AL97" s="267">
        <f t="shared" si="52"/>
        <v>14238877429</v>
      </c>
      <c r="AM97" s="267">
        <f t="shared" si="52"/>
        <v>14109434246</v>
      </c>
      <c r="AN97" s="267">
        <f t="shared" si="52"/>
        <v>9950000000</v>
      </c>
      <c r="AO97" s="267">
        <f t="shared" si="52"/>
        <v>0</v>
      </c>
      <c r="AP97" s="268">
        <f>AP98+AP112+AP143+AP156+AP167+AP177+AP183+AP194+AP240+AP247+AP264+AP269+AP275+AP288+AP302+AP308+AP320+AP327</f>
        <v>191191581480.93002</v>
      </c>
      <c r="AQ97" s="267">
        <f>AQ98+AQ112+AQ143+AQ156+AQ167+AQ177+AQ183+AQ194+AQ240+AQ247+AQ264+AQ269+AQ275+AQ288+AQ302+AQ308+AQ320+AQ327</f>
        <v>182538188400.92999</v>
      </c>
      <c r="AR97" s="269"/>
      <c r="AS97" s="269"/>
      <c r="AT97" s="269"/>
      <c r="AU97" s="269"/>
      <c r="AV97" s="269"/>
      <c r="AW97" s="269"/>
      <c r="AX97" s="269"/>
      <c r="AY97" s="269"/>
      <c r="AZ97" s="269"/>
      <c r="BA97" s="269">
        <f>BA98+BA112+BA143+BA156+BA167+BA177+BA183+BA194+BA240+BA247+BA264+BA269+BA275+BA288+BA302+BA308+BA320+BA327</f>
        <v>172236822820.43924</v>
      </c>
      <c r="BB97" s="269"/>
      <c r="BC97" s="269"/>
      <c r="BD97" s="269"/>
      <c r="BE97" s="269"/>
      <c r="BF97" s="269"/>
      <c r="BG97" s="269"/>
      <c r="BH97" s="269"/>
      <c r="BI97" s="269"/>
      <c r="BJ97" s="269"/>
      <c r="BK97" s="269">
        <f>BK98+BK112+BK143+BK156+BK167+BK177+BK183+BK194+BK240+BK247+BK264+BK269+BK275+BK288+BK302+BK308+BK320+BK327</f>
        <v>175949632789.45718</v>
      </c>
      <c r="BL97" s="269"/>
      <c r="BM97" s="269"/>
      <c r="BN97" s="269"/>
      <c r="BO97" s="269"/>
      <c r="BP97" s="269"/>
      <c r="BQ97" s="269"/>
      <c r="BR97" s="269"/>
      <c r="BS97" s="269"/>
      <c r="BT97" s="269"/>
      <c r="BU97" s="269">
        <f>BU98+BU112+BU143+BU156+BU167+BU177+BU183+BU194+BU240+BU247+BU264+BU269+BU275+BU288+BU302+BU308+BU320+BU327</f>
        <v>183007271771.91962</v>
      </c>
      <c r="BV97" s="270">
        <f t="shared" si="34"/>
        <v>531193727381.81604</v>
      </c>
    </row>
    <row r="98" spans="1:74" ht="26.25" customHeight="1" x14ac:dyDescent="0.2">
      <c r="A98" s="105"/>
      <c r="B98" s="84"/>
      <c r="C98" s="169"/>
      <c r="D98" s="56">
        <v>5</v>
      </c>
      <c r="E98" s="170" t="s">
        <v>246</v>
      </c>
      <c r="F98" s="59"/>
      <c r="G98" s="59"/>
      <c r="H98" s="59"/>
      <c r="I98" s="60"/>
      <c r="J98" s="61"/>
      <c r="K98" s="61"/>
      <c r="L98" s="62"/>
      <c r="M98" s="60"/>
      <c r="N98" s="63"/>
      <c r="O98" s="61"/>
      <c r="P98" s="61"/>
      <c r="Q98" s="64"/>
      <c r="R98" s="61"/>
      <c r="S98" s="61"/>
      <c r="T98" s="60"/>
      <c r="U98" s="171"/>
      <c r="V98" s="60"/>
      <c r="W98" s="60"/>
      <c r="X98" s="66">
        <f t="shared" ref="X98:AO98" si="53">X99+X103+X110</f>
        <v>0</v>
      </c>
      <c r="Y98" s="66">
        <f t="shared" si="53"/>
        <v>0</v>
      </c>
      <c r="Z98" s="66">
        <f t="shared" si="53"/>
        <v>9351094994</v>
      </c>
      <c r="AA98" s="66">
        <f t="shared" si="53"/>
        <v>3582541949</v>
      </c>
      <c r="AB98" s="66">
        <f t="shared" si="53"/>
        <v>3216953997</v>
      </c>
      <c r="AC98" s="66">
        <f t="shared" si="53"/>
        <v>3216953997</v>
      </c>
      <c r="AD98" s="66">
        <f t="shared" si="53"/>
        <v>0</v>
      </c>
      <c r="AE98" s="66">
        <f t="shared" si="53"/>
        <v>0</v>
      </c>
      <c r="AF98" s="66">
        <f t="shared" si="53"/>
        <v>0</v>
      </c>
      <c r="AG98" s="66">
        <f t="shared" si="53"/>
        <v>5768635462</v>
      </c>
      <c r="AH98" s="66">
        <f t="shared" si="53"/>
        <v>0</v>
      </c>
      <c r="AI98" s="66">
        <f t="shared" si="53"/>
        <v>0</v>
      </c>
      <c r="AJ98" s="66">
        <f t="shared" si="53"/>
        <v>99072524017.839996</v>
      </c>
      <c r="AK98" s="66">
        <f t="shared" si="53"/>
        <v>99583861125.839996</v>
      </c>
      <c r="AL98" s="66">
        <f t="shared" si="53"/>
        <v>0</v>
      </c>
      <c r="AM98" s="66">
        <f t="shared" si="53"/>
        <v>0</v>
      </c>
      <c r="AN98" s="66">
        <f t="shared" si="53"/>
        <v>0</v>
      </c>
      <c r="AO98" s="66">
        <f t="shared" si="53"/>
        <v>0</v>
      </c>
      <c r="AP98" s="67">
        <f>AP99+AP103+AP110</f>
        <v>111640573008.84</v>
      </c>
      <c r="AQ98" s="66">
        <f>AQ99+AQ103+AQ110</f>
        <v>112151992533.84</v>
      </c>
      <c r="AR98" s="68"/>
      <c r="AS98" s="68"/>
      <c r="AT98" s="68"/>
      <c r="AU98" s="68"/>
      <c r="AV98" s="68"/>
      <c r="AW98" s="68"/>
      <c r="AX98" s="68"/>
      <c r="AY98" s="68"/>
      <c r="AZ98" s="68"/>
      <c r="BA98" s="68">
        <f>BA99+BA103+BA110</f>
        <v>108973092432.16</v>
      </c>
      <c r="BB98" s="68"/>
      <c r="BC98" s="68"/>
      <c r="BD98" s="68"/>
      <c r="BE98" s="68"/>
      <c r="BF98" s="68"/>
      <c r="BG98" s="68"/>
      <c r="BH98" s="68"/>
      <c r="BI98" s="68"/>
      <c r="BJ98" s="68"/>
      <c r="BK98" s="68">
        <f>BK99+BK103+BK110</f>
        <v>111115785205.12529</v>
      </c>
      <c r="BL98" s="68"/>
      <c r="BM98" s="68"/>
      <c r="BN98" s="68"/>
      <c r="BO98" s="68"/>
      <c r="BP98" s="68"/>
      <c r="BQ98" s="68"/>
      <c r="BR98" s="68"/>
      <c r="BS98" s="68"/>
      <c r="BT98" s="68"/>
      <c r="BU98" s="68">
        <f>BU99+BU103+BU110</f>
        <v>115891991461.27399</v>
      </c>
      <c r="BV98" s="172">
        <f t="shared" si="34"/>
        <v>335980869098.55927</v>
      </c>
    </row>
    <row r="99" spans="1:74" ht="26.25" customHeight="1" x14ac:dyDescent="0.2">
      <c r="A99" s="105"/>
      <c r="B99" s="84"/>
      <c r="C99" s="173"/>
      <c r="D99" s="169"/>
      <c r="E99" s="71">
        <v>16</v>
      </c>
      <c r="F99" s="72" t="s">
        <v>247</v>
      </c>
      <c r="G99" s="75"/>
      <c r="H99" s="75"/>
      <c r="I99" s="74"/>
      <c r="J99" s="75"/>
      <c r="K99" s="75"/>
      <c r="L99" s="74"/>
      <c r="M99" s="76"/>
      <c r="N99" s="77"/>
      <c r="O99" s="75"/>
      <c r="P99" s="75"/>
      <c r="Q99" s="78"/>
      <c r="R99" s="75"/>
      <c r="S99" s="75"/>
      <c r="T99" s="76"/>
      <c r="U99" s="174"/>
      <c r="V99" s="76"/>
      <c r="W99" s="76"/>
      <c r="X99" s="80">
        <f t="shared" ref="X99:AO99" si="54">SUM(X100:X102)</f>
        <v>0</v>
      </c>
      <c r="Y99" s="80">
        <f t="shared" si="54"/>
        <v>0</v>
      </c>
      <c r="Z99" s="80">
        <f t="shared" si="54"/>
        <v>9351094994</v>
      </c>
      <c r="AA99" s="80">
        <f t="shared" si="54"/>
        <v>3582541949</v>
      </c>
      <c r="AB99" s="80">
        <f t="shared" si="54"/>
        <v>3166953997</v>
      </c>
      <c r="AC99" s="80">
        <f t="shared" si="54"/>
        <v>3166953997</v>
      </c>
      <c r="AD99" s="80">
        <f t="shared" si="54"/>
        <v>0</v>
      </c>
      <c r="AE99" s="80">
        <f t="shared" si="54"/>
        <v>0</v>
      </c>
      <c r="AF99" s="80">
        <f t="shared" si="54"/>
        <v>0</v>
      </c>
      <c r="AG99" s="80">
        <f t="shared" si="54"/>
        <v>5768635462</v>
      </c>
      <c r="AH99" s="80">
        <f t="shared" si="54"/>
        <v>0</v>
      </c>
      <c r="AI99" s="80">
        <f t="shared" si="54"/>
        <v>0</v>
      </c>
      <c r="AJ99" s="80">
        <f t="shared" si="54"/>
        <v>763295327</v>
      </c>
      <c r="AK99" s="80">
        <f t="shared" si="54"/>
        <v>934549247</v>
      </c>
      <c r="AL99" s="80">
        <f t="shared" si="54"/>
        <v>0</v>
      </c>
      <c r="AM99" s="80">
        <f t="shared" si="54"/>
        <v>0</v>
      </c>
      <c r="AN99" s="80">
        <f t="shared" si="54"/>
        <v>0</v>
      </c>
      <c r="AO99" s="80">
        <f t="shared" si="54"/>
        <v>0</v>
      </c>
      <c r="AP99" s="81">
        <f>SUM(AP100:AP102)</f>
        <v>13281344318</v>
      </c>
      <c r="AQ99" s="80">
        <f>SUM(AQ100:AQ102)</f>
        <v>13452680655</v>
      </c>
      <c r="AR99" s="82"/>
      <c r="AS99" s="82"/>
      <c r="AT99" s="82"/>
      <c r="AU99" s="82"/>
      <c r="AV99" s="82"/>
      <c r="AW99" s="82"/>
      <c r="AX99" s="82"/>
      <c r="AY99" s="82"/>
      <c r="AZ99" s="82"/>
      <c r="BA99" s="82">
        <f>SUM(BA100:BA102)</f>
        <v>6917440192.4099998</v>
      </c>
      <c r="BB99" s="82"/>
      <c r="BC99" s="82"/>
      <c r="BD99" s="82"/>
      <c r="BE99" s="82"/>
      <c r="BF99" s="82"/>
      <c r="BG99" s="82"/>
      <c r="BH99" s="82"/>
      <c r="BI99" s="82"/>
      <c r="BJ99" s="82"/>
      <c r="BK99" s="82">
        <f>SUM(BK100:BK102)</f>
        <v>6034963398.1823006</v>
      </c>
      <c r="BL99" s="82"/>
      <c r="BM99" s="82"/>
      <c r="BN99" s="82"/>
      <c r="BO99" s="82"/>
      <c r="BP99" s="82"/>
      <c r="BQ99" s="82"/>
      <c r="BR99" s="82"/>
      <c r="BS99" s="82"/>
      <c r="BT99" s="82"/>
      <c r="BU99" s="82">
        <f>SUM(BU100:BU102)</f>
        <v>7659195000.1277695</v>
      </c>
      <c r="BV99" s="83">
        <f t="shared" si="34"/>
        <v>20611598590.72007</v>
      </c>
    </row>
    <row r="100" spans="1:74" ht="88.5" customHeight="1" x14ac:dyDescent="0.2">
      <c r="A100" s="84">
        <v>67</v>
      </c>
      <c r="B100" s="84">
        <v>3</v>
      </c>
      <c r="C100" s="173"/>
      <c r="D100" s="173"/>
      <c r="E100" s="85">
        <v>15</v>
      </c>
      <c r="F100" s="112" t="s">
        <v>248</v>
      </c>
      <c r="G100" s="113" t="s">
        <v>249</v>
      </c>
      <c r="H100" s="113" t="s">
        <v>250</v>
      </c>
      <c r="I100" s="89">
        <v>65</v>
      </c>
      <c r="J100" s="90" t="s">
        <v>251</v>
      </c>
      <c r="K100" s="271" t="s">
        <v>252</v>
      </c>
      <c r="L100" s="272" t="s">
        <v>253</v>
      </c>
      <c r="M100" s="272">
        <v>1</v>
      </c>
      <c r="N100" s="147" t="s">
        <v>44</v>
      </c>
      <c r="O100" s="217">
        <v>1</v>
      </c>
      <c r="P100" s="217">
        <v>1</v>
      </c>
      <c r="Q100" s="248">
        <v>1</v>
      </c>
      <c r="R100" s="117">
        <v>1</v>
      </c>
      <c r="S100" s="117">
        <v>1</v>
      </c>
      <c r="T100" s="117">
        <v>1</v>
      </c>
      <c r="U100" s="273">
        <f>AP100/$AP$99</f>
        <v>0.33021833889631713</v>
      </c>
      <c r="V100" s="94">
        <v>4</v>
      </c>
      <c r="W100" s="175" t="s">
        <v>100</v>
      </c>
      <c r="X100" s="231"/>
      <c r="Y100" s="136"/>
      <c r="Z100" s="101">
        <f>1212885746+5903716</f>
        <v>1218789462</v>
      </c>
      <c r="AA100" s="274">
        <v>508871879</v>
      </c>
      <c r="AB100" s="231">
        <f>1459029622+1707924375</f>
        <v>3166953997</v>
      </c>
      <c r="AC100" s="100">
        <v>3166953997</v>
      </c>
      <c r="AD100" s="231"/>
      <c r="AE100" s="136"/>
      <c r="AF100" s="231"/>
      <c r="AG100" s="136"/>
      <c r="AH100" s="231"/>
      <c r="AI100" s="136"/>
      <c r="AJ100" s="231"/>
      <c r="AK100" s="136"/>
      <c r="AL100" s="231"/>
      <c r="AM100" s="136"/>
      <c r="AN100" s="231"/>
      <c r="AO100" s="136"/>
      <c r="AP100" s="99">
        <f>+X100+Z100+AB100+AD100+AF100+AH100+AJ100+AL100+AN100</f>
        <v>4385743459</v>
      </c>
      <c r="AQ100" s="100">
        <f>Y100+AA100+AC100+AE100+AG100+AI100+AK100+AM100+AO100</f>
        <v>3675825876</v>
      </c>
      <c r="AR100" s="109"/>
      <c r="AS100" s="109">
        <v>1250000000</v>
      </c>
      <c r="AT100" s="109">
        <v>1600000000</v>
      </c>
      <c r="AU100" s="109"/>
      <c r="AV100" s="109"/>
      <c r="AW100" s="109"/>
      <c r="AX100" s="109"/>
      <c r="AY100" s="109"/>
      <c r="AZ100" s="109"/>
      <c r="BA100" s="109">
        <f>SUM(AR100:AZ100)</f>
        <v>2850000000</v>
      </c>
      <c r="BB100" s="109"/>
      <c r="BC100" s="109">
        <f>1250000000*1.03</f>
        <v>1287500000</v>
      </c>
      <c r="BD100" s="109">
        <v>1000000000</v>
      </c>
      <c r="BE100" s="109"/>
      <c r="BF100" s="109"/>
      <c r="BG100" s="109"/>
      <c r="BH100" s="109"/>
      <c r="BI100" s="109"/>
      <c r="BJ100" s="109"/>
      <c r="BK100" s="109">
        <f>SUM(BB100:BJ100)</f>
        <v>2287500000</v>
      </c>
      <c r="BL100" s="109"/>
      <c r="BM100" s="109">
        <f>1287500000*1.03+3182700</f>
        <v>1329307700</v>
      </c>
      <c r="BN100" s="109">
        <v>750000000</v>
      </c>
      <c r="BO100" s="109"/>
      <c r="BP100" s="109"/>
      <c r="BQ100" s="109"/>
      <c r="BR100" s="109"/>
      <c r="BS100" s="109"/>
      <c r="BT100" s="109"/>
      <c r="BU100" s="109">
        <f>SUM(BL100:BT100)</f>
        <v>2079307700</v>
      </c>
      <c r="BV100" s="103">
        <f t="shared" si="34"/>
        <v>14433615400</v>
      </c>
    </row>
    <row r="101" spans="1:74" ht="94.5" customHeight="1" x14ac:dyDescent="0.2">
      <c r="A101" s="105">
        <v>68</v>
      </c>
      <c r="B101" s="84">
        <v>3</v>
      </c>
      <c r="C101" s="173"/>
      <c r="D101" s="173"/>
      <c r="E101" s="111"/>
      <c r="F101" s="154"/>
      <c r="G101" s="149"/>
      <c r="H101" s="149"/>
      <c r="I101" s="89">
        <v>66</v>
      </c>
      <c r="J101" s="90" t="s">
        <v>254</v>
      </c>
      <c r="K101" s="271" t="s">
        <v>255</v>
      </c>
      <c r="L101" s="272" t="s">
        <v>253</v>
      </c>
      <c r="M101" s="272">
        <v>1</v>
      </c>
      <c r="N101" s="147" t="s">
        <v>44</v>
      </c>
      <c r="O101" s="217">
        <v>1</v>
      </c>
      <c r="P101" s="217">
        <v>1</v>
      </c>
      <c r="Q101" s="248">
        <v>1</v>
      </c>
      <c r="R101" s="117">
        <v>1</v>
      </c>
      <c r="S101" s="117">
        <v>1</v>
      </c>
      <c r="T101" s="117">
        <v>1</v>
      </c>
      <c r="U101" s="273">
        <f>AP101/$AP$99</f>
        <v>0.59298220650196687</v>
      </c>
      <c r="V101" s="95">
        <v>2</v>
      </c>
      <c r="W101" s="98" t="s">
        <v>127</v>
      </c>
      <c r="X101" s="231"/>
      <c r="Y101" s="136"/>
      <c r="Z101" s="136">
        <v>7112305532</v>
      </c>
      <c r="AA101" s="136">
        <v>2053670070</v>
      </c>
      <c r="AB101" s="244"/>
      <c r="AC101" s="136"/>
      <c r="AD101" s="244"/>
      <c r="AE101" s="136"/>
      <c r="AF101" s="231"/>
      <c r="AG101" s="136">
        <v>5768635462</v>
      </c>
      <c r="AH101" s="231"/>
      <c r="AI101" s="136"/>
      <c r="AJ101" s="136">
        <v>763295327</v>
      </c>
      <c r="AK101" s="136">
        <v>934549247</v>
      </c>
      <c r="AL101" s="231"/>
      <c r="AM101" s="136"/>
      <c r="AN101" s="231"/>
      <c r="AO101" s="136"/>
      <c r="AP101" s="99">
        <f>+X101+Z101+AB101+AD101+AF101+AH101+AJ101+AL101+AN101</f>
        <v>7875600859</v>
      </c>
      <c r="AQ101" s="100">
        <f>Y101+AA101+AC101+AE101+AG101+AI101+AK101+AM101+AO101</f>
        <v>8756854779</v>
      </c>
      <c r="AR101" s="109"/>
      <c r="AS101" s="109">
        <v>1383252490.1000001</v>
      </c>
      <c r="AT101" s="109">
        <v>1400000000</v>
      </c>
      <c r="AU101" s="109"/>
      <c r="AV101" s="109">
        <v>233587702.31</v>
      </c>
      <c r="AW101" s="109"/>
      <c r="AX101" s="205"/>
      <c r="AY101" s="109"/>
      <c r="AZ101" s="109"/>
      <c r="BA101" s="109">
        <f>SUM(AR101:AZ101)</f>
        <v>3016840192.4100003</v>
      </c>
      <c r="BB101" s="109"/>
      <c r="BC101" s="109">
        <f>1383252490.1*1.03</f>
        <v>1424750064.803</v>
      </c>
      <c r="BD101" s="109">
        <v>1000000000</v>
      </c>
      <c r="BE101" s="109"/>
      <c r="BF101" s="109">
        <v>240595333.3793</v>
      </c>
      <c r="BG101" s="109"/>
      <c r="BH101" s="109"/>
      <c r="BI101" s="109"/>
      <c r="BJ101" s="109"/>
      <c r="BK101" s="109">
        <f>SUM(BB101:BJ101)</f>
        <v>2665345398.1823001</v>
      </c>
      <c r="BL101" s="109"/>
      <c r="BM101" s="109">
        <f>1424750064.803*1.03</f>
        <v>1467492566.7470901</v>
      </c>
      <c r="BN101" s="109">
        <v>750000000</v>
      </c>
      <c r="BO101" s="109"/>
      <c r="BP101" s="109">
        <v>247813193.38067901</v>
      </c>
      <c r="BQ101" s="109"/>
      <c r="BR101" s="109"/>
      <c r="BS101" s="109"/>
      <c r="BT101" s="109">
        <v>2000000000</v>
      </c>
      <c r="BU101" s="109">
        <f>SUM(BL101:BT101)</f>
        <v>4465305760.1277695</v>
      </c>
      <c r="BV101" s="103">
        <f t="shared" si="34"/>
        <v>20294982701.44014</v>
      </c>
    </row>
    <row r="102" spans="1:74" ht="92.25" customHeight="1" x14ac:dyDescent="0.2">
      <c r="A102" s="84">
        <v>69</v>
      </c>
      <c r="B102" s="84">
        <v>3</v>
      </c>
      <c r="C102" s="173"/>
      <c r="D102" s="173"/>
      <c r="E102" s="110"/>
      <c r="F102" s="114"/>
      <c r="G102" s="116"/>
      <c r="H102" s="116"/>
      <c r="I102" s="89">
        <v>67</v>
      </c>
      <c r="J102" s="90" t="s">
        <v>256</v>
      </c>
      <c r="K102" s="271" t="s">
        <v>257</v>
      </c>
      <c r="L102" s="272" t="s">
        <v>253</v>
      </c>
      <c r="M102" s="272">
        <v>1</v>
      </c>
      <c r="N102" s="147" t="s">
        <v>44</v>
      </c>
      <c r="O102" s="217">
        <v>1</v>
      </c>
      <c r="P102" s="217">
        <v>1</v>
      </c>
      <c r="Q102" s="248">
        <v>1</v>
      </c>
      <c r="R102" s="117">
        <v>1</v>
      </c>
      <c r="S102" s="117">
        <v>1</v>
      </c>
      <c r="T102" s="117">
        <v>1</v>
      </c>
      <c r="U102" s="273">
        <f>AP102/$AP$99</f>
        <v>7.6799454601716013E-2</v>
      </c>
      <c r="V102" s="95">
        <v>4</v>
      </c>
      <c r="W102" s="98" t="s">
        <v>100</v>
      </c>
      <c r="X102" s="231"/>
      <c r="Y102" s="136"/>
      <c r="Z102" s="142">
        <v>1020000000</v>
      </c>
      <c r="AA102" s="274">
        <v>1020000000</v>
      </c>
      <c r="AB102" s="231"/>
      <c r="AC102" s="136"/>
      <c r="AD102" s="231"/>
      <c r="AE102" s="136"/>
      <c r="AF102" s="231"/>
      <c r="AG102" s="136"/>
      <c r="AH102" s="231"/>
      <c r="AI102" s="136"/>
      <c r="AJ102" s="231"/>
      <c r="AK102" s="136"/>
      <c r="AL102" s="231"/>
      <c r="AM102" s="136"/>
      <c r="AN102" s="231"/>
      <c r="AO102" s="136"/>
      <c r="AP102" s="99">
        <f>+X102+Z102+AB102+AD102+AF102+AH102+AJ102+AL102+AN102</f>
        <v>1020000000</v>
      </c>
      <c r="AQ102" s="100">
        <f>Y102+AA102+AC102+AE102+AG102+AI102+AK102+AM102+AO102</f>
        <v>1020000000</v>
      </c>
      <c r="AR102" s="109"/>
      <c r="AS102" s="109">
        <v>1050600000</v>
      </c>
      <c r="AT102" s="109"/>
      <c r="AU102" s="109"/>
      <c r="AV102" s="109"/>
      <c r="AW102" s="109"/>
      <c r="AX102" s="109"/>
      <c r="AY102" s="109"/>
      <c r="AZ102" s="109"/>
      <c r="BA102" s="109">
        <f>SUM(AR102:AZ102)</f>
        <v>1050600000</v>
      </c>
      <c r="BB102" s="109"/>
      <c r="BC102" s="109">
        <f>1050600000*1.03</f>
        <v>1082118000</v>
      </c>
      <c r="BD102" s="109"/>
      <c r="BE102" s="109"/>
      <c r="BF102" s="109"/>
      <c r="BG102" s="109"/>
      <c r="BH102" s="109"/>
      <c r="BI102" s="109"/>
      <c r="BJ102" s="109"/>
      <c r="BK102" s="109">
        <f>SUM(BB102:BJ102)</f>
        <v>1082118000</v>
      </c>
      <c r="BL102" s="109"/>
      <c r="BM102" s="109">
        <f>1082118000*1.03</f>
        <v>1114581540</v>
      </c>
      <c r="BN102" s="109"/>
      <c r="BO102" s="109"/>
      <c r="BP102" s="109"/>
      <c r="BQ102" s="109"/>
      <c r="BR102" s="109"/>
      <c r="BS102" s="109"/>
      <c r="BT102" s="109"/>
      <c r="BU102" s="109">
        <f>SUM(BL102:BT102)</f>
        <v>1114581540</v>
      </c>
      <c r="BV102" s="103">
        <f t="shared" si="34"/>
        <v>6494599080</v>
      </c>
    </row>
    <row r="103" spans="1:74" ht="26.25" customHeight="1" x14ac:dyDescent="0.2">
      <c r="A103" s="84"/>
      <c r="B103" s="84"/>
      <c r="C103" s="173"/>
      <c r="D103" s="173"/>
      <c r="E103" s="71">
        <v>17</v>
      </c>
      <c r="F103" s="72" t="s">
        <v>258</v>
      </c>
      <c r="G103" s="73"/>
      <c r="H103" s="72"/>
      <c r="I103" s="71"/>
      <c r="J103" s="72"/>
      <c r="K103" s="75"/>
      <c r="L103" s="74"/>
      <c r="M103" s="76"/>
      <c r="N103" s="77"/>
      <c r="O103" s="75"/>
      <c r="P103" s="75"/>
      <c r="Q103" s="78"/>
      <c r="R103" s="75"/>
      <c r="S103" s="75"/>
      <c r="T103" s="76"/>
      <c r="U103" s="174"/>
      <c r="V103" s="76"/>
      <c r="W103" s="76"/>
      <c r="X103" s="80">
        <f t="shared" ref="X103:AO103" si="55">SUM(X104:X109)</f>
        <v>0</v>
      </c>
      <c r="Y103" s="80">
        <f t="shared" si="55"/>
        <v>0</v>
      </c>
      <c r="Z103" s="80">
        <f t="shared" si="55"/>
        <v>0</v>
      </c>
      <c r="AA103" s="80">
        <f t="shared" si="55"/>
        <v>0</v>
      </c>
      <c r="AB103" s="80">
        <f t="shared" si="55"/>
        <v>50000000</v>
      </c>
      <c r="AC103" s="80">
        <f t="shared" si="55"/>
        <v>50000000</v>
      </c>
      <c r="AD103" s="80">
        <f t="shared" si="55"/>
        <v>0</v>
      </c>
      <c r="AE103" s="80">
        <f t="shared" si="55"/>
        <v>0</v>
      </c>
      <c r="AF103" s="80">
        <f t="shared" si="55"/>
        <v>0</v>
      </c>
      <c r="AG103" s="80">
        <f t="shared" si="55"/>
        <v>0</v>
      </c>
      <c r="AH103" s="80">
        <f t="shared" si="55"/>
        <v>0</v>
      </c>
      <c r="AI103" s="80">
        <f t="shared" si="55"/>
        <v>0</v>
      </c>
      <c r="AJ103" s="80">
        <f t="shared" si="55"/>
        <v>1000000000</v>
      </c>
      <c r="AK103" s="80">
        <f t="shared" si="55"/>
        <v>1097002022</v>
      </c>
      <c r="AL103" s="80">
        <f t="shared" si="55"/>
        <v>0</v>
      </c>
      <c r="AM103" s="80">
        <f t="shared" si="55"/>
        <v>0</v>
      </c>
      <c r="AN103" s="80">
        <f t="shared" si="55"/>
        <v>0</v>
      </c>
      <c r="AO103" s="80">
        <f t="shared" si="55"/>
        <v>0</v>
      </c>
      <c r="AP103" s="81">
        <f>SUM(AP104:AP109)</f>
        <v>1050000000</v>
      </c>
      <c r="AQ103" s="80">
        <f>SUM(AQ104:AQ109)</f>
        <v>1147002022</v>
      </c>
      <c r="AR103" s="275"/>
      <c r="AS103" s="82"/>
      <c r="AT103" s="82"/>
      <c r="AU103" s="82"/>
      <c r="AV103" s="82"/>
      <c r="AW103" s="82"/>
      <c r="AX103" s="82"/>
      <c r="AY103" s="82"/>
      <c r="AZ103" s="82"/>
      <c r="BA103" s="82">
        <f>SUM(BA104:BA109)</f>
        <v>1183000000</v>
      </c>
      <c r="BB103" s="82"/>
      <c r="BC103" s="82"/>
      <c r="BD103" s="82"/>
      <c r="BE103" s="82"/>
      <c r="BF103" s="82"/>
      <c r="BG103" s="82"/>
      <c r="BH103" s="82"/>
      <c r="BI103" s="82"/>
      <c r="BJ103" s="82"/>
      <c r="BK103" s="82">
        <f>SUM(BK104:BK109)</f>
        <v>1181990000</v>
      </c>
      <c r="BL103" s="82"/>
      <c r="BM103" s="82"/>
      <c r="BN103" s="82"/>
      <c r="BO103" s="82"/>
      <c r="BP103" s="82"/>
      <c r="BQ103" s="82"/>
      <c r="BR103" s="82"/>
      <c r="BS103" s="82"/>
      <c r="BT103" s="82"/>
      <c r="BU103" s="82">
        <f>SUM(BU104:BU109)</f>
        <v>1216999699.9952176</v>
      </c>
      <c r="BV103" s="83">
        <f t="shared" si="34"/>
        <v>3581989699.9952173</v>
      </c>
    </row>
    <row r="104" spans="1:74" ht="85.5" x14ac:dyDescent="0.2">
      <c r="A104" s="105">
        <v>70</v>
      </c>
      <c r="B104" s="84">
        <v>3</v>
      </c>
      <c r="C104" s="173"/>
      <c r="D104" s="173"/>
      <c r="E104" s="117">
        <v>15</v>
      </c>
      <c r="F104" s="86" t="s">
        <v>248</v>
      </c>
      <c r="G104" s="88" t="s">
        <v>249</v>
      </c>
      <c r="H104" s="258" t="s">
        <v>250</v>
      </c>
      <c r="I104" s="89">
        <v>68</v>
      </c>
      <c r="J104" s="276" t="s">
        <v>259</v>
      </c>
      <c r="K104" s="276" t="s">
        <v>260</v>
      </c>
      <c r="L104" s="272" t="s">
        <v>253</v>
      </c>
      <c r="M104" s="272">
        <v>1</v>
      </c>
      <c r="N104" s="277" t="s">
        <v>44</v>
      </c>
      <c r="O104" s="94">
        <v>4357</v>
      </c>
      <c r="P104" s="94">
        <v>4500</v>
      </c>
      <c r="Q104" s="278">
        <v>4500</v>
      </c>
      <c r="R104" s="278">
        <v>4500</v>
      </c>
      <c r="S104" s="278">
        <v>4500</v>
      </c>
      <c r="T104" s="278">
        <v>4500</v>
      </c>
      <c r="U104" s="273">
        <f t="shared" ref="U104:U109" si="56">AP104/$AP$103</f>
        <v>9.5238095238095247E-3</v>
      </c>
      <c r="V104" s="94">
        <v>4</v>
      </c>
      <c r="W104" s="175" t="s">
        <v>100</v>
      </c>
      <c r="X104" s="231"/>
      <c r="Y104" s="136"/>
      <c r="Z104" s="231"/>
      <c r="AA104" s="136"/>
      <c r="AB104" s="141">
        <v>10000000</v>
      </c>
      <c r="AC104" s="142">
        <v>0</v>
      </c>
      <c r="AD104" s="141"/>
      <c r="AE104" s="142"/>
      <c r="AF104" s="231"/>
      <c r="AG104" s="136"/>
      <c r="AH104" s="231"/>
      <c r="AI104" s="136"/>
      <c r="AJ104" s="231"/>
      <c r="AK104" s="136"/>
      <c r="AL104" s="231"/>
      <c r="AM104" s="136"/>
      <c r="AN104" s="231"/>
      <c r="AO104" s="136"/>
      <c r="AP104" s="99">
        <f t="shared" ref="AP104:AP109" si="57">+X104+Z104+AB104+AD104+AF104+AH104+AJ104+AL104+AN104</f>
        <v>10000000</v>
      </c>
      <c r="AQ104" s="100">
        <f t="shared" ref="AQ104:AQ109" si="58">Y104+AA104+AC104+AE104+AG104+AI104+AK104+AM104+AO104</f>
        <v>0</v>
      </c>
      <c r="AR104" s="109"/>
      <c r="AS104" s="109"/>
      <c r="AT104" s="109">
        <v>10000000</v>
      </c>
      <c r="AU104" s="109"/>
      <c r="AV104" s="109"/>
      <c r="AW104" s="109"/>
      <c r="AX104" s="109"/>
      <c r="AY104" s="109"/>
      <c r="AZ104" s="109"/>
      <c r="BA104" s="109">
        <f t="shared" ref="BA104:BA109" si="59">SUM(AR104:AZ104)</f>
        <v>10000000</v>
      </c>
      <c r="BB104" s="109"/>
      <c r="BC104" s="109"/>
      <c r="BD104" s="109">
        <v>4000000</v>
      </c>
      <c r="BE104" s="109"/>
      <c r="BF104" s="109"/>
      <c r="BG104" s="109"/>
      <c r="BH104" s="109"/>
      <c r="BI104" s="109"/>
      <c r="BJ104" s="109"/>
      <c r="BK104" s="109">
        <f t="shared" ref="BK104:BK109" si="60">SUM(BB104:BJ104)</f>
        <v>4000000</v>
      </c>
      <c r="BL104" s="109"/>
      <c r="BM104" s="109"/>
      <c r="BN104" s="109">
        <v>10550000</v>
      </c>
      <c r="BO104" s="109"/>
      <c r="BP104" s="109"/>
      <c r="BQ104" s="109"/>
      <c r="BR104" s="109"/>
      <c r="BS104" s="109"/>
      <c r="BT104" s="109"/>
      <c r="BU104" s="109">
        <f t="shared" ref="BU104:BU109" si="61">SUM(BL104:BT104)</f>
        <v>10550000</v>
      </c>
      <c r="BV104" s="103">
        <f>SUM(AB104:BU104)</f>
        <v>69100000</v>
      </c>
    </row>
    <row r="105" spans="1:74" ht="71.25" x14ac:dyDescent="0.2">
      <c r="A105" s="84">
        <v>71</v>
      </c>
      <c r="B105" s="84">
        <v>3</v>
      </c>
      <c r="C105" s="173"/>
      <c r="D105" s="173"/>
      <c r="E105" s="117">
        <v>14</v>
      </c>
      <c r="F105" s="86" t="s">
        <v>261</v>
      </c>
      <c r="G105" s="116" t="s">
        <v>262</v>
      </c>
      <c r="H105" s="279">
        <v>0.03</v>
      </c>
      <c r="I105" s="89">
        <v>69</v>
      </c>
      <c r="J105" s="90" t="s">
        <v>263</v>
      </c>
      <c r="K105" s="276" t="s">
        <v>264</v>
      </c>
      <c r="L105" s="272" t="s">
        <v>253</v>
      </c>
      <c r="M105" s="272">
        <v>1</v>
      </c>
      <c r="N105" s="277" t="s">
        <v>44</v>
      </c>
      <c r="O105" s="94" t="s">
        <v>39</v>
      </c>
      <c r="P105" s="94">
        <v>1</v>
      </c>
      <c r="Q105" s="278">
        <v>1</v>
      </c>
      <c r="R105" s="278">
        <v>1</v>
      </c>
      <c r="S105" s="278">
        <v>1</v>
      </c>
      <c r="T105" s="278">
        <v>1</v>
      </c>
      <c r="U105" s="273">
        <f t="shared" si="56"/>
        <v>9.5238095238095247E-3</v>
      </c>
      <c r="V105" s="94">
        <v>4</v>
      </c>
      <c r="W105" s="175" t="s">
        <v>100</v>
      </c>
      <c r="X105" s="231"/>
      <c r="Y105" s="136"/>
      <c r="Z105" s="231"/>
      <c r="AA105" s="136"/>
      <c r="AB105" s="141">
        <v>10000000</v>
      </c>
      <c r="AC105" s="142">
        <v>0</v>
      </c>
      <c r="AD105" s="141"/>
      <c r="AE105" s="142"/>
      <c r="AF105" s="231"/>
      <c r="AG105" s="136"/>
      <c r="AH105" s="231"/>
      <c r="AI105" s="136"/>
      <c r="AJ105" s="231"/>
      <c r="AK105" s="136"/>
      <c r="AL105" s="231"/>
      <c r="AM105" s="136"/>
      <c r="AN105" s="231"/>
      <c r="AO105" s="136"/>
      <c r="AP105" s="99">
        <f t="shared" si="57"/>
        <v>10000000</v>
      </c>
      <c r="AQ105" s="100">
        <f t="shared" si="58"/>
        <v>0</v>
      </c>
      <c r="AR105" s="109"/>
      <c r="AS105" s="109"/>
      <c r="AT105" s="109">
        <v>10000000</v>
      </c>
      <c r="AU105" s="109"/>
      <c r="AV105" s="109"/>
      <c r="AW105" s="109"/>
      <c r="AX105" s="109"/>
      <c r="AY105" s="109"/>
      <c r="AZ105" s="109"/>
      <c r="BA105" s="109">
        <f t="shared" si="59"/>
        <v>10000000</v>
      </c>
      <c r="BB105" s="109"/>
      <c r="BC105" s="109"/>
      <c r="BD105" s="109">
        <v>4000000</v>
      </c>
      <c r="BE105" s="109"/>
      <c r="BF105" s="109"/>
      <c r="BG105" s="109"/>
      <c r="BH105" s="109"/>
      <c r="BI105" s="109"/>
      <c r="BJ105" s="109"/>
      <c r="BK105" s="109">
        <f t="shared" si="60"/>
        <v>4000000</v>
      </c>
      <c r="BL105" s="109"/>
      <c r="BM105" s="109"/>
      <c r="BN105" s="109">
        <f>15000000-10550000</f>
        <v>4450000</v>
      </c>
      <c r="BO105" s="109"/>
      <c r="BP105" s="109"/>
      <c r="BQ105" s="109"/>
      <c r="BR105" s="109">
        <f>10550000-4450000</f>
        <v>6100000</v>
      </c>
      <c r="BS105" s="109"/>
      <c r="BT105" s="109"/>
      <c r="BU105" s="109">
        <f t="shared" si="61"/>
        <v>10550000</v>
      </c>
      <c r="BV105" s="103">
        <f>SUM(AB105:BU105)</f>
        <v>69100000</v>
      </c>
    </row>
    <row r="106" spans="1:74" ht="85.5" x14ac:dyDescent="0.2">
      <c r="A106" s="105">
        <v>72</v>
      </c>
      <c r="B106" s="84">
        <v>3</v>
      </c>
      <c r="C106" s="173"/>
      <c r="D106" s="173"/>
      <c r="E106" s="111">
        <v>15</v>
      </c>
      <c r="F106" s="112" t="s">
        <v>248</v>
      </c>
      <c r="G106" s="113" t="s">
        <v>249</v>
      </c>
      <c r="H106" s="113" t="s">
        <v>250</v>
      </c>
      <c r="I106" s="89">
        <v>70</v>
      </c>
      <c r="J106" s="90" t="s">
        <v>265</v>
      </c>
      <c r="K106" s="271" t="s">
        <v>266</v>
      </c>
      <c r="L106" s="272" t="s">
        <v>253</v>
      </c>
      <c r="M106" s="272">
        <v>1</v>
      </c>
      <c r="N106" s="277" t="s">
        <v>58</v>
      </c>
      <c r="O106" s="281">
        <v>322</v>
      </c>
      <c r="P106" s="281">
        <v>490</v>
      </c>
      <c r="Q106" s="278">
        <v>343</v>
      </c>
      <c r="R106" s="278">
        <v>406</v>
      </c>
      <c r="S106" s="278">
        <v>469</v>
      </c>
      <c r="T106" s="278">
        <v>490</v>
      </c>
      <c r="U106" s="273">
        <f t="shared" si="56"/>
        <v>1.9047619047619049E-2</v>
      </c>
      <c r="V106" s="94">
        <v>4</v>
      </c>
      <c r="W106" s="175" t="s">
        <v>100</v>
      </c>
      <c r="X106" s="231"/>
      <c r="Y106" s="136"/>
      <c r="Z106" s="231"/>
      <c r="AA106" s="136"/>
      <c r="AB106" s="141">
        <v>20000000</v>
      </c>
      <c r="AC106" s="142">
        <v>0</v>
      </c>
      <c r="AD106" s="141"/>
      <c r="AE106" s="142"/>
      <c r="AF106" s="231"/>
      <c r="AG106" s="136"/>
      <c r="AH106" s="231"/>
      <c r="AI106" s="136"/>
      <c r="AJ106" s="231"/>
      <c r="AK106" s="136"/>
      <c r="AL106" s="231"/>
      <c r="AM106" s="136"/>
      <c r="AN106" s="231"/>
      <c r="AO106" s="136"/>
      <c r="AP106" s="99">
        <f t="shared" si="57"/>
        <v>20000000</v>
      </c>
      <c r="AQ106" s="100">
        <f t="shared" si="58"/>
        <v>0</v>
      </c>
      <c r="AR106" s="109"/>
      <c r="AS106" s="109"/>
      <c r="AT106" s="109">
        <v>20000000</v>
      </c>
      <c r="AU106" s="109"/>
      <c r="AV106" s="109"/>
      <c r="AW106" s="109"/>
      <c r="AX106" s="109"/>
      <c r="AY106" s="109"/>
      <c r="AZ106" s="109"/>
      <c r="BA106" s="109">
        <f t="shared" si="59"/>
        <v>20000000</v>
      </c>
      <c r="BB106" s="109"/>
      <c r="BC106" s="109"/>
      <c r="BD106" s="109">
        <v>4000000</v>
      </c>
      <c r="BE106" s="109"/>
      <c r="BF106" s="109"/>
      <c r="BG106" s="109"/>
      <c r="BH106" s="109"/>
      <c r="BI106" s="109"/>
      <c r="BJ106" s="109"/>
      <c r="BK106" s="109">
        <f t="shared" si="60"/>
        <v>4000000</v>
      </c>
      <c r="BL106" s="109"/>
      <c r="BM106" s="109"/>
      <c r="BN106" s="109"/>
      <c r="BO106" s="109"/>
      <c r="BP106" s="109"/>
      <c r="BQ106" s="109"/>
      <c r="BR106" s="109">
        <v>21165000</v>
      </c>
      <c r="BS106" s="109"/>
      <c r="BT106" s="109"/>
      <c r="BU106" s="109">
        <f t="shared" si="61"/>
        <v>21165000</v>
      </c>
      <c r="BV106" s="103">
        <f>SUM(AB106:BU106)</f>
        <v>130330000</v>
      </c>
    </row>
    <row r="107" spans="1:74" ht="71.25" x14ac:dyDescent="0.2">
      <c r="A107" s="84">
        <v>73</v>
      </c>
      <c r="B107" s="84">
        <v>3</v>
      </c>
      <c r="C107" s="173"/>
      <c r="D107" s="173"/>
      <c r="E107" s="111"/>
      <c r="F107" s="154"/>
      <c r="G107" s="149"/>
      <c r="H107" s="149"/>
      <c r="I107" s="89">
        <v>71</v>
      </c>
      <c r="J107" s="90" t="s">
        <v>267</v>
      </c>
      <c r="K107" s="271" t="s">
        <v>268</v>
      </c>
      <c r="L107" s="272" t="s">
        <v>253</v>
      </c>
      <c r="M107" s="272">
        <v>1</v>
      </c>
      <c r="N107" s="277" t="s">
        <v>58</v>
      </c>
      <c r="O107" s="281">
        <v>1762</v>
      </c>
      <c r="P107" s="281">
        <v>2570</v>
      </c>
      <c r="Q107" s="278">
        <v>1863</v>
      </c>
      <c r="R107" s="278">
        <v>2166</v>
      </c>
      <c r="S107" s="278">
        <v>2469</v>
      </c>
      <c r="T107" s="278">
        <v>2570</v>
      </c>
      <c r="U107" s="273">
        <f t="shared" si="56"/>
        <v>0</v>
      </c>
      <c r="V107" s="94">
        <v>4</v>
      </c>
      <c r="W107" s="175" t="s">
        <v>100</v>
      </c>
      <c r="X107" s="231"/>
      <c r="Y107" s="136"/>
      <c r="Z107" s="231"/>
      <c r="AA107" s="136"/>
      <c r="AB107" s="141"/>
      <c r="AC107" s="142"/>
      <c r="AD107" s="141"/>
      <c r="AE107" s="142"/>
      <c r="AF107" s="231"/>
      <c r="AG107" s="136"/>
      <c r="AH107" s="231"/>
      <c r="AI107" s="136"/>
      <c r="AJ107" s="231"/>
      <c r="AK107" s="136"/>
      <c r="AL107" s="231"/>
      <c r="AM107" s="136"/>
      <c r="AN107" s="231"/>
      <c r="AO107" s="136"/>
      <c r="AP107" s="99">
        <f t="shared" si="57"/>
        <v>0</v>
      </c>
      <c r="AQ107" s="100">
        <f t="shared" si="58"/>
        <v>0</v>
      </c>
      <c r="AR107" s="109"/>
      <c r="AS107" s="109"/>
      <c r="AT107" s="109"/>
      <c r="AU107" s="109"/>
      <c r="AV107" s="109"/>
      <c r="AW107" s="109"/>
      <c r="AX107" s="109"/>
      <c r="AY107" s="109"/>
      <c r="AZ107" s="109"/>
      <c r="BA107" s="109">
        <f t="shared" si="59"/>
        <v>0</v>
      </c>
      <c r="BB107" s="109"/>
      <c r="BC107" s="109"/>
      <c r="BD107" s="109">
        <v>0</v>
      </c>
      <c r="BE107" s="109"/>
      <c r="BF107" s="109"/>
      <c r="BG107" s="109"/>
      <c r="BH107" s="109"/>
      <c r="BI107" s="109"/>
      <c r="BJ107" s="109"/>
      <c r="BK107" s="109">
        <f t="shared" si="60"/>
        <v>0</v>
      </c>
      <c r="BL107" s="109"/>
      <c r="BM107" s="109"/>
      <c r="BN107" s="109"/>
      <c r="BO107" s="109"/>
      <c r="BP107" s="109"/>
      <c r="BQ107" s="109"/>
      <c r="BR107" s="109">
        <v>0</v>
      </c>
      <c r="BS107" s="109"/>
      <c r="BT107" s="109"/>
      <c r="BU107" s="109">
        <f t="shared" si="61"/>
        <v>0</v>
      </c>
      <c r="BV107" s="103">
        <f>SUM(AB107:BU107)</f>
        <v>0</v>
      </c>
    </row>
    <row r="108" spans="1:74" ht="99.75" x14ac:dyDescent="0.2">
      <c r="A108" s="105">
        <v>74</v>
      </c>
      <c r="B108" s="84">
        <v>3</v>
      </c>
      <c r="C108" s="173"/>
      <c r="D108" s="173"/>
      <c r="E108" s="111"/>
      <c r="F108" s="154"/>
      <c r="G108" s="149"/>
      <c r="H108" s="149"/>
      <c r="I108" s="89">
        <v>72</v>
      </c>
      <c r="J108" s="90" t="s">
        <v>269</v>
      </c>
      <c r="K108" s="271" t="s">
        <v>270</v>
      </c>
      <c r="L108" s="272" t="s">
        <v>253</v>
      </c>
      <c r="M108" s="272">
        <v>1</v>
      </c>
      <c r="N108" s="282" t="s">
        <v>44</v>
      </c>
      <c r="O108" s="217">
        <v>455</v>
      </c>
      <c r="P108" s="217">
        <v>455</v>
      </c>
      <c r="Q108" s="278">
        <v>455</v>
      </c>
      <c r="R108" s="283">
        <v>455</v>
      </c>
      <c r="S108" s="283">
        <v>455</v>
      </c>
      <c r="T108" s="283">
        <v>455</v>
      </c>
      <c r="U108" s="273">
        <f t="shared" si="56"/>
        <v>9.5238095238095247E-3</v>
      </c>
      <c r="V108" s="94">
        <v>4</v>
      </c>
      <c r="W108" s="175" t="s">
        <v>100</v>
      </c>
      <c r="X108" s="141"/>
      <c r="Y108" s="142"/>
      <c r="Z108" s="141"/>
      <c r="AA108" s="142"/>
      <c r="AB108" s="141">
        <v>10000000</v>
      </c>
      <c r="AC108" s="142">
        <v>50000000</v>
      </c>
      <c r="AD108" s="141"/>
      <c r="AE108" s="142"/>
      <c r="AF108" s="141"/>
      <c r="AG108" s="142"/>
      <c r="AH108" s="141"/>
      <c r="AI108" s="142"/>
      <c r="AJ108" s="141"/>
      <c r="AK108" s="142"/>
      <c r="AL108" s="141"/>
      <c r="AM108" s="142"/>
      <c r="AN108" s="141"/>
      <c r="AO108" s="142"/>
      <c r="AP108" s="99">
        <f t="shared" si="57"/>
        <v>10000000</v>
      </c>
      <c r="AQ108" s="100">
        <f t="shared" si="58"/>
        <v>50000000</v>
      </c>
      <c r="AR108" s="109"/>
      <c r="AS108" s="109"/>
      <c r="AT108" s="109">
        <v>10000000</v>
      </c>
      <c r="AU108" s="109"/>
      <c r="AV108" s="109"/>
      <c r="AW108" s="109"/>
      <c r="AX108" s="109"/>
      <c r="AY108" s="109"/>
      <c r="AZ108" s="109"/>
      <c r="BA108" s="109">
        <f t="shared" si="59"/>
        <v>10000000</v>
      </c>
      <c r="BB108" s="109"/>
      <c r="BC108" s="109"/>
      <c r="BD108" s="109">
        <v>3000000</v>
      </c>
      <c r="BE108" s="109"/>
      <c r="BF108" s="109"/>
      <c r="BG108" s="109"/>
      <c r="BH108" s="109"/>
      <c r="BI108" s="109"/>
      <c r="BJ108" s="109"/>
      <c r="BK108" s="109">
        <f t="shared" si="60"/>
        <v>3000000</v>
      </c>
      <c r="BL108" s="109"/>
      <c r="BM108" s="109"/>
      <c r="BN108" s="109"/>
      <c r="BO108" s="109"/>
      <c r="BP108" s="109"/>
      <c r="BQ108" s="109"/>
      <c r="BR108" s="109">
        <v>10580000</v>
      </c>
      <c r="BS108" s="109"/>
      <c r="BT108" s="109"/>
      <c r="BU108" s="109">
        <f t="shared" si="61"/>
        <v>10580000</v>
      </c>
      <c r="BV108" s="103">
        <f>SUM(AB108:BU108)</f>
        <v>167160000</v>
      </c>
    </row>
    <row r="109" spans="1:74" ht="71.25" x14ac:dyDescent="0.2">
      <c r="A109" s="84">
        <v>75</v>
      </c>
      <c r="B109" s="84">
        <v>3</v>
      </c>
      <c r="C109" s="173"/>
      <c r="D109" s="173"/>
      <c r="E109" s="110"/>
      <c r="F109" s="114"/>
      <c r="G109" s="116"/>
      <c r="H109" s="116"/>
      <c r="I109" s="89">
        <v>73</v>
      </c>
      <c r="J109" s="90" t="s">
        <v>271</v>
      </c>
      <c r="K109" s="271" t="s">
        <v>272</v>
      </c>
      <c r="L109" s="272" t="s">
        <v>253</v>
      </c>
      <c r="M109" s="272">
        <v>1</v>
      </c>
      <c r="N109" s="147" t="s">
        <v>44</v>
      </c>
      <c r="O109" s="217" t="s">
        <v>39</v>
      </c>
      <c r="P109" s="217">
        <v>1</v>
      </c>
      <c r="Q109" s="248">
        <v>1</v>
      </c>
      <c r="R109" s="117">
        <v>1</v>
      </c>
      <c r="S109" s="117">
        <v>1</v>
      </c>
      <c r="T109" s="117">
        <v>1</v>
      </c>
      <c r="U109" s="273">
        <f t="shared" si="56"/>
        <v>0.95238095238095233</v>
      </c>
      <c r="V109" s="94">
        <v>4</v>
      </c>
      <c r="W109" s="175" t="s">
        <v>100</v>
      </c>
      <c r="X109" s="141"/>
      <c r="Y109" s="142"/>
      <c r="Z109" s="141"/>
      <c r="AA109" s="142"/>
      <c r="AB109" s="141"/>
      <c r="AC109" s="142"/>
      <c r="AD109" s="141"/>
      <c r="AE109" s="142"/>
      <c r="AF109" s="141"/>
      <c r="AG109" s="142"/>
      <c r="AH109" s="141"/>
      <c r="AI109" s="142"/>
      <c r="AJ109" s="141">
        <v>1000000000</v>
      </c>
      <c r="AK109" s="136">
        <v>1097002022</v>
      </c>
      <c r="AL109" s="141"/>
      <c r="AM109" s="142"/>
      <c r="AN109" s="141"/>
      <c r="AO109" s="142"/>
      <c r="AP109" s="99">
        <f t="shared" si="57"/>
        <v>1000000000</v>
      </c>
      <c r="AQ109" s="100">
        <f t="shared" si="58"/>
        <v>1097002022</v>
      </c>
      <c r="AR109" s="109"/>
      <c r="AS109" s="109"/>
      <c r="AT109" s="109"/>
      <c r="AU109" s="109"/>
      <c r="AV109" s="109"/>
      <c r="AW109" s="109"/>
      <c r="AX109" s="109">
        <v>1133000000</v>
      </c>
      <c r="AY109" s="109"/>
      <c r="AZ109" s="109"/>
      <c r="BA109" s="109">
        <f t="shared" si="59"/>
        <v>1133000000</v>
      </c>
      <c r="BB109" s="109"/>
      <c r="BC109" s="109"/>
      <c r="BD109" s="109"/>
      <c r="BE109" s="109"/>
      <c r="BF109" s="109"/>
      <c r="BG109" s="109"/>
      <c r="BH109" s="109">
        <v>1166990000</v>
      </c>
      <c r="BI109" s="109"/>
      <c r="BJ109" s="109"/>
      <c r="BK109" s="109">
        <f t="shared" si="60"/>
        <v>1166990000</v>
      </c>
      <c r="BL109" s="109"/>
      <c r="BM109" s="109"/>
      <c r="BN109" s="109"/>
      <c r="BO109" s="109"/>
      <c r="BP109" s="109"/>
      <c r="BQ109" s="109"/>
      <c r="BR109" s="109">
        <v>1164154699.9952176</v>
      </c>
      <c r="BS109" s="109"/>
      <c r="BT109" s="109"/>
      <c r="BU109" s="109">
        <f t="shared" si="61"/>
        <v>1164154699.9952176</v>
      </c>
      <c r="BV109" s="103">
        <f t="shared" ref="BV109:BV139" si="62">SUM(AR109:BU109)</f>
        <v>6928289399.9904346</v>
      </c>
    </row>
    <row r="110" spans="1:74" ht="27.75" customHeight="1" x14ac:dyDescent="0.2">
      <c r="A110" s="84"/>
      <c r="B110" s="84"/>
      <c r="C110" s="173"/>
      <c r="D110" s="173"/>
      <c r="E110" s="71">
        <v>18</v>
      </c>
      <c r="F110" s="72" t="s">
        <v>273</v>
      </c>
      <c r="G110" s="75"/>
      <c r="H110" s="75"/>
      <c r="I110" s="76"/>
      <c r="J110" s="75"/>
      <c r="K110" s="125"/>
      <c r="L110" s="74"/>
      <c r="M110" s="74"/>
      <c r="N110" s="77"/>
      <c r="O110" s="75"/>
      <c r="P110" s="75"/>
      <c r="Q110" s="78"/>
      <c r="R110" s="75"/>
      <c r="S110" s="75"/>
      <c r="T110" s="76"/>
      <c r="U110" s="174"/>
      <c r="V110" s="284"/>
      <c r="W110" s="76"/>
      <c r="X110" s="80">
        <f t="shared" ref="X110:AO110" si="63">SUM(X111)</f>
        <v>0</v>
      </c>
      <c r="Y110" s="80">
        <f t="shared" si="63"/>
        <v>0</v>
      </c>
      <c r="Z110" s="80">
        <f t="shared" si="63"/>
        <v>0</v>
      </c>
      <c r="AA110" s="80">
        <f t="shared" si="63"/>
        <v>0</v>
      </c>
      <c r="AB110" s="80">
        <f t="shared" si="63"/>
        <v>0</v>
      </c>
      <c r="AC110" s="80">
        <f t="shared" si="63"/>
        <v>0</v>
      </c>
      <c r="AD110" s="80">
        <f t="shared" si="63"/>
        <v>0</v>
      </c>
      <c r="AE110" s="80">
        <f t="shared" si="63"/>
        <v>0</v>
      </c>
      <c r="AF110" s="80">
        <f t="shared" si="63"/>
        <v>0</v>
      </c>
      <c r="AG110" s="80">
        <f t="shared" si="63"/>
        <v>0</v>
      </c>
      <c r="AH110" s="80">
        <f t="shared" si="63"/>
        <v>0</v>
      </c>
      <c r="AI110" s="80">
        <f t="shared" si="63"/>
        <v>0</v>
      </c>
      <c r="AJ110" s="80">
        <f t="shared" si="63"/>
        <v>97309228690.839996</v>
      </c>
      <c r="AK110" s="80">
        <f t="shared" si="63"/>
        <v>97552309856.839996</v>
      </c>
      <c r="AL110" s="80">
        <f t="shared" si="63"/>
        <v>0</v>
      </c>
      <c r="AM110" s="80">
        <f t="shared" si="63"/>
        <v>0</v>
      </c>
      <c r="AN110" s="80">
        <f t="shared" si="63"/>
        <v>0</v>
      </c>
      <c r="AO110" s="80">
        <f t="shared" si="63"/>
        <v>0</v>
      </c>
      <c r="AP110" s="81">
        <f>SUM(AP111)</f>
        <v>97309228690.839996</v>
      </c>
      <c r="AQ110" s="80">
        <f>SUM(AQ111)</f>
        <v>97552309856.839996</v>
      </c>
      <c r="AR110" s="275"/>
      <c r="AS110" s="131"/>
      <c r="AT110" s="131"/>
      <c r="AU110" s="131"/>
      <c r="AV110" s="131"/>
      <c r="AW110" s="131"/>
      <c r="AX110" s="131"/>
      <c r="AY110" s="131"/>
      <c r="AZ110" s="131"/>
      <c r="BA110" s="131">
        <f>SUM(BA111)</f>
        <v>100872652239.75</v>
      </c>
      <c r="BB110" s="131"/>
      <c r="BC110" s="131"/>
      <c r="BD110" s="131"/>
      <c r="BE110" s="131"/>
      <c r="BF110" s="131"/>
      <c r="BG110" s="131"/>
      <c r="BH110" s="131"/>
      <c r="BI110" s="131"/>
      <c r="BJ110" s="131"/>
      <c r="BK110" s="131">
        <f>SUM(BK111)</f>
        <v>103898831806.94299</v>
      </c>
      <c r="BL110" s="82"/>
      <c r="BM110" s="82"/>
      <c r="BN110" s="82"/>
      <c r="BO110" s="82"/>
      <c r="BP110" s="82"/>
      <c r="BQ110" s="82"/>
      <c r="BR110" s="82"/>
      <c r="BS110" s="82"/>
      <c r="BT110" s="82"/>
      <c r="BU110" s="131">
        <f>SUM(BU111)</f>
        <v>107015796761.151</v>
      </c>
      <c r="BV110" s="132">
        <f t="shared" si="62"/>
        <v>311787280807.84399</v>
      </c>
    </row>
    <row r="111" spans="1:74" ht="161.25" customHeight="1" x14ac:dyDescent="0.2">
      <c r="A111" s="105">
        <v>76</v>
      </c>
      <c r="B111" s="84">
        <v>3</v>
      </c>
      <c r="C111" s="173"/>
      <c r="D111" s="237"/>
      <c r="E111" s="117">
        <v>15</v>
      </c>
      <c r="F111" s="86" t="s">
        <v>274</v>
      </c>
      <c r="G111" s="88" t="s">
        <v>249</v>
      </c>
      <c r="H111" s="258" t="s">
        <v>250</v>
      </c>
      <c r="I111" s="89">
        <v>74</v>
      </c>
      <c r="J111" s="90" t="s">
        <v>275</v>
      </c>
      <c r="K111" s="271" t="s">
        <v>276</v>
      </c>
      <c r="L111" s="272" t="s">
        <v>253</v>
      </c>
      <c r="M111" s="272">
        <v>1</v>
      </c>
      <c r="N111" s="285" t="s">
        <v>44</v>
      </c>
      <c r="O111" s="217">
        <v>2232</v>
      </c>
      <c r="P111" s="217">
        <v>2232</v>
      </c>
      <c r="Q111" s="281">
        <v>2232</v>
      </c>
      <c r="R111" s="217">
        <v>2232</v>
      </c>
      <c r="S111" s="217">
        <v>2232</v>
      </c>
      <c r="T111" s="217">
        <v>2232</v>
      </c>
      <c r="U111" s="157">
        <f>AP111/AP110</f>
        <v>1</v>
      </c>
      <c r="V111" s="95">
        <v>4</v>
      </c>
      <c r="W111" s="98" t="s">
        <v>100</v>
      </c>
      <c r="X111" s="99">
        <v>0</v>
      </c>
      <c r="Y111" s="100">
        <v>0</v>
      </c>
      <c r="Z111" s="99">
        <v>0</v>
      </c>
      <c r="AA111" s="100">
        <v>0</v>
      </c>
      <c r="AB111" s="99">
        <v>0</v>
      </c>
      <c r="AC111" s="100">
        <v>0</v>
      </c>
      <c r="AD111" s="99">
        <v>0</v>
      </c>
      <c r="AE111" s="100">
        <v>0</v>
      </c>
      <c r="AF111" s="99">
        <v>0</v>
      </c>
      <c r="AG111" s="100">
        <v>0</v>
      </c>
      <c r="AH111" s="99">
        <v>0</v>
      </c>
      <c r="AI111" s="100">
        <v>0</v>
      </c>
      <c r="AJ111" s="141">
        <v>97309228690.839996</v>
      </c>
      <c r="AK111" s="141">
        <f>'[3]SEGUMIENTO DIC'!$AZ$386+'[3]SEGUMIENTO DIC'!$AZ$387</f>
        <v>97552309856.839996</v>
      </c>
      <c r="AL111" s="99">
        <v>0</v>
      </c>
      <c r="AM111" s="100">
        <v>0</v>
      </c>
      <c r="AN111" s="99">
        <v>0</v>
      </c>
      <c r="AO111" s="100">
        <v>0</v>
      </c>
      <c r="AP111" s="99">
        <f>+X111+Z111+AB111+AD111+AF111+AH111+AJ111+AL111+AN111</f>
        <v>97309228690.839996</v>
      </c>
      <c r="AQ111" s="100">
        <f>Y111+AA111+AC111+AE111+AG111+AI111+AK111+AM111+AO111</f>
        <v>97552309856.839996</v>
      </c>
      <c r="AR111" s="109"/>
      <c r="AS111" s="109"/>
      <c r="AT111" s="109"/>
      <c r="AU111" s="109"/>
      <c r="AV111" s="109"/>
      <c r="AW111" s="109"/>
      <c r="AX111" s="109">
        <v>100872652239.75</v>
      </c>
      <c r="AY111" s="109"/>
      <c r="AZ111" s="109"/>
      <c r="BA111" s="109">
        <f>SUM(AR111:AZ111)</f>
        <v>100872652239.75</v>
      </c>
      <c r="BB111" s="286"/>
      <c r="BC111" s="286"/>
      <c r="BD111" s="286"/>
      <c r="BE111" s="286"/>
      <c r="BF111" s="286"/>
      <c r="BG111" s="286"/>
      <c r="BH111" s="192">
        <v>103898831806.94299</v>
      </c>
      <c r="BI111" s="286"/>
      <c r="BJ111" s="286"/>
      <c r="BK111" s="286">
        <f>SUM(BB111:BJ111)</f>
        <v>103898831806.94299</v>
      </c>
      <c r="BL111" s="109"/>
      <c r="BM111" s="109"/>
      <c r="BN111" s="109"/>
      <c r="BO111" s="109"/>
      <c r="BP111" s="109"/>
      <c r="BQ111" s="109"/>
      <c r="BR111" s="109">
        <v>107015796761.151</v>
      </c>
      <c r="BS111" s="109"/>
      <c r="BT111" s="109"/>
      <c r="BU111" s="109">
        <f>SUM(BL111:BT111)</f>
        <v>107015796761.151</v>
      </c>
      <c r="BV111" s="103">
        <f t="shared" si="62"/>
        <v>623574561615.68799</v>
      </c>
    </row>
    <row r="112" spans="1:74" ht="24.75" customHeight="1" x14ac:dyDescent="0.2">
      <c r="A112" s="105"/>
      <c r="B112" s="84"/>
      <c r="C112" s="173"/>
      <c r="D112" s="56">
        <v>6</v>
      </c>
      <c r="E112" s="170" t="s">
        <v>277</v>
      </c>
      <c r="F112" s="61"/>
      <c r="G112" s="61"/>
      <c r="H112" s="61"/>
      <c r="I112" s="60"/>
      <c r="J112" s="61"/>
      <c r="K112" s="61"/>
      <c r="L112" s="62"/>
      <c r="M112" s="60"/>
      <c r="N112" s="63"/>
      <c r="O112" s="61"/>
      <c r="P112" s="61"/>
      <c r="Q112" s="64"/>
      <c r="R112" s="61"/>
      <c r="S112" s="61"/>
      <c r="T112" s="60"/>
      <c r="U112" s="171"/>
      <c r="V112" s="60"/>
      <c r="W112" s="60"/>
      <c r="X112" s="66">
        <f t="shared" ref="X112:AO112" si="64">X113+X122+X133+X138</f>
        <v>0</v>
      </c>
      <c r="Y112" s="66">
        <f t="shared" si="64"/>
        <v>0</v>
      </c>
      <c r="Z112" s="66">
        <f t="shared" si="64"/>
        <v>700000000</v>
      </c>
      <c r="AA112" s="66">
        <f t="shared" si="64"/>
        <v>651120524.54999995</v>
      </c>
      <c r="AB112" s="66">
        <f t="shared" si="64"/>
        <v>105000000</v>
      </c>
      <c r="AC112" s="66">
        <f t="shared" si="64"/>
        <v>105000000</v>
      </c>
      <c r="AD112" s="66">
        <f t="shared" si="64"/>
        <v>0</v>
      </c>
      <c r="AE112" s="66">
        <f t="shared" si="64"/>
        <v>0</v>
      </c>
      <c r="AF112" s="66">
        <f t="shared" si="64"/>
        <v>0</v>
      </c>
      <c r="AG112" s="66">
        <f t="shared" si="64"/>
        <v>48879475.450000003</v>
      </c>
      <c r="AH112" s="66">
        <f t="shared" si="64"/>
        <v>0</v>
      </c>
      <c r="AI112" s="66">
        <f t="shared" si="64"/>
        <v>0</v>
      </c>
      <c r="AJ112" s="66">
        <f t="shared" si="64"/>
        <v>360000000</v>
      </c>
      <c r="AK112" s="66">
        <f t="shared" si="64"/>
        <v>360000000</v>
      </c>
      <c r="AL112" s="66">
        <f t="shared" si="64"/>
        <v>0</v>
      </c>
      <c r="AM112" s="66">
        <f t="shared" si="64"/>
        <v>0</v>
      </c>
      <c r="AN112" s="66">
        <f t="shared" si="64"/>
        <v>4200000000</v>
      </c>
      <c r="AO112" s="66">
        <f t="shared" si="64"/>
        <v>0</v>
      </c>
      <c r="AP112" s="67">
        <f>AP113+AP122+AP133+AP138</f>
        <v>5365000000</v>
      </c>
      <c r="AQ112" s="66">
        <f>AQ113+AQ122+AQ133+AQ138</f>
        <v>1165000000</v>
      </c>
      <c r="AR112" s="68"/>
      <c r="AS112" s="68"/>
      <c r="AT112" s="68"/>
      <c r="AU112" s="68"/>
      <c r="AV112" s="68"/>
      <c r="AW112" s="68"/>
      <c r="AX112" s="68"/>
      <c r="AY112" s="68"/>
      <c r="AZ112" s="68"/>
      <c r="BA112" s="68">
        <f>BA113+BA122+BA133+BA138</f>
        <v>5849076423</v>
      </c>
      <c r="BB112" s="68"/>
      <c r="BC112" s="68"/>
      <c r="BD112" s="68"/>
      <c r="BE112" s="68"/>
      <c r="BF112" s="68"/>
      <c r="BG112" s="68"/>
      <c r="BH112" s="68"/>
      <c r="BI112" s="68"/>
      <c r="BJ112" s="68"/>
      <c r="BK112" s="68">
        <f>BK113+BK122+BK133+BK138</f>
        <v>6523014000</v>
      </c>
      <c r="BL112" s="68"/>
      <c r="BM112" s="68"/>
      <c r="BN112" s="68"/>
      <c r="BO112" s="68"/>
      <c r="BP112" s="68"/>
      <c r="BQ112" s="68"/>
      <c r="BR112" s="68"/>
      <c r="BS112" s="68"/>
      <c r="BT112" s="68"/>
      <c r="BU112" s="68">
        <f>BU113+BU122+BU133+BU138</f>
        <v>4529471720</v>
      </c>
      <c r="BV112" s="172">
        <f t="shared" si="62"/>
        <v>16901562143</v>
      </c>
    </row>
    <row r="113" spans="1:74" ht="24.75" customHeight="1" x14ac:dyDescent="0.2">
      <c r="A113" s="105"/>
      <c r="B113" s="84"/>
      <c r="C113" s="173"/>
      <c r="D113" s="169"/>
      <c r="E113" s="71">
        <v>19</v>
      </c>
      <c r="F113" s="72" t="s">
        <v>278</v>
      </c>
      <c r="G113" s="287"/>
      <c r="H113" s="287"/>
      <c r="I113" s="74"/>
      <c r="J113" s="75"/>
      <c r="K113" s="75"/>
      <c r="L113" s="74"/>
      <c r="M113" s="76"/>
      <c r="N113" s="77"/>
      <c r="O113" s="75"/>
      <c r="P113" s="75"/>
      <c r="Q113" s="78"/>
      <c r="R113" s="75"/>
      <c r="S113" s="75"/>
      <c r="T113" s="76"/>
      <c r="U113" s="174"/>
      <c r="V113" s="76"/>
      <c r="W113" s="76"/>
      <c r="X113" s="80">
        <f t="shared" ref="X113:AO113" si="65">SUM(X114:X121)</f>
        <v>0</v>
      </c>
      <c r="Y113" s="80">
        <f t="shared" si="65"/>
        <v>0</v>
      </c>
      <c r="Z113" s="80">
        <f t="shared" si="65"/>
        <v>100000000</v>
      </c>
      <c r="AA113" s="80">
        <f t="shared" si="65"/>
        <v>51120524.549999997</v>
      </c>
      <c r="AB113" s="80">
        <f t="shared" si="65"/>
        <v>30000000</v>
      </c>
      <c r="AC113" s="80">
        <f t="shared" si="65"/>
        <v>30000000</v>
      </c>
      <c r="AD113" s="80">
        <f t="shared" si="65"/>
        <v>0</v>
      </c>
      <c r="AE113" s="80">
        <f t="shared" si="65"/>
        <v>0</v>
      </c>
      <c r="AF113" s="80">
        <f t="shared" si="65"/>
        <v>0</v>
      </c>
      <c r="AG113" s="80">
        <f t="shared" si="65"/>
        <v>48879475.450000003</v>
      </c>
      <c r="AH113" s="80">
        <f t="shared" si="65"/>
        <v>0</v>
      </c>
      <c r="AI113" s="80">
        <f t="shared" si="65"/>
        <v>0</v>
      </c>
      <c r="AJ113" s="80">
        <f t="shared" si="65"/>
        <v>0</v>
      </c>
      <c r="AK113" s="80">
        <f t="shared" si="65"/>
        <v>0</v>
      </c>
      <c r="AL113" s="80">
        <f t="shared" si="65"/>
        <v>0</v>
      </c>
      <c r="AM113" s="80">
        <f t="shared" si="65"/>
        <v>0</v>
      </c>
      <c r="AN113" s="80">
        <f t="shared" si="65"/>
        <v>0</v>
      </c>
      <c r="AO113" s="80">
        <f t="shared" si="65"/>
        <v>0</v>
      </c>
      <c r="AP113" s="81">
        <f>SUM(AP114:AP121)</f>
        <v>130000000</v>
      </c>
      <c r="AQ113" s="80">
        <f>SUM(AQ114:AQ121)</f>
        <v>130000000</v>
      </c>
      <c r="AR113" s="275"/>
      <c r="AS113" s="82"/>
      <c r="AT113" s="82"/>
      <c r="AU113" s="82"/>
      <c r="AV113" s="82"/>
      <c r="AW113" s="82"/>
      <c r="AX113" s="82"/>
      <c r="AY113" s="82"/>
      <c r="AZ113" s="82"/>
      <c r="BA113" s="82">
        <f>SUM(BA114:BA121)</f>
        <v>103000000</v>
      </c>
      <c r="BB113" s="82"/>
      <c r="BC113" s="82"/>
      <c r="BD113" s="82"/>
      <c r="BE113" s="82"/>
      <c r="BF113" s="82"/>
      <c r="BG113" s="82"/>
      <c r="BH113" s="82"/>
      <c r="BI113" s="82"/>
      <c r="BJ113" s="82"/>
      <c r="BK113" s="82">
        <f>SUM(BK114:BK121)</f>
        <v>106090000</v>
      </c>
      <c r="BL113" s="82"/>
      <c r="BM113" s="82"/>
      <c r="BN113" s="82"/>
      <c r="BO113" s="82"/>
      <c r="BP113" s="82"/>
      <c r="BQ113" s="82"/>
      <c r="BR113" s="82"/>
      <c r="BS113" s="82"/>
      <c r="BT113" s="82"/>
      <c r="BU113" s="131">
        <f>SUM(BU114:BU121)</f>
        <v>106090000</v>
      </c>
      <c r="BV113" s="132">
        <f t="shared" si="62"/>
        <v>315180000</v>
      </c>
    </row>
    <row r="114" spans="1:74" ht="133.5" customHeight="1" x14ac:dyDescent="0.2">
      <c r="A114" s="84">
        <v>77</v>
      </c>
      <c r="B114" s="84">
        <v>3</v>
      </c>
      <c r="C114" s="173"/>
      <c r="D114" s="173"/>
      <c r="E114" s="85"/>
      <c r="F114" s="133"/>
      <c r="G114" s="87"/>
      <c r="H114" s="87"/>
      <c r="I114" s="89">
        <v>75</v>
      </c>
      <c r="J114" s="90" t="s">
        <v>279</v>
      </c>
      <c r="K114" s="271" t="s">
        <v>280</v>
      </c>
      <c r="L114" s="272" t="s">
        <v>253</v>
      </c>
      <c r="M114" s="272">
        <v>1</v>
      </c>
      <c r="N114" s="277" t="s">
        <v>58</v>
      </c>
      <c r="O114" s="281">
        <v>18</v>
      </c>
      <c r="P114" s="278">
        <v>36</v>
      </c>
      <c r="Q114" s="278">
        <v>23</v>
      </c>
      <c r="R114" s="278">
        <v>27</v>
      </c>
      <c r="S114" s="278">
        <v>33.75</v>
      </c>
      <c r="T114" s="278">
        <v>36</v>
      </c>
      <c r="U114" s="273"/>
      <c r="V114" s="94">
        <v>4</v>
      </c>
      <c r="W114" s="175" t="s">
        <v>100</v>
      </c>
      <c r="X114" s="231"/>
      <c r="Y114" s="136"/>
      <c r="Z114" s="231"/>
      <c r="AA114" s="136"/>
      <c r="AB114" s="231"/>
      <c r="AC114" s="136"/>
      <c r="AD114" s="231"/>
      <c r="AE114" s="136"/>
      <c r="AF114" s="231"/>
      <c r="AG114" s="136"/>
      <c r="AH114" s="231"/>
      <c r="AI114" s="136"/>
      <c r="AJ114" s="231"/>
      <c r="AK114" s="136"/>
      <c r="AL114" s="231"/>
      <c r="AM114" s="136"/>
      <c r="AN114" s="231"/>
      <c r="AO114" s="136"/>
      <c r="AP114" s="99">
        <f t="shared" ref="AP114:AP121" si="66">+X114+Z114+AB114+AD114+AF114+AH114+AJ114+AL114+AN114</f>
        <v>0</v>
      </c>
      <c r="AQ114" s="100">
        <f t="shared" ref="AQ114:AQ121" si="67">Y114+AA114+AC114+AE114+AG114+AI114+AK114+AM114+AO114</f>
        <v>0</v>
      </c>
      <c r="AR114" s="109"/>
      <c r="AS114" s="109"/>
      <c r="AT114" s="109"/>
      <c r="AU114" s="109"/>
      <c r="AV114" s="109"/>
      <c r="AW114" s="109"/>
      <c r="AX114" s="109"/>
      <c r="AY114" s="109"/>
      <c r="AZ114" s="109"/>
      <c r="BA114" s="109"/>
      <c r="BB114" s="192"/>
      <c r="BC114" s="192"/>
      <c r="BD114" s="192"/>
      <c r="BE114" s="192"/>
      <c r="BF114" s="192"/>
      <c r="BG114" s="192"/>
      <c r="BH114" s="192"/>
      <c r="BI114" s="192"/>
      <c r="BJ114" s="192"/>
      <c r="BK114" s="192"/>
      <c r="BL114" s="109"/>
      <c r="BM114" s="109"/>
      <c r="BN114" s="109"/>
      <c r="BO114" s="109"/>
      <c r="BP114" s="109"/>
      <c r="BQ114" s="109"/>
      <c r="BR114" s="109"/>
      <c r="BS114" s="109"/>
      <c r="BT114" s="109"/>
      <c r="BU114" s="109"/>
      <c r="BV114" s="103">
        <f t="shared" si="62"/>
        <v>0</v>
      </c>
    </row>
    <row r="115" spans="1:74" ht="142.5" x14ac:dyDescent="0.2">
      <c r="A115" s="105">
        <v>78</v>
      </c>
      <c r="B115" s="84">
        <v>3</v>
      </c>
      <c r="C115" s="173"/>
      <c r="D115" s="173"/>
      <c r="E115" s="110">
        <v>16</v>
      </c>
      <c r="F115" s="223" t="s">
        <v>281</v>
      </c>
      <c r="G115" s="115">
        <v>45</v>
      </c>
      <c r="H115" s="115">
        <v>90</v>
      </c>
      <c r="I115" s="89">
        <v>76</v>
      </c>
      <c r="J115" s="90" t="s">
        <v>282</v>
      </c>
      <c r="K115" s="271" t="s">
        <v>283</v>
      </c>
      <c r="L115" s="272" t="s">
        <v>253</v>
      </c>
      <c r="M115" s="272">
        <v>1</v>
      </c>
      <c r="N115" s="288" t="s">
        <v>58</v>
      </c>
      <c r="O115" s="281">
        <v>0</v>
      </c>
      <c r="P115" s="281">
        <v>1200</v>
      </c>
      <c r="Q115" s="278">
        <v>450</v>
      </c>
      <c r="R115" s="278">
        <v>600</v>
      </c>
      <c r="S115" s="278">
        <v>1050</v>
      </c>
      <c r="T115" s="278">
        <v>1200</v>
      </c>
      <c r="U115" s="273">
        <f>AP115/AP113</f>
        <v>1</v>
      </c>
      <c r="V115" s="94">
        <v>4</v>
      </c>
      <c r="W115" s="175" t="s">
        <v>100</v>
      </c>
      <c r="X115" s="231"/>
      <c r="Y115" s="136"/>
      <c r="Z115" s="231">
        <v>100000000</v>
      </c>
      <c r="AA115" s="136">
        <v>51120524.549999997</v>
      </c>
      <c r="AB115" s="231">
        <v>30000000</v>
      </c>
      <c r="AC115" s="136">
        <v>30000000</v>
      </c>
      <c r="AD115" s="231"/>
      <c r="AE115" s="136"/>
      <c r="AF115" s="231"/>
      <c r="AG115" s="206">
        <v>48879475.450000003</v>
      </c>
      <c r="AH115" s="231"/>
      <c r="AI115" s="136"/>
      <c r="AJ115" s="231"/>
      <c r="AK115" s="136"/>
      <c r="AL115" s="231"/>
      <c r="AM115" s="136"/>
      <c r="AN115" s="231"/>
      <c r="AO115" s="136"/>
      <c r="AP115" s="99">
        <f t="shared" si="66"/>
        <v>130000000</v>
      </c>
      <c r="AQ115" s="100">
        <f t="shared" si="67"/>
        <v>130000000</v>
      </c>
      <c r="AR115" s="109"/>
      <c r="AS115" s="109">
        <v>103000000</v>
      </c>
      <c r="AT115" s="109"/>
      <c r="AU115" s="109"/>
      <c r="AV115" s="109"/>
      <c r="AW115" s="109"/>
      <c r="AX115" s="109"/>
      <c r="AY115" s="109"/>
      <c r="AZ115" s="109"/>
      <c r="BA115" s="109">
        <f>SUM(AR115:AZ115)</f>
        <v>103000000</v>
      </c>
      <c r="BB115" s="192"/>
      <c r="BC115" s="192">
        <v>106090000</v>
      </c>
      <c r="BD115" s="192"/>
      <c r="BE115" s="192"/>
      <c r="BF115" s="192"/>
      <c r="BG115" s="192"/>
      <c r="BH115" s="192"/>
      <c r="BI115" s="192"/>
      <c r="BJ115" s="192"/>
      <c r="BK115" s="192">
        <f>SUM(BB115:BJ115)</f>
        <v>106090000</v>
      </c>
      <c r="BL115" s="109"/>
      <c r="BM115" s="109">
        <v>106090000</v>
      </c>
      <c r="BN115" s="109"/>
      <c r="BO115" s="109"/>
      <c r="BP115" s="109"/>
      <c r="BQ115" s="109"/>
      <c r="BR115" s="109"/>
      <c r="BS115" s="109"/>
      <c r="BT115" s="109"/>
      <c r="BU115" s="109">
        <f>SUM(BL115:BT115)</f>
        <v>106090000</v>
      </c>
      <c r="BV115" s="103">
        <f t="shared" si="62"/>
        <v>630360000</v>
      </c>
    </row>
    <row r="116" spans="1:74" ht="69" customHeight="1" x14ac:dyDescent="0.2">
      <c r="A116" s="84">
        <v>79</v>
      </c>
      <c r="B116" s="84">
        <v>3</v>
      </c>
      <c r="C116" s="173"/>
      <c r="D116" s="173"/>
      <c r="E116" s="111"/>
      <c r="F116" s="139"/>
      <c r="G116" s="182"/>
      <c r="H116" s="182"/>
      <c r="I116" s="89">
        <v>77</v>
      </c>
      <c r="J116" s="90" t="s">
        <v>284</v>
      </c>
      <c r="K116" s="271" t="s">
        <v>285</v>
      </c>
      <c r="L116" s="272" t="s">
        <v>253</v>
      </c>
      <c r="M116" s="272">
        <v>1</v>
      </c>
      <c r="N116" s="277" t="s">
        <v>58</v>
      </c>
      <c r="O116" s="281">
        <v>20</v>
      </c>
      <c r="P116" s="278">
        <v>80</v>
      </c>
      <c r="Q116" s="278">
        <v>27.5</v>
      </c>
      <c r="R116" s="278">
        <v>50</v>
      </c>
      <c r="S116" s="278">
        <v>72.5</v>
      </c>
      <c r="T116" s="278">
        <v>80</v>
      </c>
      <c r="U116" s="273"/>
      <c r="V116" s="94">
        <v>4</v>
      </c>
      <c r="W116" s="175" t="s">
        <v>100</v>
      </c>
      <c r="X116" s="231"/>
      <c r="Y116" s="136"/>
      <c r="Z116" s="231"/>
      <c r="AA116" s="136"/>
      <c r="AB116" s="231"/>
      <c r="AC116" s="136"/>
      <c r="AD116" s="231"/>
      <c r="AE116" s="136"/>
      <c r="AF116" s="231"/>
      <c r="AG116" s="136"/>
      <c r="AH116" s="231"/>
      <c r="AI116" s="136"/>
      <c r="AJ116" s="231"/>
      <c r="AK116" s="136"/>
      <c r="AL116" s="231"/>
      <c r="AM116" s="136"/>
      <c r="AN116" s="231"/>
      <c r="AO116" s="136"/>
      <c r="AP116" s="99">
        <f t="shared" si="66"/>
        <v>0</v>
      </c>
      <c r="AQ116" s="100">
        <f t="shared" si="67"/>
        <v>0</v>
      </c>
      <c r="AR116" s="109"/>
      <c r="AS116" s="109"/>
      <c r="AT116" s="109"/>
      <c r="AU116" s="109"/>
      <c r="AV116" s="109"/>
      <c r="AW116" s="109"/>
      <c r="AX116" s="109"/>
      <c r="AY116" s="109"/>
      <c r="AZ116" s="109"/>
      <c r="BA116" s="109"/>
      <c r="BB116" s="192"/>
      <c r="BC116" s="192"/>
      <c r="BD116" s="192"/>
      <c r="BE116" s="192"/>
      <c r="BF116" s="192"/>
      <c r="BG116" s="192"/>
      <c r="BH116" s="192"/>
      <c r="BI116" s="192"/>
      <c r="BJ116" s="192"/>
      <c r="BK116" s="192"/>
      <c r="BL116" s="109"/>
      <c r="BM116" s="109"/>
      <c r="BN116" s="109"/>
      <c r="BO116" s="109"/>
      <c r="BP116" s="109"/>
      <c r="BQ116" s="109"/>
      <c r="BR116" s="109"/>
      <c r="BS116" s="109"/>
      <c r="BT116" s="109"/>
      <c r="BU116" s="109"/>
      <c r="BV116" s="103">
        <f t="shared" si="62"/>
        <v>0</v>
      </c>
    </row>
    <row r="117" spans="1:74" ht="85.5" x14ac:dyDescent="0.2">
      <c r="A117" s="105">
        <v>80</v>
      </c>
      <c r="B117" s="84">
        <v>3</v>
      </c>
      <c r="C117" s="173"/>
      <c r="D117" s="173"/>
      <c r="E117" s="110">
        <v>17</v>
      </c>
      <c r="F117" s="289" t="s">
        <v>286</v>
      </c>
      <c r="G117" s="290" t="s">
        <v>287</v>
      </c>
      <c r="H117" s="291">
        <v>0.5</v>
      </c>
      <c r="I117" s="89">
        <v>78</v>
      </c>
      <c r="J117" s="90" t="s">
        <v>288</v>
      </c>
      <c r="K117" s="271" t="s">
        <v>289</v>
      </c>
      <c r="L117" s="272" t="s">
        <v>253</v>
      </c>
      <c r="M117" s="272">
        <v>1</v>
      </c>
      <c r="N117" s="277" t="s">
        <v>58</v>
      </c>
      <c r="O117" s="281">
        <v>7</v>
      </c>
      <c r="P117" s="278">
        <v>15</v>
      </c>
      <c r="Q117" s="278">
        <v>9</v>
      </c>
      <c r="R117" s="278">
        <v>11</v>
      </c>
      <c r="S117" s="278">
        <v>14</v>
      </c>
      <c r="T117" s="278">
        <v>15</v>
      </c>
      <c r="U117" s="273"/>
      <c r="V117" s="94">
        <v>4</v>
      </c>
      <c r="W117" s="175" t="s">
        <v>100</v>
      </c>
      <c r="X117" s="231"/>
      <c r="Y117" s="136"/>
      <c r="Z117" s="231"/>
      <c r="AA117" s="136"/>
      <c r="AB117" s="231"/>
      <c r="AC117" s="136"/>
      <c r="AD117" s="231"/>
      <c r="AE117" s="136"/>
      <c r="AF117" s="231"/>
      <c r="AG117" s="136"/>
      <c r="AH117" s="231"/>
      <c r="AI117" s="136"/>
      <c r="AJ117" s="231"/>
      <c r="AK117" s="136"/>
      <c r="AL117" s="231"/>
      <c r="AM117" s="136"/>
      <c r="AN117" s="231"/>
      <c r="AO117" s="136"/>
      <c r="AP117" s="99">
        <f t="shared" si="66"/>
        <v>0</v>
      </c>
      <c r="AQ117" s="100">
        <f t="shared" si="67"/>
        <v>0</v>
      </c>
      <c r="AR117" s="109"/>
      <c r="AS117" s="109"/>
      <c r="AT117" s="109"/>
      <c r="AU117" s="109"/>
      <c r="AV117" s="109"/>
      <c r="AW117" s="109"/>
      <c r="AX117" s="109"/>
      <c r="AY117" s="109"/>
      <c r="AZ117" s="109"/>
      <c r="BA117" s="109"/>
      <c r="BB117" s="192"/>
      <c r="BC117" s="192"/>
      <c r="BD117" s="192"/>
      <c r="BE117" s="192"/>
      <c r="BF117" s="192"/>
      <c r="BG117" s="192"/>
      <c r="BH117" s="192"/>
      <c r="BI117" s="192"/>
      <c r="BJ117" s="192"/>
      <c r="BK117" s="192"/>
      <c r="BL117" s="109"/>
      <c r="BM117" s="109"/>
      <c r="BN117" s="109"/>
      <c r="BO117" s="109"/>
      <c r="BP117" s="109"/>
      <c r="BQ117" s="109"/>
      <c r="BR117" s="109"/>
      <c r="BS117" s="109"/>
      <c r="BT117" s="109"/>
      <c r="BU117" s="109"/>
      <c r="BV117" s="103">
        <f t="shared" si="62"/>
        <v>0</v>
      </c>
    </row>
    <row r="118" spans="1:74" ht="116.25" customHeight="1" x14ac:dyDescent="0.2">
      <c r="A118" s="84">
        <v>81</v>
      </c>
      <c r="B118" s="84">
        <v>3</v>
      </c>
      <c r="C118" s="173"/>
      <c r="D118" s="173"/>
      <c r="E118" s="117">
        <v>18</v>
      </c>
      <c r="F118" s="86" t="s">
        <v>290</v>
      </c>
      <c r="G118" s="95">
        <v>6</v>
      </c>
      <c r="H118" s="95">
        <v>12</v>
      </c>
      <c r="I118" s="89">
        <v>79</v>
      </c>
      <c r="J118" s="90" t="s">
        <v>291</v>
      </c>
      <c r="K118" s="271" t="s">
        <v>292</v>
      </c>
      <c r="L118" s="272" t="s">
        <v>253</v>
      </c>
      <c r="M118" s="272">
        <v>1</v>
      </c>
      <c r="N118" s="277" t="s">
        <v>58</v>
      </c>
      <c r="O118" s="281">
        <v>96</v>
      </c>
      <c r="P118" s="278">
        <v>230</v>
      </c>
      <c r="Q118" s="278">
        <v>112.75</v>
      </c>
      <c r="R118" s="278">
        <v>163</v>
      </c>
      <c r="S118" s="278">
        <v>213.25</v>
      </c>
      <c r="T118" s="278">
        <v>230</v>
      </c>
      <c r="U118" s="273"/>
      <c r="V118" s="94">
        <v>4</v>
      </c>
      <c r="W118" s="175" t="s">
        <v>100</v>
      </c>
      <c r="X118" s="231"/>
      <c r="Y118" s="136"/>
      <c r="Z118" s="231"/>
      <c r="AA118" s="136"/>
      <c r="AB118" s="231"/>
      <c r="AC118" s="136"/>
      <c r="AD118" s="231"/>
      <c r="AE118" s="136"/>
      <c r="AF118" s="231"/>
      <c r="AG118" s="136"/>
      <c r="AH118" s="231"/>
      <c r="AI118" s="136"/>
      <c r="AJ118" s="231"/>
      <c r="AK118" s="136"/>
      <c r="AL118" s="231"/>
      <c r="AM118" s="136"/>
      <c r="AN118" s="231"/>
      <c r="AO118" s="136"/>
      <c r="AP118" s="99">
        <f t="shared" si="66"/>
        <v>0</v>
      </c>
      <c r="AQ118" s="100">
        <f t="shared" si="67"/>
        <v>0</v>
      </c>
      <c r="AR118" s="109"/>
      <c r="AS118" s="109"/>
      <c r="AT118" s="109"/>
      <c r="AU118" s="109"/>
      <c r="AV118" s="109"/>
      <c r="AW118" s="109"/>
      <c r="AX118" s="109"/>
      <c r="AY118" s="109"/>
      <c r="AZ118" s="109"/>
      <c r="BA118" s="109"/>
      <c r="BB118" s="192"/>
      <c r="BC118" s="192"/>
      <c r="BD118" s="192"/>
      <c r="BE118" s="192"/>
      <c r="BF118" s="192"/>
      <c r="BG118" s="192"/>
      <c r="BH118" s="192"/>
      <c r="BI118" s="192"/>
      <c r="BJ118" s="192"/>
      <c r="BK118" s="192"/>
      <c r="BL118" s="109"/>
      <c r="BM118" s="109"/>
      <c r="BN118" s="109"/>
      <c r="BO118" s="109"/>
      <c r="BP118" s="109"/>
      <c r="BQ118" s="109"/>
      <c r="BR118" s="109"/>
      <c r="BS118" s="109"/>
      <c r="BT118" s="109"/>
      <c r="BU118" s="109"/>
      <c r="BV118" s="103">
        <f t="shared" si="62"/>
        <v>0</v>
      </c>
    </row>
    <row r="119" spans="1:74" ht="90" customHeight="1" x14ac:dyDescent="0.2">
      <c r="A119" s="105">
        <v>82</v>
      </c>
      <c r="B119" s="84">
        <v>3</v>
      </c>
      <c r="C119" s="173"/>
      <c r="D119" s="173"/>
      <c r="E119" s="117">
        <v>19</v>
      </c>
      <c r="F119" s="86" t="s">
        <v>293</v>
      </c>
      <c r="G119" s="221" t="s">
        <v>294</v>
      </c>
      <c r="H119" s="221" t="s">
        <v>295</v>
      </c>
      <c r="I119" s="89">
        <v>80</v>
      </c>
      <c r="J119" s="90" t="s">
        <v>296</v>
      </c>
      <c r="K119" s="271" t="s">
        <v>297</v>
      </c>
      <c r="L119" s="272" t="s">
        <v>253</v>
      </c>
      <c r="M119" s="272">
        <v>1</v>
      </c>
      <c r="N119" s="277" t="s">
        <v>58</v>
      </c>
      <c r="O119" s="281">
        <v>2906</v>
      </c>
      <c r="P119" s="278">
        <v>4700</v>
      </c>
      <c r="Q119" s="278">
        <v>3130.25</v>
      </c>
      <c r="R119" s="278">
        <v>3803</v>
      </c>
      <c r="S119" s="278">
        <v>4475.75</v>
      </c>
      <c r="T119" s="278">
        <v>4700</v>
      </c>
      <c r="U119" s="273"/>
      <c r="V119" s="94">
        <v>4</v>
      </c>
      <c r="W119" s="175" t="s">
        <v>100</v>
      </c>
      <c r="X119" s="231"/>
      <c r="Y119" s="136"/>
      <c r="Z119" s="231"/>
      <c r="AA119" s="136"/>
      <c r="AB119" s="231"/>
      <c r="AC119" s="136"/>
      <c r="AD119" s="231"/>
      <c r="AE119" s="136"/>
      <c r="AF119" s="231"/>
      <c r="AG119" s="136"/>
      <c r="AH119" s="231"/>
      <c r="AI119" s="136"/>
      <c r="AJ119" s="231"/>
      <c r="AK119" s="136"/>
      <c r="AL119" s="231"/>
      <c r="AM119" s="136"/>
      <c r="AN119" s="231"/>
      <c r="AO119" s="136"/>
      <c r="AP119" s="99">
        <f t="shared" si="66"/>
        <v>0</v>
      </c>
      <c r="AQ119" s="100">
        <f t="shared" si="67"/>
        <v>0</v>
      </c>
      <c r="AR119" s="109"/>
      <c r="AS119" s="109"/>
      <c r="AT119" s="109"/>
      <c r="AU119" s="109"/>
      <c r="AV119" s="109"/>
      <c r="AW119" s="109"/>
      <c r="AX119" s="109"/>
      <c r="AY119" s="109"/>
      <c r="AZ119" s="109"/>
      <c r="BA119" s="109"/>
      <c r="BB119" s="192"/>
      <c r="BC119" s="192"/>
      <c r="BD119" s="192"/>
      <c r="BE119" s="192"/>
      <c r="BF119" s="192"/>
      <c r="BG119" s="192"/>
      <c r="BH119" s="192"/>
      <c r="BI119" s="192"/>
      <c r="BJ119" s="192"/>
      <c r="BK119" s="192"/>
      <c r="BL119" s="109"/>
      <c r="BM119" s="109"/>
      <c r="BN119" s="109"/>
      <c r="BO119" s="109"/>
      <c r="BP119" s="109"/>
      <c r="BQ119" s="109"/>
      <c r="BR119" s="109"/>
      <c r="BS119" s="109"/>
      <c r="BT119" s="109"/>
      <c r="BU119" s="109"/>
      <c r="BV119" s="103">
        <f t="shared" si="62"/>
        <v>0</v>
      </c>
    </row>
    <row r="120" spans="1:74" ht="99.75" x14ac:dyDescent="0.2">
      <c r="A120" s="84">
        <v>83</v>
      </c>
      <c r="B120" s="84">
        <v>3</v>
      </c>
      <c r="C120" s="173"/>
      <c r="D120" s="173"/>
      <c r="E120" s="111">
        <v>19</v>
      </c>
      <c r="F120" s="154" t="s">
        <v>293</v>
      </c>
      <c r="G120" s="292" t="s">
        <v>294</v>
      </c>
      <c r="H120" s="292" t="s">
        <v>295</v>
      </c>
      <c r="I120" s="89">
        <v>81</v>
      </c>
      <c r="J120" s="90" t="s">
        <v>298</v>
      </c>
      <c r="K120" s="271" t="s">
        <v>299</v>
      </c>
      <c r="L120" s="272" t="s">
        <v>253</v>
      </c>
      <c r="M120" s="272">
        <v>1</v>
      </c>
      <c r="N120" s="277" t="s">
        <v>58</v>
      </c>
      <c r="O120" s="248">
        <v>13</v>
      </c>
      <c r="P120" s="248">
        <v>41</v>
      </c>
      <c r="Q120" s="278">
        <v>16.5</v>
      </c>
      <c r="R120" s="278">
        <v>27</v>
      </c>
      <c r="S120" s="278">
        <v>37.5</v>
      </c>
      <c r="T120" s="278">
        <v>41</v>
      </c>
      <c r="U120" s="273"/>
      <c r="V120" s="94">
        <v>4</v>
      </c>
      <c r="W120" s="175" t="s">
        <v>100</v>
      </c>
      <c r="X120" s="231"/>
      <c r="Y120" s="136"/>
      <c r="Z120" s="231"/>
      <c r="AA120" s="136"/>
      <c r="AB120" s="231"/>
      <c r="AC120" s="136"/>
      <c r="AD120" s="231"/>
      <c r="AE120" s="136"/>
      <c r="AF120" s="231"/>
      <c r="AG120" s="136"/>
      <c r="AH120" s="231"/>
      <c r="AI120" s="136"/>
      <c r="AJ120" s="231"/>
      <c r="AK120" s="136"/>
      <c r="AL120" s="231"/>
      <c r="AM120" s="136"/>
      <c r="AN120" s="231"/>
      <c r="AO120" s="136"/>
      <c r="AP120" s="99">
        <f t="shared" si="66"/>
        <v>0</v>
      </c>
      <c r="AQ120" s="100">
        <f t="shared" si="67"/>
        <v>0</v>
      </c>
      <c r="AR120" s="109"/>
      <c r="AS120" s="109"/>
      <c r="AT120" s="109"/>
      <c r="AU120" s="109"/>
      <c r="AV120" s="109"/>
      <c r="AW120" s="109"/>
      <c r="AX120" s="109"/>
      <c r="AY120" s="109"/>
      <c r="AZ120" s="109"/>
      <c r="BA120" s="109"/>
      <c r="BB120" s="192"/>
      <c r="BC120" s="192"/>
      <c r="BD120" s="192"/>
      <c r="BE120" s="192"/>
      <c r="BF120" s="192"/>
      <c r="BG120" s="192"/>
      <c r="BH120" s="192"/>
      <c r="BI120" s="192"/>
      <c r="BJ120" s="192"/>
      <c r="BK120" s="192"/>
      <c r="BL120" s="109"/>
      <c r="BM120" s="109"/>
      <c r="BN120" s="109"/>
      <c r="BO120" s="109"/>
      <c r="BP120" s="109"/>
      <c r="BQ120" s="109"/>
      <c r="BR120" s="109"/>
      <c r="BS120" s="109"/>
      <c r="BT120" s="109"/>
      <c r="BU120" s="109"/>
      <c r="BV120" s="103">
        <f t="shared" si="62"/>
        <v>0</v>
      </c>
    </row>
    <row r="121" spans="1:74" ht="85.5" x14ac:dyDescent="0.2">
      <c r="A121" s="105">
        <v>84</v>
      </c>
      <c r="B121" s="84">
        <v>3</v>
      </c>
      <c r="C121" s="173"/>
      <c r="D121" s="173"/>
      <c r="E121" s="110"/>
      <c r="F121" s="144"/>
      <c r="G121" s="115"/>
      <c r="H121" s="115"/>
      <c r="I121" s="89">
        <v>82</v>
      </c>
      <c r="J121" s="90" t="s">
        <v>300</v>
      </c>
      <c r="K121" s="271" t="s">
        <v>301</v>
      </c>
      <c r="L121" s="272" t="s">
        <v>253</v>
      </c>
      <c r="M121" s="272">
        <v>1</v>
      </c>
      <c r="N121" s="277" t="s">
        <v>58</v>
      </c>
      <c r="O121" s="248">
        <v>14</v>
      </c>
      <c r="P121" s="248">
        <v>40</v>
      </c>
      <c r="Q121" s="278">
        <v>17.25</v>
      </c>
      <c r="R121" s="278">
        <v>27</v>
      </c>
      <c r="S121" s="278">
        <v>36.75</v>
      </c>
      <c r="T121" s="278">
        <v>40</v>
      </c>
      <c r="U121" s="273"/>
      <c r="V121" s="94">
        <v>4</v>
      </c>
      <c r="W121" s="175" t="s">
        <v>100</v>
      </c>
      <c r="X121" s="231"/>
      <c r="Y121" s="136"/>
      <c r="Z121" s="231"/>
      <c r="AA121" s="136"/>
      <c r="AB121" s="231"/>
      <c r="AC121" s="136"/>
      <c r="AD121" s="231"/>
      <c r="AE121" s="136"/>
      <c r="AF121" s="231"/>
      <c r="AG121" s="136"/>
      <c r="AH121" s="231"/>
      <c r="AI121" s="136"/>
      <c r="AJ121" s="231"/>
      <c r="AK121" s="136"/>
      <c r="AL121" s="231"/>
      <c r="AM121" s="136"/>
      <c r="AN121" s="231"/>
      <c r="AO121" s="136"/>
      <c r="AP121" s="99">
        <f t="shared" si="66"/>
        <v>0</v>
      </c>
      <c r="AQ121" s="100">
        <f t="shared" si="67"/>
        <v>0</v>
      </c>
      <c r="AR121" s="109"/>
      <c r="AS121" s="109"/>
      <c r="AT121" s="109"/>
      <c r="AU121" s="109"/>
      <c r="AV121" s="109"/>
      <c r="AW121" s="109"/>
      <c r="AX121" s="109"/>
      <c r="AY121" s="109"/>
      <c r="AZ121" s="109"/>
      <c r="BA121" s="109"/>
      <c r="BB121" s="192"/>
      <c r="BC121" s="192"/>
      <c r="BD121" s="192"/>
      <c r="BE121" s="192"/>
      <c r="BF121" s="192"/>
      <c r="BG121" s="192"/>
      <c r="BH121" s="192"/>
      <c r="BI121" s="192"/>
      <c r="BJ121" s="192"/>
      <c r="BK121" s="192"/>
      <c r="BL121" s="109"/>
      <c r="BM121" s="109"/>
      <c r="BN121" s="109"/>
      <c r="BO121" s="109"/>
      <c r="BP121" s="109"/>
      <c r="BQ121" s="109"/>
      <c r="BR121" s="109"/>
      <c r="BS121" s="109"/>
      <c r="BT121" s="109"/>
      <c r="BU121" s="109"/>
      <c r="BV121" s="103">
        <f t="shared" si="62"/>
        <v>0</v>
      </c>
    </row>
    <row r="122" spans="1:74" ht="24.75" customHeight="1" x14ac:dyDescent="0.2">
      <c r="A122" s="105"/>
      <c r="B122" s="84"/>
      <c r="C122" s="173"/>
      <c r="D122" s="173"/>
      <c r="E122" s="71">
        <v>20</v>
      </c>
      <c r="F122" s="72" t="s">
        <v>302</v>
      </c>
      <c r="G122" s="74"/>
      <c r="H122" s="125"/>
      <c r="I122" s="74"/>
      <c r="J122" s="125"/>
      <c r="K122" s="125"/>
      <c r="L122" s="74"/>
      <c r="M122" s="74"/>
      <c r="N122" s="126"/>
      <c r="O122" s="125"/>
      <c r="P122" s="125"/>
      <c r="Q122" s="127"/>
      <c r="R122" s="125"/>
      <c r="S122" s="125"/>
      <c r="T122" s="74"/>
      <c r="U122" s="128"/>
      <c r="V122" s="74"/>
      <c r="W122" s="74"/>
      <c r="X122" s="129">
        <f t="shared" ref="X122:AO122" si="68">SUM(X123:X132)</f>
        <v>0</v>
      </c>
      <c r="Y122" s="129">
        <f t="shared" si="68"/>
        <v>0</v>
      </c>
      <c r="Z122" s="129">
        <f t="shared" si="68"/>
        <v>600000000</v>
      </c>
      <c r="AA122" s="129">
        <f t="shared" si="68"/>
        <v>600000000</v>
      </c>
      <c r="AB122" s="129">
        <f t="shared" si="68"/>
        <v>50000000</v>
      </c>
      <c r="AC122" s="129">
        <f t="shared" si="68"/>
        <v>50000000</v>
      </c>
      <c r="AD122" s="129">
        <f t="shared" si="68"/>
        <v>0</v>
      </c>
      <c r="AE122" s="129">
        <f t="shared" si="68"/>
        <v>0</v>
      </c>
      <c r="AF122" s="129">
        <f t="shared" si="68"/>
        <v>0</v>
      </c>
      <c r="AG122" s="129">
        <f t="shared" si="68"/>
        <v>0</v>
      </c>
      <c r="AH122" s="129">
        <f t="shared" si="68"/>
        <v>0</v>
      </c>
      <c r="AI122" s="129">
        <f t="shared" si="68"/>
        <v>0</v>
      </c>
      <c r="AJ122" s="129">
        <f t="shared" si="68"/>
        <v>0</v>
      </c>
      <c r="AK122" s="129">
        <f t="shared" si="68"/>
        <v>0</v>
      </c>
      <c r="AL122" s="129">
        <f t="shared" si="68"/>
        <v>0</v>
      </c>
      <c r="AM122" s="129">
        <f t="shared" si="68"/>
        <v>0</v>
      </c>
      <c r="AN122" s="129">
        <f t="shared" si="68"/>
        <v>4200000000</v>
      </c>
      <c r="AO122" s="129">
        <f t="shared" si="68"/>
        <v>0</v>
      </c>
      <c r="AP122" s="130">
        <f>SUM(AP123:AP132)</f>
        <v>4850000000</v>
      </c>
      <c r="AQ122" s="129">
        <f>SUM(AQ123:AQ132)</f>
        <v>650000000</v>
      </c>
      <c r="AR122" s="131"/>
      <c r="AS122" s="131"/>
      <c r="AT122" s="131"/>
      <c r="AU122" s="131"/>
      <c r="AV122" s="131"/>
      <c r="AW122" s="131"/>
      <c r="AX122" s="131"/>
      <c r="AY122" s="131"/>
      <c r="AZ122" s="131"/>
      <c r="BA122" s="131">
        <f>SUM(BA123:BA132)</f>
        <v>5345276423</v>
      </c>
      <c r="BB122" s="131"/>
      <c r="BC122" s="131"/>
      <c r="BD122" s="131"/>
      <c r="BE122" s="131"/>
      <c r="BF122" s="131"/>
      <c r="BG122" s="131"/>
      <c r="BH122" s="131"/>
      <c r="BI122" s="131"/>
      <c r="BJ122" s="131"/>
      <c r="BK122" s="131">
        <f>SUM(BK123:BK132)</f>
        <v>6020000000</v>
      </c>
      <c r="BL122" s="131"/>
      <c r="BM122" s="131"/>
      <c r="BN122" s="131"/>
      <c r="BO122" s="131"/>
      <c r="BP122" s="131"/>
      <c r="BQ122" s="131"/>
      <c r="BR122" s="131"/>
      <c r="BS122" s="131"/>
      <c r="BT122" s="131"/>
      <c r="BU122" s="131">
        <f>SUM(BU123:BU132)</f>
        <v>4020000000</v>
      </c>
      <c r="BV122" s="132">
        <f t="shared" si="62"/>
        <v>15385276423</v>
      </c>
    </row>
    <row r="123" spans="1:74" ht="99.75" customHeight="1" x14ac:dyDescent="0.2">
      <c r="A123" s="84">
        <v>85</v>
      </c>
      <c r="B123" s="84">
        <v>3</v>
      </c>
      <c r="C123" s="173"/>
      <c r="D123" s="173"/>
      <c r="E123" s="85"/>
      <c r="F123" s="133"/>
      <c r="G123" s="87"/>
      <c r="H123" s="87"/>
      <c r="I123" s="94">
        <v>83</v>
      </c>
      <c r="J123" s="90" t="s">
        <v>303</v>
      </c>
      <c r="K123" s="293" t="s">
        <v>304</v>
      </c>
      <c r="L123" s="272" t="s">
        <v>253</v>
      </c>
      <c r="M123" s="272">
        <v>1</v>
      </c>
      <c r="N123" s="277" t="s">
        <v>58</v>
      </c>
      <c r="O123" s="281">
        <v>0</v>
      </c>
      <c r="P123" s="278">
        <v>54</v>
      </c>
      <c r="Q123" s="278">
        <v>4</v>
      </c>
      <c r="R123" s="278">
        <v>27</v>
      </c>
      <c r="S123" s="278">
        <v>47.25</v>
      </c>
      <c r="T123" s="278">
        <v>54</v>
      </c>
      <c r="U123" s="294"/>
      <c r="V123" s="94">
        <v>4</v>
      </c>
      <c r="W123" s="175" t="s">
        <v>100</v>
      </c>
      <c r="X123" s="231"/>
      <c r="Y123" s="136"/>
      <c r="Z123" s="231">
        <v>15000000</v>
      </c>
      <c r="AA123" s="101">
        <v>15000000</v>
      </c>
      <c r="AB123" s="231"/>
      <c r="AC123" s="136"/>
      <c r="AD123" s="231"/>
      <c r="AE123" s="136"/>
      <c r="AF123" s="231"/>
      <c r="AG123" s="136"/>
      <c r="AH123" s="231"/>
      <c r="AI123" s="136"/>
      <c r="AJ123" s="231"/>
      <c r="AK123" s="136"/>
      <c r="AL123" s="231"/>
      <c r="AM123" s="136"/>
      <c r="AN123" s="231"/>
      <c r="AO123" s="136"/>
      <c r="AP123" s="99">
        <f t="shared" ref="AP123:AP132" si="69">+X123+Z123+AB123+AD123+AF123+AH123+AJ123+AL123+AN123</f>
        <v>15000000</v>
      </c>
      <c r="AQ123" s="100">
        <f t="shared" ref="AQ123:AQ132" si="70">Y123+AA123+AC123+AE123+AG123+AI123+AK123+AM123+AO123</f>
        <v>15000000</v>
      </c>
      <c r="AR123" s="109"/>
      <c r="AS123" s="109"/>
      <c r="AT123" s="109"/>
      <c r="AU123" s="109"/>
      <c r="AV123" s="109"/>
      <c r="AW123" s="109"/>
      <c r="AX123" s="109"/>
      <c r="AY123" s="109"/>
      <c r="AZ123" s="109"/>
      <c r="BA123" s="109">
        <f t="shared" ref="BA123:BA132" si="71">SUM(AR123:AZ123)</f>
        <v>0</v>
      </c>
      <c r="BB123" s="192"/>
      <c r="BC123" s="192"/>
      <c r="BD123" s="192"/>
      <c r="BE123" s="192"/>
      <c r="BF123" s="192"/>
      <c r="BG123" s="192"/>
      <c r="BH123" s="192"/>
      <c r="BI123" s="192"/>
      <c r="BJ123" s="192"/>
      <c r="BK123" s="192">
        <f>SUM(AR123:BJ123)</f>
        <v>0</v>
      </c>
      <c r="BL123" s="109"/>
      <c r="BM123" s="109"/>
      <c r="BN123" s="109"/>
      <c r="BO123" s="109"/>
      <c r="BP123" s="109"/>
      <c r="BQ123" s="109"/>
      <c r="BR123" s="109"/>
      <c r="BS123" s="109"/>
      <c r="BT123" s="109"/>
      <c r="BU123" s="109">
        <f t="shared" ref="BU123:BU132" si="72">SUM(BL123:BT123)</f>
        <v>0</v>
      </c>
      <c r="BV123" s="103">
        <f t="shared" si="62"/>
        <v>0</v>
      </c>
    </row>
    <row r="124" spans="1:74" ht="71.25" x14ac:dyDescent="0.2">
      <c r="A124" s="105">
        <v>86</v>
      </c>
      <c r="B124" s="84">
        <v>3</v>
      </c>
      <c r="C124" s="173"/>
      <c r="D124" s="173"/>
      <c r="E124" s="111"/>
      <c r="F124" s="139"/>
      <c r="G124" s="182"/>
      <c r="H124" s="182"/>
      <c r="I124" s="94">
        <v>84</v>
      </c>
      <c r="J124" s="90" t="s">
        <v>305</v>
      </c>
      <c r="K124" s="293" t="s">
        <v>306</v>
      </c>
      <c r="L124" s="272" t="s">
        <v>253</v>
      </c>
      <c r="M124" s="272">
        <v>1</v>
      </c>
      <c r="N124" s="277" t="s">
        <v>58</v>
      </c>
      <c r="O124" s="281">
        <v>0</v>
      </c>
      <c r="P124" s="278">
        <v>30</v>
      </c>
      <c r="Q124" s="278">
        <v>3.75</v>
      </c>
      <c r="R124" s="278">
        <v>15</v>
      </c>
      <c r="S124" s="278">
        <v>26.25</v>
      </c>
      <c r="T124" s="278">
        <v>30</v>
      </c>
      <c r="U124" s="294"/>
      <c r="V124" s="94">
        <v>4</v>
      </c>
      <c r="W124" s="175" t="s">
        <v>100</v>
      </c>
      <c r="X124" s="231"/>
      <c r="Y124" s="136"/>
      <c r="Z124" s="231"/>
      <c r="AA124" s="136"/>
      <c r="AB124" s="231"/>
      <c r="AC124" s="136"/>
      <c r="AD124" s="231"/>
      <c r="AE124" s="136"/>
      <c r="AF124" s="231"/>
      <c r="AG124" s="136"/>
      <c r="AH124" s="231"/>
      <c r="AI124" s="136"/>
      <c r="AJ124" s="231"/>
      <c r="AK124" s="136"/>
      <c r="AL124" s="231"/>
      <c r="AM124" s="136"/>
      <c r="AN124" s="231"/>
      <c r="AO124" s="136"/>
      <c r="AP124" s="99">
        <f t="shared" si="69"/>
        <v>0</v>
      </c>
      <c r="AQ124" s="100">
        <f t="shared" si="70"/>
        <v>0</v>
      </c>
      <c r="AR124" s="109"/>
      <c r="AS124" s="109"/>
      <c r="AT124" s="109"/>
      <c r="AU124" s="109"/>
      <c r="AV124" s="109"/>
      <c r="AW124" s="109"/>
      <c r="AX124" s="109"/>
      <c r="AY124" s="109"/>
      <c r="AZ124" s="109"/>
      <c r="BA124" s="109">
        <f t="shared" si="71"/>
        <v>0</v>
      </c>
      <c r="BB124" s="192"/>
      <c r="BC124" s="192"/>
      <c r="BD124" s="192"/>
      <c r="BE124" s="192"/>
      <c r="BF124" s="192"/>
      <c r="BG124" s="192"/>
      <c r="BH124" s="192"/>
      <c r="BI124" s="192"/>
      <c r="BJ124" s="192"/>
      <c r="BK124" s="192">
        <f t="shared" ref="BK124:BK132" si="73">SUM(BB124:BJ124)</f>
        <v>0</v>
      </c>
      <c r="BL124" s="109"/>
      <c r="BM124" s="109"/>
      <c r="BN124" s="109"/>
      <c r="BO124" s="109"/>
      <c r="BP124" s="109"/>
      <c r="BQ124" s="109"/>
      <c r="BR124" s="109"/>
      <c r="BS124" s="109"/>
      <c r="BT124" s="109"/>
      <c r="BU124" s="109">
        <f t="shared" si="72"/>
        <v>0</v>
      </c>
      <c r="BV124" s="103">
        <f t="shared" si="62"/>
        <v>0</v>
      </c>
    </row>
    <row r="125" spans="1:74" ht="142.5" x14ac:dyDescent="0.2">
      <c r="A125" s="84">
        <v>87</v>
      </c>
      <c r="B125" s="84">
        <v>3</v>
      </c>
      <c r="C125" s="173"/>
      <c r="D125" s="173"/>
      <c r="E125" s="110">
        <v>16</v>
      </c>
      <c r="F125" s="114" t="s">
        <v>281</v>
      </c>
      <c r="G125" s="115">
        <v>45</v>
      </c>
      <c r="H125" s="115">
        <v>90</v>
      </c>
      <c r="I125" s="94">
        <v>85</v>
      </c>
      <c r="J125" s="90" t="s">
        <v>307</v>
      </c>
      <c r="K125" s="293" t="s">
        <v>308</v>
      </c>
      <c r="L125" s="272" t="s">
        <v>253</v>
      </c>
      <c r="M125" s="272">
        <v>1</v>
      </c>
      <c r="N125" s="277" t="s">
        <v>58</v>
      </c>
      <c r="O125" s="281">
        <v>0</v>
      </c>
      <c r="P125" s="278">
        <v>30</v>
      </c>
      <c r="Q125" s="278">
        <v>3.75</v>
      </c>
      <c r="R125" s="278">
        <v>15</v>
      </c>
      <c r="S125" s="278">
        <v>26.25</v>
      </c>
      <c r="T125" s="278">
        <v>30</v>
      </c>
      <c r="U125" s="294"/>
      <c r="V125" s="94">
        <v>4</v>
      </c>
      <c r="W125" s="175" t="s">
        <v>100</v>
      </c>
      <c r="X125" s="231"/>
      <c r="Y125" s="136"/>
      <c r="Z125" s="231">
        <v>15000000</v>
      </c>
      <c r="AA125" s="101">
        <v>15000000</v>
      </c>
      <c r="AB125" s="231"/>
      <c r="AC125" s="136"/>
      <c r="AD125" s="231"/>
      <c r="AE125" s="136"/>
      <c r="AF125" s="231"/>
      <c r="AG125" s="136"/>
      <c r="AH125" s="231"/>
      <c r="AI125" s="136"/>
      <c r="AJ125" s="231"/>
      <c r="AK125" s="136"/>
      <c r="AL125" s="231"/>
      <c r="AM125" s="136"/>
      <c r="AN125" s="231"/>
      <c r="AO125" s="136"/>
      <c r="AP125" s="99">
        <f t="shared" si="69"/>
        <v>15000000</v>
      </c>
      <c r="AQ125" s="100">
        <f t="shared" si="70"/>
        <v>15000000</v>
      </c>
      <c r="AR125" s="109"/>
      <c r="AS125" s="109"/>
      <c r="AT125" s="109"/>
      <c r="AU125" s="109"/>
      <c r="AV125" s="109"/>
      <c r="AW125" s="109"/>
      <c r="AX125" s="109"/>
      <c r="AY125" s="109"/>
      <c r="AZ125" s="109"/>
      <c r="BA125" s="109">
        <f t="shared" si="71"/>
        <v>0</v>
      </c>
      <c r="BB125" s="192"/>
      <c r="BC125" s="192"/>
      <c r="BD125" s="192"/>
      <c r="BE125" s="192"/>
      <c r="BF125" s="192"/>
      <c r="BG125" s="192"/>
      <c r="BH125" s="192"/>
      <c r="BI125" s="192"/>
      <c r="BJ125" s="192"/>
      <c r="BK125" s="192">
        <f t="shared" si="73"/>
        <v>0</v>
      </c>
      <c r="BL125" s="109"/>
      <c r="BM125" s="109"/>
      <c r="BN125" s="109"/>
      <c r="BO125" s="109"/>
      <c r="BP125" s="109"/>
      <c r="BQ125" s="109"/>
      <c r="BR125" s="109"/>
      <c r="BS125" s="109"/>
      <c r="BT125" s="109"/>
      <c r="BU125" s="109">
        <f t="shared" si="72"/>
        <v>0</v>
      </c>
      <c r="BV125" s="103">
        <f t="shared" si="62"/>
        <v>0</v>
      </c>
    </row>
    <row r="126" spans="1:74" ht="75.75" customHeight="1" x14ac:dyDescent="0.2">
      <c r="A126" s="105">
        <v>88</v>
      </c>
      <c r="B126" s="84">
        <v>3</v>
      </c>
      <c r="C126" s="173"/>
      <c r="D126" s="173"/>
      <c r="E126" s="111"/>
      <c r="F126" s="139"/>
      <c r="G126" s="182"/>
      <c r="H126" s="182"/>
      <c r="I126" s="94">
        <v>86</v>
      </c>
      <c r="J126" s="90" t="s">
        <v>309</v>
      </c>
      <c r="K126" s="293" t="s">
        <v>310</v>
      </c>
      <c r="L126" s="272" t="s">
        <v>253</v>
      </c>
      <c r="M126" s="272">
        <v>1</v>
      </c>
      <c r="N126" s="277" t="s">
        <v>58</v>
      </c>
      <c r="O126" s="281">
        <v>0</v>
      </c>
      <c r="P126" s="278">
        <v>8</v>
      </c>
      <c r="Q126" s="278">
        <v>1</v>
      </c>
      <c r="R126" s="278">
        <v>4</v>
      </c>
      <c r="S126" s="278">
        <v>7</v>
      </c>
      <c r="T126" s="278">
        <v>8</v>
      </c>
      <c r="U126" s="294"/>
      <c r="V126" s="94">
        <v>4</v>
      </c>
      <c r="W126" s="175" t="s">
        <v>100</v>
      </c>
      <c r="X126" s="231"/>
      <c r="Y126" s="136"/>
      <c r="Z126" s="231"/>
      <c r="AA126" s="136"/>
      <c r="AB126" s="231"/>
      <c r="AC126" s="136"/>
      <c r="AD126" s="231"/>
      <c r="AE126" s="136"/>
      <c r="AF126" s="231"/>
      <c r="AG126" s="136"/>
      <c r="AH126" s="231"/>
      <c r="AI126" s="136"/>
      <c r="AJ126" s="231"/>
      <c r="AK126" s="136"/>
      <c r="AL126" s="231"/>
      <c r="AM126" s="136"/>
      <c r="AN126" s="231"/>
      <c r="AO126" s="136"/>
      <c r="AP126" s="99">
        <f t="shared" si="69"/>
        <v>0</v>
      </c>
      <c r="AQ126" s="100">
        <f t="shared" si="70"/>
        <v>0</v>
      </c>
      <c r="AR126" s="109"/>
      <c r="AS126" s="109"/>
      <c r="AT126" s="109"/>
      <c r="AU126" s="109"/>
      <c r="AV126" s="109"/>
      <c r="AW126" s="109"/>
      <c r="AX126" s="109"/>
      <c r="AY126" s="109"/>
      <c r="AZ126" s="109"/>
      <c r="BA126" s="109">
        <f t="shared" si="71"/>
        <v>0</v>
      </c>
      <c r="BB126" s="192"/>
      <c r="BC126" s="192"/>
      <c r="BD126" s="192"/>
      <c r="BE126" s="192"/>
      <c r="BF126" s="192"/>
      <c r="BG126" s="192"/>
      <c r="BH126" s="192"/>
      <c r="BI126" s="192"/>
      <c r="BJ126" s="192"/>
      <c r="BK126" s="192">
        <f t="shared" si="73"/>
        <v>0</v>
      </c>
      <c r="BL126" s="109"/>
      <c r="BM126" s="109"/>
      <c r="BN126" s="109"/>
      <c r="BO126" s="109"/>
      <c r="BP126" s="109"/>
      <c r="BQ126" s="109"/>
      <c r="BR126" s="109"/>
      <c r="BS126" s="109"/>
      <c r="BT126" s="109"/>
      <c r="BU126" s="109">
        <f t="shared" si="72"/>
        <v>0</v>
      </c>
      <c r="BV126" s="103">
        <f t="shared" si="62"/>
        <v>0</v>
      </c>
    </row>
    <row r="127" spans="1:74" ht="85.5" x14ac:dyDescent="0.2">
      <c r="A127" s="84">
        <v>89</v>
      </c>
      <c r="B127" s="84">
        <v>3</v>
      </c>
      <c r="C127" s="173"/>
      <c r="D127" s="173"/>
      <c r="E127" s="110">
        <v>17</v>
      </c>
      <c r="F127" s="289" t="s">
        <v>286</v>
      </c>
      <c r="G127" s="290" t="s">
        <v>287</v>
      </c>
      <c r="H127" s="291">
        <v>0.5</v>
      </c>
      <c r="I127" s="94">
        <v>87</v>
      </c>
      <c r="J127" s="90" t="s">
        <v>311</v>
      </c>
      <c r="K127" s="293" t="s">
        <v>312</v>
      </c>
      <c r="L127" s="272" t="s">
        <v>253</v>
      </c>
      <c r="M127" s="272">
        <v>1</v>
      </c>
      <c r="N127" s="277" t="s">
        <v>44</v>
      </c>
      <c r="O127" s="281">
        <v>0</v>
      </c>
      <c r="P127" s="278">
        <v>30</v>
      </c>
      <c r="Q127" s="278">
        <v>30</v>
      </c>
      <c r="R127" s="278">
        <v>30</v>
      </c>
      <c r="S127" s="278">
        <v>30</v>
      </c>
      <c r="T127" s="278">
        <v>30</v>
      </c>
      <c r="U127" s="273">
        <f>AP127/$AP$122</f>
        <v>1.2371134020618556E-2</v>
      </c>
      <c r="V127" s="94">
        <v>4</v>
      </c>
      <c r="W127" s="175" t="s">
        <v>100</v>
      </c>
      <c r="X127" s="231"/>
      <c r="Y127" s="136"/>
      <c r="Z127" s="231">
        <v>50000000</v>
      </c>
      <c r="AA127" s="101">
        <v>110000000</v>
      </c>
      <c r="AB127" s="231">
        <v>10000000</v>
      </c>
      <c r="AC127" s="101">
        <v>10000000</v>
      </c>
      <c r="AD127" s="231"/>
      <c r="AE127" s="136"/>
      <c r="AF127" s="231"/>
      <c r="AG127" s="136"/>
      <c r="AH127" s="231"/>
      <c r="AI127" s="136"/>
      <c r="AJ127" s="231"/>
      <c r="AK127" s="136"/>
      <c r="AL127" s="231"/>
      <c r="AM127" s="136"/>
      <c r="AN127" s="231"/>
      <c r="AO127" s="136"/>
      <c r="AP127" s="99">
        <f t="shared" si="69"/>
        <v>60000000</v>
      </c>
      <c r="AQ127" s="100">
        <f t="shared" si="70"/>
        <v>120000000</v>
      </c>
      <c r="AR127" s="109"/>
      <c r="AS127" s="109"/>
      <c r="AT127" s="109">
        <v>10000000</v>
      </c>
      <c r="AU127" s="109"/>
      <c r="AV127" s="109"/>
      <c r="AW127" s="109"/>
      <c r="AX127" s="109"/>
      <c r="AY127" s="109"/>
      <c r="AZ127" s="109"/>
      <c r="BA127" s="109">
        <f t="shared" si="71"/>
        <v>10000000</v>
      </c>
      <c r="BB127" s="192"/>
      <c r="BC127" s="192"/>
      <c r="BD127" s="192">
        <v>20000000</v>
      </c>
      <c r="BE127" s="192"/>
      <c r="BF127" s="192"/>
      <c r="BG127" s="192"/>
      <c r="BH127" s="192"/>
      <c r="BI127" s="192"/>
      <c r="BJ127" s="192"/>
      <c r="BK127" s="192">
        <f t="shared" si="73"/>
        <v>20000000</v>
      </c>
      <c r="BL127" s="109"/>
      <c r="BM127" s="109"/>
      <c r="BN127" s="109">
        <v>10000000</v>
      </c>
      <c r="BO127" s="109"/>
      <c r="BP127" s="109"/>
      <c r="BQ127" s="109"/>
      <c r="BR127" s="109"/>
      <c r="BS127" s="109"/>
      <c r="BT127" s="109"/>
      <c r="BU127" s="109">
        <f t="shared" si="72"/>
        <v>10000000</v>
      </c>
      <c r="BV127" s="103">
        <f t="shared" si="62"/>
        <v>80000000</v>
      </c>
    </row>
    <row r="128" spans="1:74" ht="80.25" customHeight="1" x14ac:dyDescent="0.2">
      <c r="A128" s="105">
        <v>90</v>
      </c>
      <c r="B128" s="84">
        <v>3</v>
      </c>
      <c r="C128" s="173"/>
      <c r="D128" s="173"/>
      <c r="E128" s="117">
        <v>18</v>
      </c>
      <c r="F128" s="86" t="s">
        <v>290</v>
      </c>
      <c r="G128" s="95">
        <v>6</v>
      </c>
      <c r="H128" s="95">
        <v>12</v>
      </c>
      <c r="I128" s="94">
        <v>88</v>
      </c>
      <c r="J128" s="90" t="s">
        <v>313</v>
      </c>
      <c r="K128" s="86" t="s">
        <v>314</v>
      </c>
      <c r="L128" s="272" t="s">
        <v>253</v>
      </c>
      <c r="M128" s="272">
        <v>1</v>
      </c>
      <c r="N128" s="277" t="s">
        <v>58</v>
      </c>
      <c r="O128" s="281">
        <v>21</v>
      </c>
      <c r="P128" s="278">
        <v>36</v>
      </c>
      <c r="Q128" s="278">
        <v>22.875</v>
      </c>
      <c r="R128" s="278">
        <v>28.5</v>
      </c>
      <c r="S128" s="278">
        <v>34.125</v>
      </c>
      <c r="T128" s="278">
        <v>36</v>
      </c>
      <c r="U128" s="294"/>
      <c r="V128" s="94">
        <v>4</v>
      </c>
      <c r="W128" s="175" t="s">
        <v>100</v>
      </c>
      <c r="X128" s="231"/>
      <c r="Y128" s="136"/>
      <c r="Z128" s="231"/>
      <c r="AA128" s="136"/>
      <c r="AB128" s="231"/>
      <c r="AC128" s="136"/>
      <c r="AD128" s="231"/>
      <c r="AE128" s="136"/>
      <c r="AF128" s="231"/>
      <c r="AG128" s="136"/>
      <c r="AH128" s="231"/>
      <c r="AI128" s="136"/>
      <c r="AJ128" s="231"/>
      <c r="AK128" s="136"/>
      <c r="AL128" s="231"/>
      <c r="AM128" s="136"/>
      <c r="AN128" s="231"/>
      <c r="AO128" s="136"/>
      <c r="AP128" s="99">
        <f t="shared" si="69"/>
        <v>0</v>
      </c>
      <c r="AQ128" s="100">
        <f t="shared" si="70"/>
        <v>0</v>
      </c>
      <c r="AR128" s="109"/>
      <c r="AS128" s="109"/>
      <c r="AT128" s="109"/>
      <c r="AU128" s="109"/>
      <c r="AV128" s="109"/>
      <c r="AW128" s="109"/>
      <c r="AX128" s="109"/>
      <c r="AY128" s="109"/>
      <c r="AZ128" s="109"/>
      <c r="BA128" s="109">
        <f t="shared" si="71"/>
        <v>0</v>
      </c>
      <c r="BB128" s="192"/>
      <c r="BC128" s="192"/>
      <c r="BD128" s="192"/>
      <c r="BE128" s="192"/>
      <c r="BF128" s="192"/>
      <c r="BG128" s="192"/>
      <c r="BH128" s="192"/>
      <c r="BI128" s="192"/>
      <c r="BJ128" s="192"/>
      <c r="BK128" s="192">
        <f t="shared" si="73"/>
        <v>0</v>
      </c>
      <c r="BL128" s="109"/>
      <c r="BM128" s="109"/>
      <c r="BN128" s="109"/>
      <c r="BO128" s="109"/>
      <c r="BP128" s="109"/>
      <c r="BQ128" s="109"/>
      <c r="BR128" s="109"/>
      <c r="BS128" s="109"/>
      <c r="BT128" s="109"/>
      <c r="BU128" s="109">
        <f t="shared" si="72"/>
        <v>0</v>
      </c>
      <c r="BV128" s="103">
        <f t="shared" si="62"/>
        <v>0</v>
      </c>
    </row>
    <row r="129" spans="1:74" ht="83.25" customHeight="1" x14ac:dyDescent="0.2">
      <c r="A129" s="84">
        <v>91</v>
      </c>
      <c r="B129" s="84">
        <v>3</v>
      </c>
      <c r="C129" s="173"/>
      <c r="D129" s="173"/>
      <c r="E129" s="111">
        <v>19</v>
      </c>
      <c r="F129" s="154" t="s">
        <v>293</v>
      </c>
      <c r="G129" s="292" t="s">
        <v>294</v>
      </c>
      <c r="H129" s="295" t="s">
        <v>295</v>
      </c>
      <c r="I129" s="94">
        <v>89</v>
      </c>
      <c r="J129" s="90" t="s">
        <v>315</v>
      </c>
      <c r="K129" s="293" t="s">
        <v>316</v>
      </c>
      <c r="L129" s="272" t="s">
        <v>253</v>
      </c>
      <c r="M129" s="272">
        <v>1</v>
      </c>
      <c r="N129" s="277" t="s">
        <v>58</v>
      </c>
      <c r="O129" s="281" t="s">
        <v>39</v>
      </c>
      <c r="P129" s="278">
        <v>20000</v>
      </c>
      <c r="Q129" s="278">
        <v>9000</v>
      </c>
      <c r="R129" s="278">
        <v>10000</v>
      </c>
      <c r="S129" s="278">
        <v>17500</v>
      </c>
      <c r="T129" s="278">
        <v>20000</v>
      </c>
      <c r="U129" s="294"/>
      <c r="V129" s="94">
        <v>4</v>
      </c>
      <c r="W129" s="175" t="s">
        <v>100</v>
      </c>
      <c r="X129" s="231"/>
      <c r="Y129" s="136"/>
      <c r="Z129" s="231"/>
      <c r="AA129" s="136"/>
      <c r="AB129" s="231"/>
      <c r="AC129" s="136"/>
      <c r="AD129" s="231"/>
      <c r="AE129" s="136"/>
      <c r="AF129" s="231"/>
      <c r="AG129" s="136"/>
      <c r="AH129" s="231"/>
      <c r="AI129" s="136"/>
      <c r="AJ129" s="231"/>
      <c r="AK129" s="136"/>
      <c r="AL129" s="231"/>
      <c r="AM129" s="136"/>
      <c r="AN129" s="231"/>
      <c r="AO129" s="136"/>
      <c r="AP129" s="99">
        <f t="shared" si="69"/>
        <v>0</v>
      </c>
      <c r="AQ129" s="100">
        <f t="shared" si="70"/>
        <v>0</v>
      </c>
      <c r="AR129" s="109"/>
      <c r="AS129" s="109"/>
      <c r="AT129" s="109"/>
      <c r="AU129" s="109"/>
      <c r="AV129" s="109"/>
      <c r="AW129" s="109"/>
      <c r="AX129" s="109"/>
      <c r="AY129" s="109"/>
      <c r="AZ129" s="109"/>
      <c r="BA129" s="109">
        <f t="shared" si="71"/>
        <v>0</v>
      </c>
      <c r="BB129" s="192"/>
      <c r="BC129" s="192"/>
      <c r="BD129" s="192"/>
      <c r="BE129" s="192"/>
      <c r="BF129" s="192"/>
      <c r="BG129" s="192"/>
      <c r="BH129" s="192"/>
      <c r="BI129" s="192"/>
      <c r="BJ129" s="192"/>
      <c r="BK129" s="192">
        <f t="shared" si="73"/>
        <v>0</v>
      </c>
      <c r="BL129" s="109"/>
      <c r="BM129" s="109"/>
      <c r="BN129" s="109"/>
      <c r="BO129" s="109"/>
      <c r="BP129" s="109"/>
      <c r="BQ129" s="109"/>
      <c r="BR129" s="109"/>
      <c r="BS129" s="109"/>
      <c r="BT129" s="109"/>
      <c r="BU129" s="109">
        <f t="shared" si="72"/>
        <v>0</v>
      </c>
      <c r="BV129" s="103">
        <f t="shared" si="62"/>
        <v>0</v>
      </c>
    </row>
    <row r="130" spans="1:74" ht="57" x14ac:dyDescent="0.2">
      <c r="A130" s="105">
        <v>92</v>
      </c>
      <c r="B130" s="84">
        <v>3</v>
      </c>
      <c r="C130" s="173"/>
      <c r="D130" s="173"/>
      <c r="E130" s="111"/>
      <c r="F130" s="139"/>
      <c r="G130" s="296"/>
      <c r="H130" s="297"/>
      <c r="I130" s="94">
        <v>90</v>
      </c>
      <c r="J130" s="90" t="s">
        <v>317</v>
      </c>
      <c r="K130" s="293" t="s">
        <v>318</v>
      </c>
      <c r="L130" s="272" t="s">
        <v>253</v>
      </c>
      <c r="M130" s="272">
        <v>1</v>
      </c>
      <c r="N130" s="277" t="s">
        <v>58</v>
      </c>
      <c r="O130" s="281">
        <v>100</v>
      </c>
      <c r="P130" s="278">
        <v>130</v>
      </c>
      <c r="Q130" s="278">
        <v>103.75</v>
      </c>
      <c r="R130" s="278">
        <v>115</v>
      </c>
      <c r="S130" s="278">
        <v>126.25</v>
      </c>
      <c r="T130" s="278">
        <v>130</v>
      </c>
      <c r="U130" s="273">
        <f>AP130/$AP$122</f>
        <v>0.71340206185567012</v>
      </c>
      <c r="V130" s="94">
        <v>4</v>
      </c>
      <c r="W130" s="175" t="s">
        <v>100</v>
      </c>
      <c r="X130" s="231"/>
      <c r="Y130" s="136"/>
      <c r="Z130" s="231">
        <v>220000000</v>
      </c>
      <c r="AA130" s="136">
        <v>190000000</v>
      </c>
      <c r="AB130" s="231">
        <v>40000000</v>
      </c>
      <c r="AC130" s="101">
        <v>40000000</v>
      </c>
      <c r="AD130" s="231"/>
      <c r="AE130" s="136"/>
      <c r="AF130" s="231"/>
      <c r="AG130" s="136"/>
      <c r="AH130" s="231"/>
      <c r="AI130" s="136"/>
      <c r="AJ130" s="231"/>
      <c r="AK130" s="136"/>
      <c r="AL130" s="231"/>
      <c r="AM130" s="136"/>
      <c r="AN130" s="231">
        <v>3200000000</v>
      </c>
      <c r="AO130" s="136"/>
      <c r="AP130" s="99">
        <f t="shared" si="69"/>
        <v>3460000000</v>
      </c>
      <c r="AQ130" s="100">
        <f t="shared" si="70"/>
        <v>230000000</v>
      </c>
      <c r="AR130" s="109"/>
      <c r="AS130" s="109"/>
      <c r="AT130" s="109">
        <v>40000000</v>
      </c>
      <c r="AU130" s="109"/>
      <c r="AV130" s="109"/>
      <c r="AW130" s="109"/>
      <c r="AX130" s="109"/>
      <c r="AY130" s="192"/>
      <c r="AZ130" s="109">
        <v>4295276423</v>
      </c>
      <c r="BA130" s="109">
        <f t="shared" si="71"/>
        <v>4335276423</v>
      </c>
      <c r="BB130" s="192"/>
      <c r="BC130" s="192"/>
      <c r="BD130" s="192"/>
      <c r="BE130" s="192"/>
      <c r="BF130" s="192"/>
      <c r="BG130" s="192"/>
      <c r="BH130" s="192"/>
      <c r="BI130" s="192"/>
      <c r="BJ130" s="192">
        <f>6000000000-1000000000</f>
        <v>5000000000</v>
      </c>
      <c r="BK130" s="192">
        <f t="shared" si="73"/>
        <v>5000000000</v>
      </c>
      <c r="BL130" s="109"/>
      <c r="BM130" s="109"/>
      <c r="BN130" s="109">
        <v>10000000</v>
      </c>
      <c r="BO130" s="109"/>
      <c r="BP130" s="109"/>
      <c r="BQ130" s="109"/>
      <c r="BR130" s="109"/>
      <c r="BS130" s="109"/>
      <c r="BT130" s="109">
        <v>3000000000</v>
      </c>
      <c r="BU130" s="109">
        <f t="shared" si="72"/>
        <v>3010000000</v>
      </c>
      <c r="BV130" s="103">
        <f t="shared" si="62"/>
        <v>24690552846</v>
      </c>
    </row>
    <row r="131" spans="1:74" ht="71.25" x14ac:dyDescent="0.2">
      <c r="A131" s="105"/>
      <c r="B131" s="84"/>
      <c r="C131" s="173"/>
      <c r="D131" s="173"/>
      <c r="E131" s="111"/>
      <c r="F131" s="139"/>
      <c r="G131" s="182"/>
      <c r="H131" s="182"/>
      <c r="I131" s="94">
        <v>91</v>
      </c>
      <c r="J131" s="90" t="s">
        <v>319</v>
      </c>
      <c r="K131" s="293" t="s">
        <v>320</v>
      </c>
      <c r="L131" s="272" t="s">
        <v>253</v>
      </c>
      <c r="M131" s="272">
        <v>1</v>
      </c>
      <c r="N131" s="277" t="s">
        <v>44</v>
      </c>
      <c r="O131" s="281">
        <v>0</v>
      </c>
      <c r="P131" s="278">
        <v>54</v>
      </c>
      <c r="Q131" s="278">
        <v>54</v>
      </c>
      <c r="R131" s="278">
        <v>54</v>
      </c>
      <c r="S131" s="278">
        <v>54</v>
      </c>
      <c r="T131" s="278">
        <v>54</v>
      </c>
      <c r="U131" s="273">
        <f>AP131/$AP$122</f>
        <v>0.26804123711340205</v>
      </c>
      <c r="V131" s="94">
        <v>4</v>
      </c>
      <c r="W131" s="175" t="s">
        <v>100</v>
      </c>
      <c r="X131" s="231"/>
      <c r="Y131" s="136"/>
      <c r="Z131" s="231">
        <v>300000000</v>
      </c>
      <c r="AA131" s="101">
        <v>270000000</v>
      </c>
      <c r="AB131" s="231"/>
      <c r="AC131" s="136"/>
      <c r="AD131" s="231"/>
      <c r="AE131" s="136"/>
      <c r="AF131" s="231"/>
      <c r="AG131" s="136"/>
      <c r="AH131" s="231"/>
      <c r="AI131" s="136"/>
      <c r="AJ131" s="231"/>
      <c r="AK131" s="136"/>
      <c r="AL131" s="231"/>
      <c r="AM131" s="136"/>
      <c r="AN131" s="231">
        <v>1000000000</v>
      </c>
      <c r="AO131" s="136"/>
      <c r="AP131" s="99">
        <f t="shared" si="69"/>
        <v>1300000000</v>
      </c>
      <c r="AQ131" s="100">
        <f t="shared" si="70"/>
        <v>270000000</v>
      </c>
      <c r="AR131" s="109"/>
      <c r="AS131" s="109"/>
      <c r="AT131" s="109"/>
      <c r="AU131" s="109"/>
      <c r="AV131" s="109"/>
      <c r="AW131" s="109"/>
      <c r="AX131" s="109"/>
      <c r="AY131" s="192"/>
      <c r="AZ131" s="109">
        <v>1000000000</v>
      </c>
      <c r="BA131" s="109">
        <f t="shared" si="71"/>
        <v>1000000000</v>
      </c>
      <c r="BB131" s="192"/>
      <c r="BC131" s="192"/>
      <c r="BD131" s="192"/>
      <c r="BE131" s="192"/>
      <c r="BF131" s="192"/>
      <c r="BG131" s="192"/>
      <c r="BH131" s="192"/>
      <c r="BI131" s="192"/>
      <c r="BJ131" s="192">
        <v>1000000000</v>
      </c>
      <c r="BK131" s="192">
        <f t="shared" si="73"/>
        <v>1000000000</v>
      </c>
      <c r="BL131" s="109"/>
      <c r="BM131" s="109"/>
      <c r="BN131" s="109"/>
      <c r="BO131" s="109"/>
      <c r="BP131" s="109"/>
      <c r="BQ131" s="109"/>
      <c r="BR131" s="109"/>
      <c r="BS131" s="109"/>
      <c r="BT131" s="109">
        <v>1000000000</v>
      </c>
      <c r="BU131" s="109">
        <f t="shared" si="72"/>
        <v>1000000000</v>
      </c>
      <c r="BV131" s="103">
        <f t="shared" si="62"/>
        <v>6000000000</v>
      </c>
    </row>
    <row r="132" spans="1:74" ht="99.75" x14ac:dyDescent="0.2">
      <c r="A132" s="84">
        <v>93</v>
      </c>
      <c r="B132" s="84">
        <v>3</v>
      </c>
      <c r="C132" s="173"/>
      <c r="D132" s="173"/>
      <c r="E132" s="110"/>
      <c r="F132" s="144"/>
      <c r="G132" s="115"/>
      <c r="H132" s="115"/>
      <c r="I132" s="94">
        <v>92</v>
      </c>
      <c r="J132" s="90" t="s">
        <v>321</v>
      </c>
      <c r="K132" s="293" t="s">
        <v>322</v>
      </c>
      <c r="L132" s="272" t="s">
        <v>253</v>
      </c>
      <c r="M132" s="272">
        <v>1</v>
      </c>
      <c r="N132" s="277" t="s">
        <v>58</v>
      </c>
      <c r="O132" s="281">
        <v>0</v>
      </c>
      <c r="P132" s="278">
        <v>6</v>
      </c>
      <c r="Q132" s="278">
        <v>1</v>
      </c>
      <c r="R132" s="278">
        <v>2</v>
      </c>
      <c r="S132" s="278">
        <v>2</v>
      </c>
      <c r="T132" s="278">
        <v>1</v>
      </c>
      <c r="U132" s="294"/>
      <c r="V132" s="94">
        <v>4</v>
      </c>
      <c r="W132" s="175" t="s">
        <v>100</v>
      </c>
      <c r="X132" s="231"/>
      <c r="Y132" s="136"/>
      <c r="Z132" s="231"/>
      <c r="AA132" s="136"/>
      <c r="AB132" s="231"/>
      <c r="AC132" s="136"/>
      <c r="AD132" s="231"/>
      <c r="AE132" s="136"/>
      <c r="AF132" s="231"/>
      <c r="AG132" s="136"/>
      <c r="AH132" s="231"/>
      <c r="AI132" s="136"/>
      <c r="AJ132" s="231"/>
      <c r="AK132" s="136"/>
      <c r="AL132" s="231"/>
      <c r="AM132" s="136"/>
      <c r="AN132" s="231"/>
      <c r="AO132" s="136"/>
      <c r="AP132" s="99">
        <f t="shared" si="69"/>
        <v>0</v>
      </c>
      <c r="AQ132" s="100">
        <f t="shared" si="70"/>
        <v>0</v>
      </c>
      <c r="AR132" s="109"/>
      <c r="AS132" s="109"/>
      <c r="AT132" s="109"/>
      <c r="AU132" s="109"/>
      <c r="AV132" s="109"/>
      <c r="AW132" s="109"/>
      <c r="AX132" s="109"/>
      <c r="AY132" s="109"/>
      <c r="AZ132" s="109"/>
      <c r="BA132" s="109">
        <f t="shared" si="71"/>
        <v>0</v>
      </c>
      <c r="BB132" s="192"/>
      <c r="BC132" s="192"/>
      <c r="BD132" s="192"/>
      <c r="BE132" s="192"/>
      <c r="BF132" s="192"/>
      <c r="BG132" s="192"/>
      <c r="BH132" s="192"/>
      <c r="BI132" s="192"/>
      <c r="BJ132" s="192"/>
      <c r="BK132" s="192">
        <f t="shared" si="73"/>
        <v>0</v>
      </c>
      <c r="BL132" s="109"/>
      <c r="BM132" s="109"/>
      <c r="BN132" s="109"/>
      <c r="BO132" s="109"/>
      <c r="BP132" s="109"/>
      <c r="BQ132" s="109"/>
      <c r="BR132" s="109"/>
      <c r="BS132" s="109"/>
      <c r="BT132" s="109"/>
      <c r="BU132" s="109">
        <f t="shared" si="72"/>
        <v>0</v>
      </c>
      <c r="BV132" s="103">
        <f t="shared" si="62"/>
        <v>0</v>
      </c>
    </row>
    <row r="133" spans="1:74" ht="27.75" customHeight="1" x14ac:dyDescent="0.2">
      <c r="A133" s="84"/>
      <c r="B133" s="84"/>
      <c r="C133" s="173"/>
      <c r="D133" s="173"/>
      <c r="E133" s="71">
        <v>21</v>
      </c>
      <c r="F133" s="72" t="s">
        <v>323</v>
      </c>
      <c r="G133" s="71"/>
      <c r="H133" s="229"/>
      <c r="I133" s="71"/>
      <c r="J133" s="229"/>
      <c r="K133" s="125"/>
      <c r="L133" s="74"/>
      <c r="M133" s="74"/>
      <c r="N133" s="126"/>
      <c r="O133" s="125"/>
      <c r="P133" s="125"/>
      <c r="Q133" s="127"/>
      <c r="R133" s="125"/>
      <c r="S133" s="125"/>
      <c r="T133" s="74"/>
      <c r="U133" s="128"/>
      <c r="V133" s="74"/>
      <c r="W133" s="74"/>
      <c r="X133" s="129">
        <f t="shared" ref="X133:AO133" si="74">SUM(X134:X137)</f>
        <v>0</v>
      </c>
      <c r="Y133" s="129">
        <f t="shared" si="74"/>
        <v>0</v>
      </c>
      <c r="Z133" s="129">
        <f t="shared" si="74"/>
        <v>0</v>
      </c>
      <c r="AA133" s="129">
        <f t="shared" si="74"/>
        <v>0</v>
      </c>
      <c r="AB133" s="129">
        <f t="shared" si="74"/>
        <v>25000000</v>
      </c>
      <c r="AC133" s="129">
        <f t="shared" si="74"/>
        <v>25000000</v>
      </c>
      <c r="AD133" s="129">
        <f t="shared" si="74"/>
        <v>0</v>
      </c>
      <c r="AE133" s="129">
        <f t="shared" si="74"/>
        <v>0</v>
      </c>
      <c r="AF133" s="129">
        <f t="shared" si="74"/>
        <v>0</v>
      </c>
      <c r="AG133" s="129">
        <f t="shared" si="74"/>
        <v>0</v>
      </c>
      <c r="AH133" s="129">
        <f t="shared" si="74"/>
        <v>0</v>
      </c>
      <c r="AI133" s="129">
        <f t="shared" si="74"/>
        <v>0</v>
      </c>
      <c r="AJ133" s="129">
        <f t="shared" si="74"/>
        <v>250000000</v>
      </c>
      <c r="AK133" s="129">
        <f t="shared" si="74"/>
        <v>250000000</v>
      </c>
      <c r="AL133" s="129">
        <f t="shared" si="74"/>
        <v>0</v>
      </c>
      <c r="AM133" s="129">
        <f t="shared" si="74"/>
        <v>0</v>
      </c>
      <c r="AN133" s="129">
        <f t="shared" si="74"/>
        <v>0</v>
      </c>
      <c r="AO133" s="129">
        <f t="shared" si="74"/>
        <v>0</v>
      </c>
      <c r="AP133" s="130">
        <f>SUM(AP134:AP137)</f>
        <v>275000000</v>
      </c>
      <c r="AQ133" s="129">
        <f>SUM(AQ134:AQ137)</f>
        <v>275000000</v>
      </c>
      <c r="AR133" s="131"/>
      <c r="AS133" s="131"/>
      <c r="AT133" s="131"/>
      <c r="AU133" s="131"/>
      <c r="AV133" s="131"/>
      <c r="AW133" s="131"/>
      <c r="AX133" s="131"/>
      <c r="AY133" s="131"/>
      <c r="AZ133" s="131"/>
      <c r="BA133" s="131">
        <f>SUM(BA134:BA137)</f>
        <v>287500000</v>
      </c>
      <c r="BB133" s="131"/>
      <c r="BC133" s="131"/>
      <c r="BD133" s="131"/>
      <c r="BE133" s="131"/>
      <c r="BF133" s="131"/>
      <c r="BG133" s="131"/>
      <c r="BH133" s="131"/>
      <c r="BI133" s="131"/>
      <c r="BJ133" s="131"/>
      <c r="BK133" s="131">
        <f>SUM(BK134:BK137)</f>
        <v>280225000</v>
      </c>
      <c r="BL133" s="131"/>
      <c r="BM133" s="131"/>
      <c r="BN133" s="131"/>
      <c r="BO133" s="131"/>
      <c r="BP133" s="131"/>
      <c r="BQ133" s="131"/>
      <c r="BR133" s="131"/>
      <c r="BS133" s="131"/>
      <c r="BT133" s="131"/>
      <c r="BU133" s="131">
        <f>SUM(BU134:BU137)</f>
        <v>283181750</v>
      </c>
      <c r="BV133" s="132">
        <f t="shared" si="62"/>
        <v>850906750</v>
      </c>
    </row>
    <row r="134" spans="1:74" ht="116.25" customHeight="1" x14ac:dyDescent="0.2">
      <c r="A134" s="84">
        <v>95</v>
      </c>
      <c r="B134" s="84">
        <v>3</v>
      </c>
      <c r="C134" s="173"/>
      <c r="D134" s="173"/>
      <c r="E134" s="117">
        <v>16</v>
      </c>
      <c r="F134" s="86" t="s">
        <v>324</v>
      </c>
      <c r="G134" s="95">
        <v>45</v>
      </c>
      <c r="H134" s="95">
        <v>90</v>
      </c>
      <c r="I134" s="89">
        <v>93</v>
      </c>
      <c r="J134" s="90" t="s">
        <v>325</v>
      </c>
      <c r="K134" s="293" t="s">
        <v>326</v>
      </c>
      <c r="L134" s="272" t="s">
        <v>253</v>
      </c>
      <c r="M134" s="272">
        <v>1</v>
      </c>
      <c r="N134" s="277" t="s">
        <v>58</v>
      </c>
      <c r="O134" s="281" t="s">
        <v>39</v>
      </c>
      <c r="P134" s="278">
        <v>36</v>
      </c>
      <c r="Q134" s="278">
        <v>4</v>
      </c>
      <c r="R134" s="278">
        <v>18</v>
      </c>
      <c r="S134" s="278">
        <v>31.5</v>
      </c>
      <c r="T134" s="278">
        <v>36</v>
      </c>
      <c r="U134" s="294"/>
      <c r="V134" s="94">
        <v>4</v>
      </c>
      <c r="W134" s="94" t="s">
        <v>100</v>
      </c>
      <c r="X134" s="231"/>
      <c r="Y134" s="136"/>
      <c r="Z134" s="231"/>
      <c r="AA134" s="136"/>
      <c r="AB134" s="231"/>
      <c r="AC134" s="136"/>
      <c r="AD134" s="231"/>
      <c r="AE134" s="136"/>
      <c r="AF134" s="231"/>
      <c r="AG134" s="136"/>
      <c r="AH134" s="231"/>
      <c r="AI134" s="136"/>
      <c r="AJ134" s="231"/>
      <c r="AK134" s="136"/>
      <c r="AL134" s="231"/>
      <c r="AM134" s="136"/>
      <c r="AN134" s="231"/>
      <c r="AO134" s="136"/>
      <c r="AP134" s="99">
        <f>+X134+Z134+AB134+AD134+AF134+AH134+AJ134+AL134+AN134</f>
        <v>0</v>
      </c>
      <c r="AQ134" s="100">
        <f>Y134+AA134+AC134+AE134+AG134+AI134+AK134+AM134+AO134</f>
        <v>0</v>
      </c>
      <c r="AR134" s="109"/>
      <c r="AS134" s="109"/>
      <c r="AT134" s="109"/>
      <c r="AU134" s="109"/>
      <c r="AV134" s="109"/>
      <c r="AW134" s="109"/>
      <c r="AX134" s="109"/>
      <c r="AY134" s="109"/>
      <c r="AZ134" s="109"/>
      <c r="BA134" s="109">
        <f>SUM(AR134:AZ134)</f>
        <v>0</v>
      </c>
      <c r="BB134" s="192"/>
      <c r="BC134" s="192"/>
      <c r="BD134" s="192"/>
      <c r="BE134" s="192"/>
      <c r="BF134" s="192"/>
      <c r="BG134" s="192"/>
      <c r="BH134" s="192"/>
      <c r="BI134" s="192"/>
      <c r="BJ134" s="192"/>
      <c r="BK134" s="192">
        <f>SUM(BB134:BJ134)</f>
        <v>0</v>
      </c>
      <c r="BL134" s="109"/>
      <c r="BM134" s="109"/>
      <c r="BN134" s="109"/>
      <c r="BO134" s="109"/>
      <c r="BP134" s="109"/>
      <c r="BQ134" s="109"/>
      <c r="BR134" s="109"/>
      <c r="BS134" s="109"/>
      <c r="BT134" s="109"/>
      <c r="BU134" s="109">
        <f>SUM(BL134:BT134)</f>
        <v>0</v>
      </c>
      <c r="BV134" s="103">
        <f t="shared" si="62"/>
        <v>0</v>
      </c>
    </row>
    <row r="135" spans="1:74" ht="85.5" x14ac:dyDescent="0.2">
      <c r="A135" s="105">
        <v>96</v>
      </c>
      <c r="B135" s="84">
        <v>3</v>
      </c>
      <c r="C135" s="173"/>
      <c r="D135" s="173"/>
      <c r="E135" s="117">
        <v>17</v>
      </c>
      <c r="F135" s="298" t="s">
        <v>286</v>
      </c>
      <c r="G135" s="299" t="s">
        <v>287</v>
      </c>
      <c r="H135" s="300">
        <v>0.5</v>
      </c>
      <c r="I135" s="89">
        <v>94</v>
      </c>
      <c r="J135" s="90" t="s">
        <v>327</v>
      </c>
      <c r="K135" s="293" t="s">
        <v>328</v>
      </c>
      <c r="L135" s="272" t="s">
        <v>253</v>
      </c>
      <c r="M135" s="272">
        <v>1</v>
      </c>
      <c r="N135" s="277" t="s">
        <v>58</v>
      </c>
      <c r="O135" s="281">
        <v>70</v>
      </c>
      <c r="P135" s="278">
        <v>140</v>
      </c>
      <c r="Q135" s="278">
        <v>78.75</v>
      </c>
      <c r="R135" s="278">
        <v>105</v>
      </c>
      <c r="S135" s="278">
        <v>131.25</v>
      </c>
      <c r="T135" s="278">
        <v>140</v>
      </c>
      <c r="U135" s="273">
        <f>AP135/$AP$133</f>
        <v>0.88181818181818183</v>
      </c>
      <c r="V135" s="94">
        <v>4</v>
      </c>
      <c r="W135" s="94" t="s">
        <v>100</v>
      </c>
      <c r="X135" s="231"/>
      <c r="Y135" s="136"/>
      <c r="Z135" s="231"/>
      <c r="AA135" s="136"/>
      <c r="AB135" s="231"/>
      <c r="AC135" s="136">
        <v>25000000</v>
      </c>
      <c r="AD135" s="231"/>
      <c r="AE135" s="136"/>
      <c r="AF135" s="231"/>
      <c r="AG135" s="136"/>
      <c r="AH135" s="231"/>
      <c r="AI135" s="136"/>
      <c r="AJ135" s="231">
        <v>242500000</v>
      </c>
      <c r="AK135" s="136">
        <f>250000000-7500000</f>
        <v>242500000</v>
      </c>
      <c r="AL135" s="231"/>
      <c r="AM135" s="136"/>
      <c r="AN135" s="231"/>
      <c r="AO135" s="136"/>
      <c r="AP135" s="99">
        <f>+X135+Z135+AB135+AD135+AF135+AH135+AJ135+AL135+AN135</f>
        <v>242500000</v>
      </c>
      <c r="AQ135" s="100">
        <f>Y135+AA135+AC135+AE135+AG135+AI135+AK135+AM135+AO135</f>
        <v>267500000</v>
      </c>
      <c r="AR135" s="109"/>
      <c r="AS135" s="109"/>
      <c r="AT135" s="109"/>
      <c r="AU135" s="109"/>
      <c r="AV135" s="109"/>
      <c r="AW135" s="109"/>
      <c r="AX135" s="109">
        <v>253000000</v>
      </c>
      <c r="AY135" s="109"/>
      <c r="AZ135" s="109"/>
      <c r="BA135" s="109">
        <f>SUM(AR135:AZ135)</f>
        <v>253000000</v>
      </c>
      <c r="BB135" s="192"/>
      <c r="BC135" s="192"/>
      <c r="BD135" s="192"/>
      <c r="BE135" s="192"/>
      <c r="BF135" s="192"/>
      <c r="BG135" s="192"/>
      <c r="BH135" s="192">
        <v>240000000</v>
      </c>
      <c r="BI135" s="192"/>
      <c r="BJ135" s="192"/>
      <c r="BK135" s="192">
        <f>SUM(BB135:BJ135)</f>
        <v>240000000</v>
      </c>
      <c r="BL135" s="109"/>
      <c r="BM135" s="109"/>
      <c r="BN135" s="109"/>
      <c r="BO135" s="109"/>
      <c r="BP135" s="109"/>
      <c r="BQ135" s="109"/>
      <c r="BR135" s="109">
        <v>249700000</v>
      </c>
      <c r="BS135" s="109"/>
      <c r="BT135" s="109"/>
      <c r="BU135" s="109">
        <f>SUM(BL135:BT135)</f>
        <v>249700000</v>
      </c>
      <c r="BV135" s="103">
        <f t="shared" si="62"/>
        <v>1485400000</v>
      </c>
    </row>
    <row r="136" spans="1:74" ht="60" customHeight="1" x14ac:dyDescent="0.2">
      <c r="A136" s="84">
        <v>97</v>
      </c>
      <c r="B136" s="84">
        <v>3</v>
      </c>
      <c r="C136" s="173"/>
      <c r="D136" s="173"/>
      <c r="E136" s="117">
        <v>18</v>
      </c>
      <c r="F136" s="86" t="s">
        <v>290</v>
      </c>
      <c r="G136" s="95">
        <v>6</v>
      </c>
      <c r="H136" s="95">
        <v>12</v>
      </c>
      <c r="I136" s="89">
        <v>95</v>
      </c>
      <c r="J136" s="90" t="s">
        <v>329</v>
      </c>
      <c r="K136" s="293" t="s">
        <v>330</v>
      </c>
      <c r="L136" s="272" t="s">
        <v>253</v>
      </c>
      <c r="M136" s="272">
        <v>1</v>
      </c>
      <c r="N136" s="277" t="s">
        <v>44</v>
      </c>
      <c r="O136" s="281">
        <v>0</v>
      </c>
      <c r="P136" s="278">
        <v>500</v>
      </c>
      <c r="Q136" s="278">
        <v>500</v>
      </c>
      <c r="R136" s="278">
        <v>500</v>
      </c>
      <c r="S136" s="278">
        <v>500</v>
      </c>
      <c r="T136" s="278">
        <v>500</v>
      </c>
      <c r="U136" s="273">
        <f>AP136/$AP$133</f>
        <v>6.363636363636363E-2</v>
      </c>
      <c r="V136" s="94">
        <v>4</v>
      </c>
      <c r="W136" s="94" t="s">
        <v>100</v>
      </c>
      <c r="X136" s="231"/>
      <c r="Y136" s="136"/>
      <c r="Z136" s="231"/>
      <c r="AA136" s="136"/>
      <c r="AB136" s="231">
        <v>10000000</v>
      </c>
      <c r="AC136" s="101">
        <v>0</v>
      </c>
      <c r="AD136" s="231"/>
      <c r="AE136" s="136"/>
      <c r="AF136" s="231"/>
      <c r="AG136" s="136"/>
      <c r="AH136" s="231"/>
      <c r="AI136" s="136"/>
      <c r="AJ136" s="231">
        <v>7500000</v>
      </c>
      <c r="AK136" s="101">
        <v>7500000</v>
      </c>
      <c r="AL136" s="231"/>
      <c r="AM136" s="136"/>
      <c r="AN136" s="231"/>
      <c r="AO136" s="136"/>
      <c r="AP136" s="99">
        <f>+X136+Z136+AB136+AD136+AF136+AH136+AJ136+AL136+AN136</f>
        <v>17500000</v>
      </c>
      <c r="AQ136" s="100">
        <f>Y136+AA136+AC136+AE136+AG136+AI136+AK136+AM136+AO136</f>
        <v>7500000</v>
      </c>
      <c r="AR136" s="109"/>
      <c r="AS136" s="109"/>
      <c r="AT136" s="109">
        <f>18200000-4500000</f>
        <v>13700000</v>
      </c>
      <c r="AU136" s="109"/>
      <c r="AV136" s="109"/>
      <c r="AW136" s="109"/>
      <c r="AX136" s="109">
        <v>4500000</v>
      </c>
      <c r="AY136" s="109"/>
      <c r="AZ136" s="109"/>
      <c r="BA136" s="109">
        <f>SUM(AR136:AZ136)</f>
        <v>18200000</v>
      </c>
      <c r="BB136" s="192"/>
      <c r="BC136" s="192"/>
      <c r="BD136" s="192">
        <f>17800000-3000000</f>
        <v>14800000</v>
      </c>
      <c r="BE136" s="192"/>
      <c r="BF136" s="192"/>
      <c r="BG136" s="192"/>
      <c r="BH136" s="192">
        <v>3000000</v>
      </c>
      <c r="BI136" s="192"/>
      <c r="BJ136" s="192"/>
      <c r="BK136" s="192">
        <f>SUM(BB136:BJ136)</f>
        <v>17800000</v>
      </c>
      <c r="BL136" s="109"/>
      <c r="BM136" s="109"/>
      <c r="BN136" s="109"/>
      <c r="BO136" s="109"/>
      <c r="BP136" s="109"/>
      <c r="BQ136" s="109"/>
      <c r="BR136" s="109">
        <v>18020000</v>
      </c>
      <c r="BS136" s="109"/>
      <c r="BT136" s="109"/>
      <c r="BU136" s="109">
        <f>SUM(BL136:BT136)</f>
        <v>18020000</v>
      </c>
      <c r="BV136" s="103">
        <f t="shared" si="62"/>
        <v>108040000</v>
      </c>
    </row>
    <row r="137" spans="1:74" ht="60" customHeight="1" x14ac:dyDescent="0.2">
      <c r="A137" s="105">
        <v>98</v>
      </c>
      <c r="B137" s="84">
        <v>3</v>
      </c>
      <c r="C137" s="173"/>
      <c r="D137" s="173"/>
      <c r="E137" s="110">
        <v>19</v>
      </c>
      <c r="F137" s="154" t="s">
        <v>293</v>
      </c>
      <c r="G137" s="196" t="s">
        <v>294</v>
      </c>
      <c r="H137" s="254" t="s">
        <v>295</v>
      </c>
      <c r="I137" s="301">
        <v>96</v>
      </c>
      <c r="J137" s="90" t="s">
        <v>331</v>
      </c>
      <c r="K137" s="293" t="s">
        <v>332</v>
      </c>
      <c r="L137" s="272" t="s">
        <v>253</v>
      </c>
      <c r="M137" s="272">
        <v>1</v>
      </c>
      <c r="N137" s="277" t="s">
        <v>58</v>
      </c>
      <c r="O137" s="281">
        <v>0</v>
      </c>
      <c r="P137" s="278">
        <v>6</v>
      </c>
      <c r="Q137" s="278">
        <v>0.75</v>
      </c>
      <c r="R137" s="278">
        <v>3</v>
      </c>
      <c r="S137" s="278">
        <v>5.25</v>
      </c>
      <c r="T137" s="278">
        <v>6</v>
      </c>
      <c r="U137" s="273">
        <f>AP137/$AP$133</f>
        <v>5.4545454545454543E-2</v>
      </c>
      <c r="V137" s="94">
        <v>4</v>
      </c>
      <c r="W137" s="94" t="s">
        <v>100</v>
      </c>
      <c r="X137" s="231"/>
      <c r="Y137" s="136"/>
      <c r="Z137" s="231"/>
      <c r="AA137" s="136"/>
      <c r="AB137" s="231">
        <v>15000000</v>
      </c>
      <c r="AC137" s="101">
        <v>0</v>
      </c>
      <c r="AD137" s="231"/>
      <c r="AE137" s="136"/>
      <c r="AF137" s="231"/>
      <c r="AG137" s="136"/>
      <c r="AH137" s="231"/>
      <c r="AI137" s="136"/>
      <c r="AJ137" s="231"/>
      <c r="AK137" s="136"/>
      <c r="AL137" s="231"/>
      <c r="AM137" s="136"/>
      <c r="AN137" s="231"/>
      <c r="AO137" s="136"/>
      <c r="AP137" s="99">
        <f>+X137+Z137+AB137+AD137+AF137+AH137+AJ137+AL137+AN137</f>
        <v>15000000</v>
      </c>
      <c r="AQ137" s="100">
        <f>Y137+AA137+AC137+AE137+AG137+AI137+AK137+AM137+AO137</f>
        <v>0</v>
      </c>
      <c r="AR137" s="109"/>
      <c r="AS137" s="109"/>
      <c r="AT137" s="109">
        <v>16300000</v>
      </c>
      <c r="AU137" s="109"/>
      <c r="AV137" s="109"/>
      <c r="AW137" s="109"/>
      <c r="AX137" s="109"/>
      <c r="AY137" s="109"/>
      <c r="AZ137" s="109"/>
      <c r="BA137" s="109">
        <f>SUM(AR137:AZ137)</f>
        <v>16300000</v>
      </c>
      <c r="BB137" s="192"/>
      <c r="BC137" s="192"/>
      <c r="BD137" s="192">
        <v>200000</v>
      </c>
      <c r="BE137" s="192"/>
      <c r="BF137" s="192"/>
      <c r="BG137" s="192"/>
      <c r="BH137" s="192">
        <v>22225000</v>
      </c>
      <c r="BI137" s="192"/>
      <c r="BJ137" s="192"/>
      <c r="BK137" s="192">
        <f>SUM(BB137:BJ137)</f>
        <v>22425000</v>
      </c>
      <c r="BL137" s="109"/>
      <c r="BM137" s="109"/>
      <c r="BN137" s="109">
        <v>10000000</v>
      </c>
      <c r="BO137" s="109"/>
      <c r="BP137" s="109"/>
      <c r="BQ137" s="109"/>
      <c r="BR137" s="109">
        <v>5461750</v>
      </c>
      <c r="BS137" s="109"/>
      <c r="BT137" s="109"/>
      <c r="BU137" s="109">
        <f>SUM(BL137:BT137)</f>
        <v>15461750</v>
      </c>
      <c r="BV137" s="103">
        <f t="shared" si="62"/>
        <v>108373500</v>
      </c>
    </row>
    <row r="138" spans="1:74" ht="27.75" customHeight="1" x14ac:dyDescent="0.2">
      <c r="A138" s="105"/>
      <c r="B138" s="84"/>
      <c r="C138" s="173"/>
      <c r="D138" s="173"/>
      <c r="E138" s="71">
        <v>22</v>
      </c>
      <c r="F138" s="72" t="s">
        <v>333</v>
      </c>
      <c r="G138" s="74"/>
      <c r="H138" s="125"/>
      <c r="I138" s="74"/>
      <c r="J138" s="125"/>
      <c r="K138" s="125"/>
      <c r="L138" s="74"/>
      <c r="M138" s="74"/>
      <c r="N138" s="126"/>
      <c r="O138" s="125"/>
      <c r="P138" s="125"/>
      <c r="Q138" s="127"/>
      <c r="R138" s="125"/>
      <c r="S138" s="125"/>
      <c r="T138" s="74"/>
      <c r="U138" s="128"/>
      <c r="V138" s="74"/>
      <c r="W138" s="74"/>
      <c r="X138" s="129">
        <f t="shared" ref="X138:AP138" si="75">SUM(X139)</f>
        <v>0</v>
      </c>
      <c r="Y138" s="129">
        <f t="shared" si="75"/>
        <v>0</v>
      </c>
      <c r="Z138" s="129">
        <f t="shared" si="75"/>
        <v>0</v>
      </c>
      <c r="AA138" s="129">
        <f t="shared" si="75"/>
        <v>0</v>
      </c>
      <c r="AB138" s="129">
        <f t="shared" si="75"/>
        <v>0</v>
      </c>
      <c r="AC138" s="129">
        <f t="shared" si="75"/>
        <v>0</v>
      </c>
      <c r="AD138" s="129">
        <f t="shared" si="75"/>
        <v>0</v>
      </c>
      <c r="AE138" s="129">
        <f t="shared" si="75"/>
        <v>0</v>
      </c>
      <c r="AF138" s="129">
        <f t="shared" si="75"/>
        <v>0</v>
      </c>
      <c r="AG138" s="129">
        <f t="shared" si="75"/>
        <v>0</v>
      </c>
      <c r="AH138" s="129">
        <f t="shared" si="75"/>
        <v>0</v>
      </c>
      <c r="AI138" s="129">
        <f t="shared" si="75"/>
        <v>0</v>
      </c>
      <c r="AJ138" s="129">
        <f t="shared" si="75"/>
        <v>110000000</v>
      </c>
      <c r="AK138" s="129">
        <f t="shared" si="75"/>
        <v>110000000</v>
      </c>
      <c r="AL138" s="129">
        <f t="shared" si="75"/>
        <v>0</v>
      </c>
      <c r="AM138" s="129">
        <f t="shared" si="75"/>
        <v>0</v>
      </c>
      <c r="AN138" s="129">
        <f t="shared" si="75"/>
        <v>0</v>
      </c>
      <c r="AO138" s="129">
        <f t="shared" si="75"/>
        <v>0</v>
      </c>
      <c r="AP138" s="129">
        <f t="shared" si="75"/>
        <v>110000000</v>
      </c>
      <c r="AQ138" s="129">
        <f>SUM(AQ139)</f>
        <v>110000000</v>
      </c>
      <c r="AR138" s="131"/>
      <c r="AS138" s="131"/>
      <c r="AT138" s="131"/>
      <c r="AU138" s="131"/>
      <c r="AV138" s="131"/>
      <c r="AW138" s="131"/>
      <c r="AX138" s="131"/>
      <c r="AY138" s="131"/>
      <c r="AZ138" s="131"/>
      <c r="BA138" s="131">
        <f>SUM(BA139)</f>
        <v>113300000</v>
      </c>
      <c r="BB138" s="131"/>
      <c r="BC138" s="131"/>
      <c r="BD138" s="131"/>
      <c r="BE138" s="131"/>
      <c r="BF138" s="131"/>
      <c r="BG138" s="131"/>
      <c r="BH138" s="131"/>
      <c r="BI138" s="131"/>
      <c r="BJ138" s="131"/>
      <c r="BK138" s="131">
        <f>SUM(BK139)</f>
        <v>116699000</v>
      </c>
      <c r="BL138" s="131"/>
      <c r="BM138" s="131"/>
      <c r="BN138" s="131"/>
      <c r="BO138" s="131"/>
      <c r="BP138" s="131"/>
      <c r="BQ138" s="131"/>
      <c r="BR138" s="131"/>
      <c r="BS138" s="131"/>
      <c r="BT138" s="131"/>
      <c r="BU138" s="131">
        <f>SUM(BU139)</f>
        <v>120199970</v>
      </c>
      <c r="BV138" s="132">
        <f t="shared" si="62"/>
        <v>350198970</v>
      </c>
    </row>
    <row r="139" spans="1:74" ht="149.25" customHeight="1" x14ac:dyDescent="0.2">
      <c r="A139" s="84">
        <v>99</v>
      </c>
      <c r="B139" s="84">
        <v>3</v>
      </c>
      <c r="C139" s="173"/>
      <c r="D139" s="173"/>
      <c r="E139" s="117">
        <v>16</v>
      </c>
      <c r="F139" s="86" t="s">
        <v>324</v>
      </c>
      <c r="G139" s="95">
        <v>45</v>
      </c>
      <c r="H139" s="95">
        <v>90</v>
      </c>
      <c r="I139" s="577">
        <v>97</v>
      </c>
      <c r="J139" s="627" t="s">
        <v>334</v>
      </c>
      <c r="K139" s="618" t="s">
        <v>335</v>
      </c>
      <c r="L139" s="630" t="s">
        <v>253</v>
      </c>
      <c r="M139" s="630">
        <v>1</v>
      </c>
      <c r="N139" s="615" t="s">
        <v>58</v>
      </c>
      <c r="O139" s="618" t="s">
        <v>39</v>
      </c>
      <c r="P139" s="615">
        <v>52</v>
      </c>
      <c r="Q139" s="621">
        <v>6.5</v>
      </c>
      <c r="R139" s="615">
        <v>26</v>
      </c>
      <c r="S139" s="615">
        <v>45.5</v>
      </c>
      <c r="T139" s="615">
        <v>52</v>
      </c>
      <c r="U139" s="637">
        <f>AP139/AP138</f>
        <v>1</v>
      </c>
      <c r="V139" s="577">
        <v>4</v>
      </c>
      <c r="W139" s="577" t="s">
        <v>100</v>
      </c>
      <c r="X139" s="633"/>
      <c r="Y139" s="636"/>
      <c r="Z139" s="633"/>
      <c r="AA139" s="636"/>
      <c r="AB139" s="633"/>
      <c r="AC139" s="636"/>
      <c r="AD139" s="633"/>
      <c r="AE139" s="636"/>
      <c r="AF139" s="633"/>
      <c r="AG139" s="636"/>
      <c r="AH139" s="633"/>
      <c r="AI139" s="636"/>
      <c r="AJ139" s="633">
        <v>110000000</v>
      </c>
      <c r="AK139" s="636">
        <v>110000000</v>
      </c>
      <c r="AL139" s="633"/>
      <c r="AM139" s="636"/>
      <c r="AN139" s="633"/>
      <c r="AO139" s="636"/>
      <c r="AP139" s="640">
        <f>+X139+Z139+AB139+AD139+AF139+AH139+AJ139+AL139+AN139</f>
        <v>110000000</v>
      </c>
      <c r="AQ139" s="640">
        <f>Y139+AA139+AC139+AE139+AG139+AI139+AK139+AM139+AO139</f>
        <v>110000000</v>
      </c>
      <c r="AR139" s="611"/>
      <c r="AS139" s="611"/>
      <c r="AT139" s="611"/>
      <c r="AU139" s="303"/>
      <c r="AV139" s="611"/>
      <c r="AW139" s="611"/>
      <c r="AX139" s="611">
        <v>113300000</v>
      </c>
      <c r="AY139" s="611"/>
      <c r="AZ139" s="611"/>
      <c r="BA139" s="611">
        <f>SUM(AR139:AZ142)</f>
        <v>113300000</v>
      </c>
      <c r="BB139" s="611"/>
      <c r="BC139" s="611"/>
      <c r="BD139" s="611"/>
      <c r="BE139" s="303"/>
      <c r="BF139" s="611"/>
      <c r="BG139" s="611"/>
      <c r="BH139" s="611">
        <v>116699000</v>
      </c>
      <c r="BI139" s="611"/>
      <c r="BJ139" s="611"/>
      <c r="BK139" s="611">
        <f>SUM(BB139:BJ142)</f>
        <v>116699000</v>
      </c>
      <c r="BL139" s="611"/>
      <c r="BM139" s="611"/>
      <c r="BN139" s="611"/>
      <c r="BO139" s="303"/>
      <c r="BP139" s="611"/>
      <c r="BQ139" s="611"/>
      <c r="BR139" s="611">
        <v>120199970</v>
      </c>
      <c r="BS139" s="611"/>
      <c r="BT139" s="611"/>
      <c r="BU139" s="611">
        <f>SUM(BL139:BT142)</f>
        <v>120199970</v>
      </c>
      <c r="BV139" s="644">
        <f t="shared" si="62"/>
        <v>700397940</v>
      </c>
    </row>
    <row r="140" spans="1:74" ht="85.5" x14ac:dyDescent="0.2">
      <c r="A140" s="84"/>
      <c r="B140" s="84"/>
      <c r="C140" s="173"/>
      <c r="D140" s="173"/>
      <c r="E140" s="117">
        <v>17</v>
      </c>
      <c r="F140" s="298" t="s">
        <v>286</v>
      </c>
      <c r="G140" s="299" t="s">
        <v>287</v>
      </c>
      <c r="H140" s="300">
        <v>0.5</v>
      </c>
      <c r="I140" s="626"/>
      <c r="J140" s="628"/>
      <c r="K140" s="619"/>
      <c r="L140" s="631"/>
      <c r="M140" s="631"/>
      <c r="N140" s="616"/>
      <c r="O140" s="619"/>
      <c r="P140" s="616"/>
      <c r="Q140" s="622"/>
      <c r="R140" s="616"/>
      <c r="S140" s="616"/>
      <c r="T140" s="616"/>
      <c r="U140" s="638"/>
      <c r="V140" s="626"/>
      <c r="W140" s="626"/>
      <c r="X140" s="634"/>
      <c r="Y140" s="636"/>
      <c r="Z140" s="634"/>
      <c r="AA140" s="636"/>
      <c r="AB140" s="634"/>
      <c r="AC140" s="636"/>
      <c r="AD140" s="634"/>
      <c r="AE140" s="636"/>
      <c r="AF140" s="634"/>
      <c r="AG140" s="636"/>
      <c r="AH140" s="634"/>
      <c r="AI140" s="636"/>
      <c r="AJ140" s="634"/>
      <c r="AK140" s="636"/>
      <c r="AL140" s="634"/>
      <c r="AM140" s="636"/>
      <c r="AN140" s="634"/>
      <c r="AO140" s="636"/>
      <c r="AP140" s="641"/>
      <c r="AQ140" s="641"/>
      <c r="AR140" s="643"/>
      <c r="AS140" s="643"/>
      <c r="AT140" s="643"/>
      <c r="AU140" s="304"/>
      <c r="AV140" s="643"/>
      <c r="AW140" s="643"/>
      <c r="AX140" s="643"/>
      <c r="AY140" s="643"/>
      <c r="AZ140" s="643"/>
      <c r="BA140" s="643"/>
      <c r="BB140" s="643"/>
      <c r="BC140" s="643"/>
      <c r="BD140" s="643"/>
      <c r="BE140" s="304"/>
      <c r="BF140" s="643"/>
      <c r="BG140" s="643"/>
      <c r="BH140" s="643"/>
      <c r="BI140" s="643"/>
      <c r="BJ140" s="643"/>
      <c r="BK140" s="643"/>
      <c r="BL140" s="643"/>
      <c r="BM140" s="643"/>
      <c r="BN140" s="643"/>
      <c r="BO140" s="304"/>
      <c r="BP140" s="643"/>
      <c r="BQ140" s="643"/>
      <c r="BR140" s="643"/>
      <c r="BS140" s="643"/>
      <c r="BT140" s="643"/>
      <c r="BU140" s="643"/>
      <c r="BV140" s="644"/>
    </row>
    <row r="141" spans="1:74" ht="72.75" customHeight="1" x14ac:dyDescent="0.2">
      <c r="A141" s="84"/>
      <c r="B141" s="84"/>
      <c r="C141" s="173"/>
      <c r="D141" s="173"/>
      <c r="E141" s="117">
        <v>18</v>
      </c>
      <c r="F141" s="86" t="s">
        <v>290</v>
      </c>
      <c r="G141" s="95">
        <v>6</v>
      </c>
      <c r="H141" s="95">
        <v>12</v>
      </c>
      <c r="I141" s="626"/>
      <c r="J141" s="628"/>
      <c r="K141" s="619"/>
      <c r="L141" s="631"/>
      <c r="M141" s="631"/>
      <c r="N141" s="616"/>
      <c r="O141" s="619"/>
      <c r="P141" s="616"/>
      <c r="Q141" s="622"/>
      <c r="R141" s="616"/>
      <c r="S141" s="616"/>
      <c r="T141" s="616"/>
      <c r="U141" s="638"/>
      <c r="V141" s="626"/>
      <c r="W141" s="626"/>
      <c r="X141" s="634"/>
      <c r="Y141" s="636"/>
      <c r="Z141" s="634"/>
      <c r="AA141" s="636"/>
      <c r="AB141" s="634"/>
      <c r="AC141" s="636"/>
      <c r="AD141" s="634"/>
      <c r="AE141" s="636"/>
      <c r="AF141" s="634"/>
      <c r="AG141" s="636"/>
      <c r="AH141" s="634"/>
      <c r="AI141" s="636"/>
      <c r="AJ141" s="634"/>
      <c r="AK141" s="636"/>
      <c r="AL141" s="634"/>
      <c r="AM141" s="636"/>
      <c r="AN141" s="634"/>
      <c r="AO141" s="636"/>
      <c r="AP141" s="641"/>
      <c r="AQ141" s="641"/>
      <c r="AR141" s="643"/>
      <c r="AS141" s="643"/>
      <c r="AT141" s="643"/>
      <c r="AU141" s="304"/>
      <c r="AV141" s="643"/>
      <c r="AW141" s="643"/>
      <c r="AX141" s="643"/>
      <c r="AY141" s="643"/>
      <c r="AZ141" s="643"/>
      <c r="BA141" s="643"/>
      <c r="BB141" s="643"/>
      <c r="BC141" s="643"/>
      <c r="BD141" s="643"/>
      <c r="BE141" s="304"/>
      <c r="BF141" s="643"/>
      <c r="BG141" s="643"/>
      <c r="BH141" s="643"/>
      <c r="BI141" s="643"/>
      <c r="BJ141" s="643"/>
      <c r="BK141" s="643"/>
      <c r="BL141" s="643"/>
      <c r="BM141" s="643"/>
      <c r="BN141" s="643"/>
      <c r="BO141" s="304"/>
      <c r="BP141" s="643"/>
      <c r="BQ141" s="643"/>
      <c r="BR141" s="643"/>
      <c r="BS141" s="643"/>
      <c r="BT141" s="643"/>
      <c r="BU141" s="643"/>
      <c r="BV141" s="644"/>
    </row>
    <row r="142" spans="1:74" ht="78" customHeight="1" x14ac:dyDescent="0.2">
      <c r="A142" s="84"/>
      <c r="B142" s="84"/>
      <c r="C142" s="173"/>
      <c r="D142" s="237"/>
      <c r="E142" s="110">
        <v>19</v>
      </c>
      <c r="F142" s="154" t="s">
        <v>293</v>
      </c>
      <c r="G142" s="196" t="s">
        <v>294</v>
      </c>
      <c r="H142" s="254" t="s">
        <v>295</v>
      </c>
      <c r="I142" s="578"/>
      <c r="J142" s="629"/>
      <c r="K142" s="620"/>
      <c r="L142" s="632"/>
      <c r="M142" s="632"/>
      <c r="N142" s="617"/>
      <c r="O142" s="620"/>
      <c r="P142" s="617"/>
      <c r="Q142" s="623"/>
      <c r="R142" s="617"/>
      <c r="S142" s="617"/>
      <c r="T142" s="617"/>
      <c r="U142" s="639"/>
      <c r="V142" s="578"/>
      <c r="W142" s="578"/>
      <c r="X142" s="635"/>
      <c r="Y142" s="636"/>
      <c r="Z142" s="635"/>
      <c r="AA142" s="636"/>
      <c r="AB142" s="635"/>
      <c r="AC142" s="636"/>
      <c r="AD142" s="635"/>
      <c r="AE142" s="636"/>
      <c r="AF142" s="635"/>
      <c r="AG142" s="636"/>
      <c r="AH142" s="635"/>
      <c r="AI142" s="636"/>
      <c r="AJ142" s="635"/>
      <c r="AK142" s="636"/>
      <c r="AL142" s="635"/>
      <c r="AM142" s="636"/>
      <c r="AN142" s="635"/>
      <c r="AO142" s="636"/>
      <c r="AP142" s="642"/>
      <c r="AQ142" s="642"/>
      <c r="AR142" s="612"/>
      <c r="AS142" s="612"/>
      <c r="AT142" s="612"/>
      <c r="AU142" s="305"/>
      <c r="AV142" s="612"/>
      <c r="AW142" s="612"/>
      <c r="AX142" s="612"/>
      <c r="AY142" s="612"/>
      <c r="AZ142" s="612"/>
      <c r="BA142" s="612"/>
      <c r="BB142" s="612"/>
      <c r="BC142" s="612"/>
      <c r="BD142" s="612"/>
      <c r="BE142" s="305"/>
      <c r="BF142" s="612"/>
      <c r="BG142" s="612"/>
      <c r="BH142" s="612"/>
      <c r="BI142" s="612"/>
      <c r="BJ142" s="612"/>
      <c r="BK142" s="612"/>
      <c r="BL142" s="612"/>
      <c r="BM142" s="612"/>
      <c r="BN142" s="612"/>
      <c r="BO142" s="305"/>
      <c r="BP142" s="612"/>
      <c r="BQ142" s="612"/>
      <c r="BR142" s="612"/>
      <c r="BS142" s="612"/>
      <c r="BT142" s="612"/>
      <c r="BU142" s="612"/>
      <c r="BV142" s="644"/>
    </row>
    <row r="143" spans="1:74" ht="24" customHeight="1" x14ac:dyDescent="0.2">
      <c r="A143" s="84"/>
      <c r="B143" s="84"/>
      <c r="C143" s="173"/>
      <c r="D143" s="56">
        <v>7</v>
      </c>
      <c r="E143" s="170" t="s">
        <v>336</v>
      </c>
      <c r="F143" s="61"/>
      <c r="G143" s="61"/>
      <c r="H143" s="61"/>
      <c r="I143" s="60"/>
      <c r="J143" s="61"/>
      <c r="K143" s="61"/>
      <c r="L143" s="62"/>
      <c r="M143" s="60"/>
      <c r="N143" s="63"/>
      <c r="O143" s="61"/>
      <c r="P143" s="61"/>
      <c r="Q143" s="64"/>
      <c r="R143" s="61"/>
      <c r="S143" s="61"/>
      <c r="T143" s="60"/>
      <c r="U143" s="171"/>
      <c r="V143" s="60"/>
      <c r="W143" s="60"/>
      <c r="X143" s="66">
        <f t="shared" ref="X143:AO143" si="76">X144+X150</f>
        <v>0</v>
      </c>
      <c r="Y143" s="66">
        <f t="shared" si="76"/>
        <v>0</v>
      </c>
      <c r="Z143" s="66">
        <f t="shared" si="76"/>
        <v>0</v>
      </c>
      <c r="AA143" s="66">
        <f t="shared" si="76"/>
        <v>0</v>
      </c>
      <c r="AB143" s="66">
        <f t="shared" si="76"/>
        <v>80000000</v>
      </c>
      <c r="AC143" s="66">
        <f t="shared" si="76"/>
        <v>80000000</v>
      </c>
      <c r="AD143" s="66">
        <f t="shared" si="76"/>
        <v>0</v>
      </c>
      <c r="AE143" s="66">
        <f t="shared" si="76"/>
        <v>0</v>
      </c>
      <c r="AF143" s="66">
        <f t="shared" si="76"/>
        <v>0</v>
      </c>
      <c r="AG143" s="66">
        <f t="shared" si="76"/>
        <v>0</v>
      </c>
      <c r="AH143" s="66">
        <f t="shared" si="76"/>
        <v>0</v>
      </c>
      <c r="AI143" s="66">
        <f t="shared" si="76"/>
        <v>0</v>
      </c>
      <c r="AJ143" s="66">
        <f t="shared" si="76"/>
        <v>200000000</v>
      </c>
      <c r="AK143" s="66">
        <f t="shared" si="76"/>
        <v>200000000</v>
      </c>
      <c r="AL143" s="66">
        <f t="shared" si="76"/>
        <v>0</v>
      </c>
      <c r="AM143" s="66">
        <f t="shared" si="76"/>
        <v>0</v>
      </c>
      <c r="AN143" s="66">
        <f t="shared" si="76"/>
        <v>4000000000</v>
      </c>
      <c r="AO143" s="66">
        <f t="shared" si="76"/>
        <v>0</v>
      </c>
      <c r="AP143" s="67">
        <f>AP144+AP150</f>
        <v>4280000000</v>
      </c>
      <c r="AQ143" s="66">
        <f>AQ144+AQ150</f>
        <v>280000000</v>
      </c>
      <c r="AR143" s="68"/>
      <c r="AS143" s="68"/>
      <c r="AT143" s="68"/>
      <c r="AU143" s="68"/>
      <c r="AV143" s="68"/>
      <c r="AW143" s="68"/>
      <c r="AX143" s="68"/>
      <c r="AY143" s="68"/>
      <c r="AZ143" s="68"/>
      <c r="BA143" s="68">
        <f>BA144+BA150</f>
        <v>4296000000</v>
      </c>
      <c r="BB143" s="68"/>
      <c r="BC143" s="68"/>
      <c r="BD143" s="68"/>
      <c r="BE143" s="68"/>
      <c r="BF143" s="68"/>
      <c r="BG143" s="68"/>
      <c r="BH143" s="68"/>
      <c r="BI143" s="68"/>
      <c r="BJ143" s="68"/>
      <c r="BK143" s="68">
        <f>BK144+BK150</f>
        <v>4252180000</v>
      </c>
      <c r="BL143" s="68"/>
      <c r="BM143" s="68"/>
      <c r="BN143" s="68"/>
      <c r="BO143" s="68"/>
      <c r="BP143" s="68"/>
      <c r="BQ143" s="68"/>
      <c r="BR143" s="68"/>
      <c r="BS143" s="68"/>
      <c r="BT143" s="68"/>
      <c r="BU143" s="68">
        <f>BU144+BU150</f>
        <v>5238545400.0033331</v>
      </c>
      <c r="BV143" s="172">
        <f t="shared" ref="BV143:BV173" si="77">SUM(AR143:BU143)</f>
        <v>13786725400.003334</v>
      </c>
    </row>
    <row r="144" spans="1:74" ht="24" customHeight="1" x14ac:dyDescent="0.2">
      <c r="A144" s="84"/>
      <c r="B144" s="84"/>
      <c r="C144" s="173"/>
      <c r="D144" s="169"/>
      <c r="E144" s="71">
        <v>23</v>
      </c>
      <c r="F144" s="72" t="s">
        <v>337</v>
      </c>
      <c r="G144" s="124"/>
      <c r="H144" s="75"/>
      <c r="I144" s="74"/>
      <c r="J144" s="75"/>
      <c r="K144" s="75"/>
      <c r="L144" s="74"/>
      <c r="M144" s="76"/>
      <c r="N144" s="77"/>
      <c r="O144" s="75"/>
      <c r="P144" s="75"/>
      <c r="Q144" s="78"/>
      <c r="R144" s="75"/>
      <c r="S144" s="75"/>
      <c r="T144" s="76"/>
      <c r="U144" s="174"/>
      <c r="V144" s="76"/>
      <c r="W144" s="76"/>
      <c r="X144" s="80">
        <f t="shared" ref="X144:AO144" si="78">SUM(X145:X149)</f>
        <v>0</v>
      </c>
      <c r="Y144" s="80">
        <f t="shared" si="78"/>
        <v>0</v>
      </c>
      <c r="Z144" s="80">
        <f t="shared" si="78"/>
        <v>0</v>
      </c>
      <c r="AA144" s="80">
        <f t="shared" si="78"/>
        <v>0</v>
      </c>
      <c r="AB144" s="80">
        <f t="shared" si="78"/>
        <v>0</v>
      </c>
      <c r="AC144" s="80">
        <f t="shared" si="78"/>
        <v>0</v>
      </c>
      <c r="AD144" s="80">
        <f t="shared" si="78"/>
        <v>0</v>
      </c>
      <c r="AE144" s="80">
        <f t="shared" si="78"/>
        <v>0</v>
      </c>
      <c r="AF144" s="80">
        <f t="shared" si="78"/>
        <v>0</v>
      </c>
      <c r="AG144" s="80">
        <f t="shared" si="78"/>
        <v>0</v>
      </c>
      <c r="AH144" s="80">
        <f t="shared" si="78"/>
        <v>0</v>
      </c>
      <c r="AI144" s="80">
        <f t="shared" si="78"/>
        <v>0</v>
      </c>
      <c r="AJ144" s="80">
        <f t="shared" si="78"/>
        <v>100000000</v>
      </c>
      <c r="AK144" s="80">
        <f t="shared" si="78"/>
        <v>100000000</v>
      </c>
      <c r="AL144" s="80">
        <f t="shared" si="78"/>
        <v>0</v>
      </c>
      <c r="AM144" s="80">
        <f t="shared" si="78"/>
        <v>0</v>
      </c>
      <c r="AN144" s="80">
        <f t="shared" si="78"/>
        <v>4000000000</v>
      </c>
      <c r="AO144" s="80">
        <f t="shared" si="78"/>
        <v>0</v>
      </c>
      <c r="AP144" s="81">
        <f>SUM(AP145:AP149)</f>
        <v>4100000000</v>
      </c>
      <c r="AQ144" s="80">
        <f>SUM(AQ145:AQ149)</f>
        <v>100000000</v>
      </c>
      <c r="AR144" s="82"/>
      <c r="AS144" s="82"/>
      <c r="AT144" s="82"/>
      <c r="AU144" s="82"/>
      <c r="AV144" s="82"/>
      <c r="AW144" s="82"/>
      <c r="AX144" s="82"/>
      <c r="AY144" s="82"/>
      <c r="AZ144" s="82"/>
      <c r="BA144" s="82">
        <f>SUM(BA145:BA149)</f>
        <v>4103000000</v>
      </c>
      <c r="BB144" s="82"/>
      <c r="BC144" s="82"/>
      <c r="BD144" s="82"/>
      <c r="BE144" s="82"/>
      <c r="BF144" s="82"/>
      <c r="BG144" s="82"/>
      <c r="BH144" s="82"/>
      <c r="BI144" s="82"/>
      <c r="BJ144" s="82"/>
      <c r="BK144" s="82">
        <f>SUM(BK145:BK149)</f>
        <v>4106090000</v>
      </c>
      <c r="BL144" s="82"/>
      <c r="BM144" s="82"/>
      <c r="BN144" s="82"/>
      <c r="BO144" s="82"/>
      <c r="BP144" s="82"/>
      <c r="BQ144" s="82"/>
      <c r="BR144" s="82"/>
      <c r="BS144" s="82"/>
      <c r="BT144" s="82"/>
      <c r="BU144" s="82">
        <f>SUM(BU145:BU149)</f>
        <v>5109272700</v>
      </c>
      <c r="BV144" s="83">
        <f t="shared" si="77"/>
        <v>13318362700</v>
      </c>
    </row>
    <row r="145" spans="1:96" ht="142.5" x14ac:dyDescent="0.2">
      <c r="A145" s="105">
        <v>100</v>
      </c>
      <c r="B145" s="84">
        <v>3</v>
      </c>
      <c r="C145" s="173"/>
      <c r="D145" s="173"/>
      <c r="E145" s="85">
        <v>16</v>
      </c>
      <c r="F145" s="112" t="s">
        <v>324</v>
      </c>
      <c r="G145" s="87">
        <v>45</v>
      </c>
      <c r="H145" s="87">
        <v>90</v>
      </c>
      <c r="I145" s="89">
        <v>98</v>
      </c>
      <c r="J145" s="90" t="s">
        <v>338</v>
      </c>
      <c r="K145" s="293" t="s">
        <v>339</v>
      </c>
      <c r="L145" s="272" t="s">
        <v>253</v>
      </c>
      <c r="M145" s="272">
        <v>1</v>
      </c>
      <c r="N145" s="277" t="s">
        <v>44</v>
      </c>
      <c r="O145" s="281">
        <v>60</v>
      </c>
      <c r="P145" s="278">
        <v>55</v>
      </c>
      <c r="Q145" s="278">
        <v>55</v>
      </c>
      <c r="R145" s="278">
        <v>55</v>
      </c>
      <c r="S145" s="278">
        <v>55</v>
      </c>
      <c r="T145" s="278">
        <v>55</v>
      </c>
      <c r="U145" s="273">
        <f>AP145/$AP$144</f>
        <v>4.8780487804878049E-3</v>
      </c>
      <c r="V145" s="94">
        <v>4</v>
      </c>
      <c r="W145" s="175" t="s">
        <v>100</v>
      </c>
      <c r="X145" s="231"/>
      <c r="Y145" s="136"/>
      <c r="Z145" s="231"/>
      <c r="AA145" s="136"/>
      <c r="AB145" s="231"/>
      <c r="AC145" s="136"/>
      <c r="AD145" s="231"/>
      <c r="AE145" s="136"/>
      <c r="AF145" s="231"/>
      <c r="AG145" s="136"/>
      <c r="AH145" s="231"/>
      <c r="AI145" s="136"/>
      <c r="AJ145" s="141">
        <v>20000000</v>
      </c>
      <c r="AK145" s="101">
        <v>17500000</v>
      </c>
      <c r="AL145" s="231"/>
      <c r="AM145" s="136"/>
      <c r="AN145" s="231"/>
      <c r="AO145" s="136"/>
      <c r="AP145" s="99">
        <f>+X145+Z145+AB145+AD145+AF145+AH145+AJ145+AL145+AN145</f>
        <v>20000000</v>
      </c>
      <c r="AQ145" s="100">
        <f>Y145+AA145+AC145+AE145+AG145+AI145+AK145+AM145+AO145</f>
        <v>17500000</v>
      </c>
      <c r="AR145" s="109"/>
      <c r="AS145" s="109"/>
      <c r="AT145" s="109"/>
      <c r="AU145" s="109"/>
      <c r="AV145" s="109"/>
      <c r="AW145" s="109"/>
      <c r="AX145" s="109">
        <v>20600000</v>
      </c>
      <c r="AY145" s="109"/>
      <c r="AZ145" s="109"/>
      <c r="BA145" s="109">
        <f>SUM(AR145:AZ145)</f>
        <v>20600000</v>
      </c>
      <c r="BB145" s="109"/>
      <c r="BC145" s="109"/>
      <c r="BD145" s="109"/>
      <c r="BE145" s="109"/>
      <c r="BF145" s="109"/>
      <c r="BG145" s="109"/>
      <c r="BH145" s="109">
        <v>21200000</v>
      </c>
      <c r="BI145" s="109"/>
      <c r="BJ145" s="109"/>
      <c r="BK145" s="109">
        <f>SUM(BB145:BJ145)</f>
        <v>21200000</v>
      </c>
      <c r="BL145" s="109"/>
      <c r="BM145" s="109"/>
      <c r="BN145" s="109"/>
      <c r="BO145" s="109"/>
      <c r="BP145" s="109"/>
      <c r="BQ145" s="109"/>
      <c r="BR145" s="109">
        <v>21850000</v>
      </c>
      <c r="BS145" s="109"/>
      <c r="BT145" s="109"/>
      <c r="BU145" s="109">
        <f>SUM(BL145:BT145)</f>
        <v>21850000</v>
      </c>
      <c r="BV145" s="103">
        <f t="shared" si="77"/>
        <v>127300000</v>
      </c>
    </row>
    <row r="146" spans="1:96" ht="112.5" customHeight="1" x14ac:dyDescent="0.2">
      <c r="A146" s="84">
        <v>101</v>
      </c>
      <c r="B146" s="84">
        <v>3</v>
      </c>
      <c r="C146" s="173"/>
      <c r="D146" s="178"/>
      <c r="E146" s="179"/>
      <c r="F146" s="306"/>
      <c r="G146" s="181"/>
      <c r="H146" s="181"/>
      <c r="I146" s="94">
        <v>99</v>
      </c>
      <c r="J146" s="90" t="s">
        <v>340</v>
      </c>
      <c r="K146" s="293" t="s">
        <v>341</v>
      </c>
      <c r="L146" s="272" t="s">
        <v>253</v>
      </c>
      <c r="M146" s="272">
        <v>1</v>
      </c>
      <c r="N146" s="277" t="s">
        <v>44</v>
      </c>
      <c r="O146" s="281">
        <v>76</v>
      </c>
      <c r="P146" s="278">
        <v>150</v>
      </c>
      <c r="Q146" s="278">
        <v>150</v>
      </c>
      <c r="R146" s="278">
        <v>150</v>
      </c>
      <c r="S146" s="278">
        <v>150</v>
      </c>
      <c r="T146" s="278">
        <v>150</v>
      </c>
      <c r="U146" s="273">
        <f>AP146/$AP$144</f>
        <v>9.7560975609756097E-3</v>
      </c>
      <c r="V146" s="94">
        <v>4</v>
      </c>
      <c r="W146" s="175" t="s">
        <v>100</v>
      </c>
      <c r="X146" s="231"/>
      <c r="Y146" s="136"/>
      <c r="Z146" s="231"/>
      <c r="AA146" s="136"/>
      <c r="AB146" s="231"/>
      <c r="AC146" s="136"/>
      <c r="AD146" s="231"/>
      <c r="AE146" s="136"/>
      <c r="AF146" s="231"/>
      <c r="AG146" s="136"/>
      <c r="AH146" s="231"/>
      <c r="AI146" s="136"/>
      <c r="AJ146" s="141">
        <v>40000000</v>
      </c>
      <c r="AK146" s="101">
        <v>0</v>
      </c>
      <c r="AL146" s="231"/>
      <c r="AM146" s="136"/>
      <c r="AN146" s="231"/>
      <c r="AO146" s="136"/>
      <c r="AP146" s="99">
        <f>+X146+Z146+AB146+AD146+AF146+AH146+AJ146+AL146+AN146</f>
        <v>40000000</v>
      </c>
      <c r="AQ146" s="100">
        <f>Y146+AA146+AC146+AE146+AG146+AI146+AK146+AM146+AO146</f>
        <v>0</v>
      </c>
      <c r="AR146" s="109"/>
      <c r="AS146" s="109"/>
      <c r="AT146" s="109"/>
      <c r="AU146" s="109"/>
      <c r="AV146" s="109"/>
      <c r="AW146" s="109"/>
      <c r="AX146" s="109">
        <v>41200000</v>
      </c>
      <c r="AY146" s="109"/>
      <c r="AZ146" s="109"/>
      <c r="BA146" s="109">
        <f>SUM(AR146:AZ146)</f>
        <v>41200000</v>
      </c>
      <c r="BB146" s="109"/>
      <c r="BC146" s="109"/>
      <c r="BD146" s="109"/>
      <c r="BE146" s="109"/>
      <c r="BF146" s="109"/>
      <c r="BG146" s="109"/>
      <c r="BH146" s="109">
        <v>42400000</v>
      </c>
      <c r="BI146" s="109"/>
      <c r="BJ146" s="109"/>
      <c r="BK146" s="109">
        <f>SUM(BB146:BJ146)</f>
        <v>42400000</v>
      </c>
      <c r="BL146" s="109"/>
      <c r="BM146" s="109"/>
      <c r="BN146" s="109"/>
      <c r="BO146" s="109"/>
      <c r="BP146" s="109"/>
      <c r="BQ146" s="109"/>
      <c r="BR146" s="109">
        <v>43700000</v>
      </c>
      <c r="BS146" s="109"/>
      <c r="BT146" s="109"/>
      <c r="BU146" s="109">
        <f>SUM(BL146:BT146)</f>
        <v>43700000</v>
      </c>
      <c r="BV146" s="103">
        <f t="shared" si="77"/>
        <v>254600000</v>
      </c>
    </row>
    <row r="147" spans="1:96" ht="100.5" customHeight="1" x14ac:dyDescent="0.2">
      <c r="A147" s="84"/>
      <c r="B147" s="84">
        <v>3</v>
      </c>
      <c r="C147" s="173"/>
      <c r="D147" s="173"/>
      <c r="E147" s="110">
        <v>17</v>
      </c>
      <c r="F147" s="289" t="s">
        <v>286</v>
      </c>
      <c r="G147" s="290" t="s">
        <v>287</v>
      </c>
      <c r="H147" s="291">
        <v>0.5</v>
      </c>
      <c r="I147" s="89">
        <v>100</v>
      </c>
      <c r="J147" s="90" t="s">
        <v>342</v>
      </c>
      <c r="K147" s="293" t="s">
        <v>343</v>
      </c>
      <c r="L147" s="272" t="s">
        <v>253</v>
      </c>
      <c r="M147" s="272">
        <v>1</v>
      </c>
      <c r="N147" s="277" t="s">
        <v>44</v>
      </c>
      <c r="O147" s="281">
        <v>0</v>
      </c>
      <c r="P147" s="278">
        <v>6</v>
      </c>
      <c r="Q147" s="278">
        <v>6</v>
      </c>
      <c r="R147" s="278">
        <v>6</v>
      </c>
      <c r="S147" s="278">
        <v>6</v>
      </c>
      <c r="T147" s="278">
        <v>6</v>
      </c>
      <c r="U147" s="273">
        <f>AP147/$AP$144</f>
        <v>0.97560975609756095</v>
      </c>
      <c r="V147" s="94">
        <v>4</v>
      </c>
      <c r="W147" s="175" t="s">
        <v>100</v>
      </c>
      <c r="X147" s="231"/>
      <c r="Y147" s="136"/>
      <c r="Z147" s="231"/>
      <c r="AA147" s="136"/>
      <c r="AB147" s="231"/>
      <c r="AC147" s="136"/>
      <c r="AD147" s="231"/>
      <c r="AE147" s="136"/>
      <c r="AF147" s="231"/>
      <c r="AG147" s="136"/>
      <c r="AH147" s="231"/>
      <c r="AI147" s="136"/>
      <c r="AJ147" s="231"/>
      <c r="AK147" s="136"/>
      <c r="AL147" s="231"/>
      <c r="AM147" s="136"/>
      <c r="AN147" s="231">
        <v>4000000000</v>
      </c>
      <c r="AO147" s="136"/>
      <c r="AP147" s="99">
        <f>+X147+Z147+AB147+AD147+AF147+AH147+AJ147+AL147+AN147</f>
        <v>4000000000</v>
      </c>
      <c r="AQ147" s="100">
        <f>Y147+AA147+AC147+AE147+AG147+AI147+AK147+AM147+AO147</f>
        <v>0</v>
      </c>
      <c r="AR147" s="109"/>
      <c r="AS147" s="109"/>
      <c r="AT147" s="109"/>
      <c r="AU147" s="109"/>
      <c r="AV147" s="109"/>
      <c r="AW147" s="109"/>
      <c r="AX147" s="109"/>
      <c r="AY147" s="109"/>
      <c r="AZ147" s="109">
        <v>4000000000</v>
      </c>
      <c r="BA147" s="109">
        <f>SUM(AR147:AZ147)</f>
        <v>4000000000</v>
      </c>
      <c r="BB147" s="109"/>
      <c r="BC147" s="109"/>
      <c r="BD147" s="109"/>
      <c r="BE147" s="109"/>
      <c r="BF147" s="109"/>
      <c r="BG147" s="109"/>
      <c r="BH147" s="109"/>
      <c r="BI147" s="109"/>
      <c r="BJ147" s="109">
        <v>4000000000</v>
      </c>
      <c r="BK147" s="109">
        <f>SUM(BB147:BJ147)</f>
        <v>4000000000</v>
      </c>
      <c r="BL147" s="109"/>
      <c r="BM147" s="109"/>
      <c r="BN147" s="109"/>
      <c r="BO147" s="109"/>
      <c r="BP147" s="109"/>
      <c r="BQ147" s="109"/>
      <c r="BR147" s="109"/>
      <c r="BS147" s="109"/>
      <c r="BT147" s="109">
        <v>5000000000</v>
      </c>
      <c r="BU147" s="109">
        <f>SUM(BL147:BT147)</f>
        <v>5000000000</v>
      </c>
      <c r="BV147" s="103">
        <f t="shared" si="77"/>
        <v>26000000000</v>
      </c>
    </row>
    <row r="148" spans="1:96" ht="57" x14ac:dyDescent="0.2">
      <c r="A148" s="105">
        <v>102</v>
      </c>
      <c r="B148" s="84">
        <v>3</v>
      </c>
      <c r="C148" s="173"/>
      <c r="D148" s="173"/>
      <c r="E148" s="117">
        <v>18</v>
      </c>
      <c r="F148" s="86" t="s">
        <v>290</v>
      </c>
      <c r="G148" s="95">
        <v>6</v>
      </c>
      <c r="H148" s="95">
        <v>12</v>
      </c>
      <c r="I148" s="89">
        <v>101</v>
      </c>
      <c r="J148" s="90" t="s">
        <v>344</v>
      </c>
      <c r="K148" s="293" t="s">
        <v>345</v>
      </c>
      <c r="L148" s="272" t="s">
        <v>253</v>
      </c>
      <c r="M148" s="272">
        <v>1</v>
      </c>
      <c r="N148" s="277" t="s">
        <v>44</v>
      </c>
      <c r="O148" s="281">
        <v>0</v>
      </c>
      <c r="P148" s="278">
        <v>54</v>
      </c>
      <c r="Q148" s="278">
        <v>54</v>
      </c>
      <c r="R148" s="278">
        <v>54</v>
      </c>
      <c r="S148" s="278">
        <v>54</v>
      </c>
      <c r="T148" s="278">
        <v>54</v>
      </c>
      <c r="U148" s="273">
        <f>AP148/$AP$144</f>
        <v>8.5365853658536592E-3</v>
      </c>
      <c r="V148" s="94">
        <v>4</v>
      </c>
      <c r="W148" s="175" t="s">
        <v>100</v>
      </c>
      <c r="X148" s="231"/>
      <c r="Y148" s="136"/>
      <c r="Z148" s="231"/>
      <c r="AA148" s="136"/>
      <c r="AB148" s="231"/>
      <c r="AC148" s="136"/>
      <c r="AD148" s="231"/>
      <c r="AE148" s="136"/>
      <c r="AF148" s="231"/>
      <c r="AG148" s="136"/>
      <c r="AH148" s="231"/>
      <c r="AI148" s="136"/>
      <c r="AJ148" s="141">
        <v>35000000</v>
      </c>
      <c r="AK148" s="101">
        <v>72500000</v>
      </c>
      <c r="AL148" s="231"/>
      <c r="AM148" s="136"/>
      <c r="AN148" s="231"/>
      <c r="AO148" s="136"/>
      <c r="AP148" s="99">
        <f>+X148+Z148+AB148+AD148+AF148+AH148+AJ148+AL148+AN148</f>
        <v>35000000</v>
      </c>
      <c r="AQ148" s="100">
        <f>Y148+AA148+AC148+AE148+AG148+AI148+AK148+AM148+AO148</f>
        <v>72500000</v>
      </c>
      <c r="AR148" s="109"/>
      <c r="AS148" s="109"/>
      <c r="AT148" s="109"/>
      <c r="AU148" s="109"/>
      <c r="AV148" s="109"/>
      <c r="AW148" s="109"/>
      <c r="AX148" s="109">
        <v>36050000</v>
      </c>
      <c r="AY148" s="109"/>
      <c r="AZ148" s="109"/>
      <c r="BA148" s="109">
        <f>SUM(AR148:AZ148)</f>
        <v>36050000</v>
      </c>
      <c r="BB148" s="109"/>
      <c r="BC148" s="109"/>
      <c r="BD148" s="109"/>
      <c r="BE148" s="109"/>
      <c r="BF148" s="109"/>
      <c r="BG148" s="109"/>
      <c r="BH148" s="109">
        <v>37000000</v>
      </c>
      <c r="BI148" s="109"/>
      <c r="BJ148" s="109"/>
      <c r="BK148" s="109">
        <f>SUM(BB148:BJ148)</f>
        <v>37000000</v>
      </c>
      <c r="BL148" s="109"/>
      <c r="BM148" s="109"/>
      <c r="BN148" s="109"/>
      <c r="BO148" s="109"/>
      <c r="BP148" s="109"/>
      <c r="BQ148" s="109"/>
      <c r="BR148" s="109">
        <v>38245000</v>
      </c>
      <c r="BS148" s="109"/>
      <c r="BT148" s="109"/>
      <c r="BU148" s="109">
        <f>SUM(BL148:BT148)</f>
        <v>38245000</v>
      </c>
      <c r="BV148" s="103">
        <f t="shared" si="77"/>
        <v>222590000</v>
      </c>
    </row>
    <row r="149" spans="1:96" ht="88.5" customHeight="1" x14ac:dyDescent="0.2">
      <c r="A149" s="84">
        <v>103</v>
      </c>
      <c r="B149" s="84">
        <v>3</v>
      </c>
      <c r="C149" s="173"/>
      <c r="D149" s="173"/>
      <c r="E149" s="110">
        <v>19</v>
      </c>
      <c r="F149" s="154" t="s">
        <v>293</v>
      </c>
      <c r="G149" s="196" t="s">
        <v>294</v>
      </c>
      <c r="H149" s="254" t="s">
        <v>295</v>
      </c>
      <c r="I149" s="89">
        <v>102</v>
      </c>
      <c r="J149" s="90" t="s">
        <v>346</v>
      </c>
      <c r="K149" s="293" t="s">
        <v>347</v>
      </c>
      <c r="L149" s="272" t="s">
        <v>253</v>
      </c>
      <c r="M149" s="272">
        <v>1</v>
      </c>
      <c r="N149" s="288" t="s">
        <v>58</v>
      </c>
      <c r="O149" s="281">
        <v>0</v>
      </c>
      <c r="P149" s="278">
        <v>7</v>
      </c>
      <c r="Q149" s="278">
        <v>0.875</v>
      </c>
      <c r="R149" s="278">
        <v>3.5</v>
      </c>
      <c r="S149" s="278">
        <v>6.125</v>
      </c>
      <c r="T149" s="278">
        <v>7</v>
      </c>
      <c r="U149" s="273">
        <f>AP149/$AP$144</f>
        <v>1.2195121951219512E-3</v>
      </c>
      <c r="V149" s="94">
        <v>4</v>
      </c>
      <c r="W149" s="175" t="s">
        <v>100</v>
      </c>
      <c r="X149" s="231"/>
      <c r="Y149" s="136"/>
      <c r="Z149" s="231"/>
      <c r="AA149" s="136"/>
      <c r="AB149" s="231"/>
      <c r="AC149" s="136"/>
      <c r="AD149" s="231"/>
      <c r="AE149" s="136"/>
      <c r="AF149" s="231"/>
      <c r="AG149" s="136"/>
      <c r="AH149" s="231"/>
      <c r="AI149" s="136"/>
      <c r="AJ149" s="141">
        <v>5000000</v>
      </c>
      <c r="AK149" s="101">
        <v>10000000</v>
      </c>
      <c r="AL149" s="231"/>
      <c r="AM149" s="136"/>
      <c r="AN149" s="231"/>
      <c r="AO149" s="136"/>
      <c r="AP149" s="99">
        <f>+X149+Z149+AB149+AD149+AF149+AH149+AJ149+AL149+AN149</f>
        <v>5000000</v>
      </c>
      <c r="AQ149" s="100">
        <f>Y149+AA149+AC149+AE149+AG149+AI149+AK149+AM149+AO149</f>
        <v>10000000</v>
      </c>
      <c r="AR149" s="109"/>
      <c r="AS149" s="109"/>
      <c r="AT149" s="109"/>
      <c r="AU149" s="109"/>
      <c r="AV149" s="109"/>
      <c r="AW149" s="109"/>
      <c r="AX149" s="109">
        <v>5150000</v>
      </c>
      <c r="AY149" s="109"/>
      <c r="AZ149" s="109"/>
      <c r="BA149" s="109">
        <f>SUM(AR149:AZ149)</f>
        <v>5150000</v>
      </c>
      <c r="BB149" s="109"/>
      <c r="BC149" s="109"/>
      <c r="BD149" s="109"/>
      <c r="BE149" s="109"/>
      <c r="BF149" s="109"/>
      <c r="BG149" s="109"/>
      <c r="BH149" s="109">
        <v>5490000</v>
      </c>
      <c r="BI149" s="109"/>
      <c r="BJ149" s="109"/>
      <c r="BK149" s="109">
        <f>SUM(BB149:BJ149)</f>
        <v>5490000</v>
      </c>
      <c r="BL149" s="109"/>
      <c r="BM149" s="109"/>
      <c r="BN149" s="109"/>
      <c r="BO149" s="109"/>
      <c r="BP149" s="109"/>
      <c r="BQ149" s="109"/>
      <c r="BR149" s="109">
        <v>5477700</v>
      </c>
      <c r="BS149" s="109"/>
      <c r="BT149" s="109"/>
      <c r="BU149" s="109">
        <f>SUM(BL149:BT149)</f>
        <v>5477700</v>
      </c>
      <c r="BV149" s="103">
        <f t="shared" si="77"/>
        <v>32235400</v>
      </c>
    </row>
    <row r="150" spans="1:96" ht="22.5" customHeight="1" x14ac:dyDescent="0.2">
      <c r="A150" s="84"/>
      <c r="B150" s="84"/>
      <c r="C150" s="173"/>
      <c r="D150" s="173"/>
      <c r="E150" s="71">
        <v>24</v>
      </c>
      <c r="F150" s="123" t="s">
        <v>348</v>
      </c>
      <c r="G150" s="155"/>
      <c r="H150" s="125"/>
      <c r="I150" s="74"/>
      <c r="J150" s="125"/>
      <c r="K150" s="125"/>
      <c r="L150" s="74"/>
      <c r="M150" s="74"/>
      <c r="N150" s="126"/>
      <c r="O150" s="125"/>
      <c r="P150" s="125"/>
      <c r="Q150" s="127"/>
      <c r="R150" s="125"/>
      <c r="S150" s="125"/>
      <c r="T150" s="74"/>
      <c r="U150" s="128"/>
      <c r="V150" s="74"/>
      <c r="W150" s="74"/>
      <c r="X150" s="129">
        <f t="shared" ref="X150:AO150" si="79">SUM(X151:X155)</f>
        <v>0</v>
      </c>
      <c r="Y150" s="129">
        <f t="shared" si="79"/>
        <v>0</v>
      </c>
      <c r="Z150" s="129">
        <f t="shared" si="79"/>
        <v>0</v>
      </c>
      <c r="AA150" s="129">
        <f t="shared" si="79"/>
        <v>0</v>
      </c>
      <c r="AB150" s="129">
        <f t="shared" si="79"/>
        <v>80000000</v>
      </c>
      <c r="AC150" s="129">
        <f t="shared" si="79"/>
        <v>80000000</v>
      </c>
      <c r="AD150" s="129">
        <f t="shared" si="79"/>
        <v>0</v>
      </c>
      <c r="AE150" s="129">
        <f t="shared" si="79"/>
        <v>0</v>
      </c>
      <c r="AF150" s="129">
        <f t="shared" si="79"/>
        <v>0</v>
      </c>
      <c r="AG150" s="129">
        <f t="shared" si="79"/>
        <v>0</v>
      </c>
      <c r="AH150" s="129">
        <f t="shared" si="79"/>
        <v>0</v>
      </c>
      <c r="AI150" s="129">
        <f t="shared" si="79"/>
        <v>0</v>
      </c>
      <c r="AJ150" s="129">
        <f t="shared" si="79"/>
        <v>100000000</v>
      </c>
      <c r="AK150" s="129">
        <f t="shared" si="79"/>
        <v>100000000</v>
      </c>
      <c r="AL150" s="129">
        <f t="shared" si="79"/>
        <v>0</v>
      </c>
      <c r="AM150" s="129">
        <f t="shared" si="79"/>
        <v>0</v>
      </c>
      <c r="AN150" s="129">
        <f t="shared" si="79"/>
        <v>0</v>
      </c>
      <c r="AO150" s="129">
        <f t="shared" si="79"/>
        <v>0</v>
      </c>
      <c r="AP150" s="130">
        <f>SUM(AP151:AP155)</f>
        <v>180000000</v>
      </c>
      <c r="AQ150" s="129">
        <f>SUM(AQ151:AQ155)</f>
        <v>180000000</v>
      </c>
      <c r="AR150" s="275"/>
      <c r="AS150" s="131"/>
      <c r="AT150" s="131"/>
      <c r="AU150" s="131"/>
      <c r="AV150" s="131"/>
      <c r="AW150" s="131"/>
      <c r="AX150" s="131"/>
      <c r="AY150" s="131"/>
      <c r="AZ150" s="131"/>
      <c r="BA150" s="131">
        <f>SUM(BA151:BA155)</f>
        <v>193000000</v>
      </c>
      <c r="BB150" s="131"/>
      <c r="BC150" s="131"/>
      <c r="BD150" s="131"/>
      <c r="BE150" s="131"/>
      <c r="BF150" s="131"/>
      <c r="BG150" s="131"/>
      <c r="BH150" s="131"/>
      <c r="BI150" s="131"/>
      <c r="BJ150" s="131"/>
      <c r="BK150" s="131">
        <f>SUM(BK151:BK155)</f>
        <v>146090000</v>
      </c>
      <c r="BL150" s="131"/>
      <c r="BM150" s="131"/>
      <c r="BN150" s="131"/>
      <c r="BO150" s="131"/>
      <c r="BP150" s="131"/>
      <c r="BQ150" s="131"/>
      <c r="BR150" s="131"/>
      <c r="BS150" s="131"/>
      <c r="BT150" s="131"/>
      <c r="BU150" s="131">
        <f>SUM(BU151:BU155)</f>
        <v>129272700.0033333</v>
      </c>
      <c r="BV150" s="132">
        <f t="shared" si="77"/>
        <v>468362700.00333333</v>
      </c>
    </row>
    <row r="151" spans="1:96" ht="162" customHeight="1" x14ac:dyDescent="0.2">
      <c r="A151" s="105">
        <v>104</v>
      </c>
      <c r="B151" s="84">
        <v>3</v>
      </c>
      <c r="C151" s="173"/>
      <c r="D151" s="173"/>
      <c r="E151" s="117">
        <v>16</v>
      </c>
      <c r="F151" s="86" t="s">
        <v>324</v>
      </c>
      <c r="G151" s="95">
        <v>45</v>
      </c>
      <c r="H151" s="95">
        <v>90</v>
      </c>
      <c r="I151" s="94">
        <v>103</v>
      </c>
      <c r="J151" s="90" t="s">
        <v>349</v>
      </c>
      <c r="K151" s="293" t="s">
        <v>350</v>
      </c>
      <c r="L151" s="272" t="s">
        <v>253</v>
      </c>
      <c r="M151" s="272">
        <v>1</v>
      </c>
      <c r="N151" s="277" t="s">
        <v>58</v>
      </c>
      <c r="O151" s="281">
        <v>3</v>
      </c>
      <c r="P151" s="278">
        <v>12</v>
      </c>
      <c r="Q151" s="278">
        <v>4.125</v>
      </c>
      <c r="R151" s="278">
        <v>7.5</v>
      </c>
      <c r="S151" s="278">
        <v>10.875</v>
      </c>
      <c r="T151" s="278">
        <v>12</v>
      </c>
      <c r="U151" s="307">
        <f>AP151/$AP$150</f>
        <v>0.1111111111111111</v>
      </c>
      <c r="V151" s="94">
        <v>4</v>
      </c>
      <c r="W151" s="175" t="s">
        <v>100</v>
      </c>
      <c r="X151" s="231"/>
      <c r="Y151" s="136"/>
      <c r="Z151" s="231"/>
      <c r="AA151" s="136"/>
      <c r="AB151" s="231"/>
      <c r="AC151" s="136"/>
      <c r="AD151" s="231"/>
      <c r="AE151" s="136"/>
      <c r="AF151" s="231"/>
      <c r="AG151" s="136"/>
      <c r="AH151" s="231"/>
      <c r="AI151" s="136"/>
      <c r="AJ151" s="231">
        <v>20000000</v>
      </c>
      <c r="AK151" s="136">
        <v>20000000</v>
      </c>
      <c r="AL151" s="231"/>
      <c r="AM151" s="136"/>
      <c r="AN151" s="231"/>
      <c r="AO151" s="136"/>
      <c r="AP151" s="99">
        <f>+X151+Z151+AB151+AD151+AF151+AH151+AJ151+AL151+AN151</f>
        <v>20000000</v>
      </c>
      <c r="AQ151" s="100">
        <f>Y151+AA151+AC151+AE151+AG151+AI151+AK151+AM151+AO151</f>
        <v>20000000</v>
      </c>
      <c r="AR151" s="109"/>
      <c r="AS151" s="109"/>
      <c r="AT151" s="109"/>
      <c r="AU151" s="109"/>
      <c r="AV151" s="109"/>
      <c r="AW151" s="109"/>
      <c r="AX151" s="109">
        <v>21400000</v>
      </c>
      <c r="AY151" s="109"/>
      <c r="AZ151" s="109"/>
      <c r="BA151" s="109">
        <f>SUM(AR151:AZ151)</f>
        <v>21400000</v>
      </c>
      <c r="BB151" s="109"/>
      <c r="BC151" s="109"/>
      <c r="BD151" s="109"/>
      <c r="BE151" s="109"/>
      <c r="BF151" s="109"/>
      <c r="BG151" s="109"/>
      <c r="BH151" s="109">
        <v>16200000</v>
      </c>
      <c r="BI151" s="109"/>
      <c r="BJ151" s="109"/>
      <c r="BK151" s="109">
        <f>SUM(BB151:BJ151)</f>
        <v>16200000</v>
      </c>
      <c r="BL151" s="109"/>
      <c r="BM151" s="109"/>
      <c r="BN151" s="109"/>
      <c r="BO151" s="109"/>
      <c r="BP151" s="109"/>
      <c r="BQ151" s="109"/>
      <c r="BR151" s="109">
        <v>14300000</v>
      </c>
      <c r="BS151" s="109"/>
      <c r="BT151" s="109"/>
      <c r="BU151" s="109">
        <f>SUM(BL151:BT151)</f>
        <v>14300000</v>
      </c>
      <c r="BV151" s="103">
        <f t="shared" si="77"/>
        <v>103800000</v>
      </c>
    </row>
    <row r="152" spans="1:96" ht="112.5" customHeight="1" x14ac:dyDescent="0.2">
      <c r="A152" s="84">
        <v>105</v>
      </c>
      <c r="B152" s="84">
        <v>3</v>
      </c>
      <c r="C152" s="173"/>
      <c r="D152" s="173"/>
      <c r="E152" s="111"/>
      <c r="F152" s="154"/>
      <c r="G152" s="182"/>
      <c r="H152" s="182"/>
      <c r="I152" s="94">
        <v>104</v>
      </c>
      <c r="J152" s="90" t="s">
        <v>351</v>
      </c>
      <c r="K152" s="293" t="s">
        <v>352</v>
      </c>
      <c r="L152" s="272" t="s">
        <v>253</v>
      </c>
      <c r="M152" s="272">
        <v>1</v>
      </c>
      <c r="N152" s="277" t="s">
        <v>58</v>
      </c>
      <c r="O152" s="281">
        <v>4</v>
      </c>
      <c r="P152" s="278">
        <v>50</v>
      </c>
      <c r="Q152" s="278">
        <v>9.75</v>
      </c>
      <c r="R152" s="278">
        <v>27</v>
      </c>
      <c r="S152" s="278">
        <v>44.25</v>
      </c>
      <c r="T152" s="278">
        <v>50</v>
      </c>
      <c r="U152" s="307">
        <f>AP152/$AP$150</f>
        <v>0.16666666666666666</v>
      </c>
      <c r="V152" s="94">
        <v>4</v>
      </c>
      <c r="W152" s="175" t="s">
        <v>100</v>
      </c>
      <c r="X152" s="231"/>
      <c r="Y152" s="136"/>
      <c r="Z152" s="231"/>
      <c r="AA152" s="136"/>
      <c r="AB152" s="231"/>
      <c r="AC152" s="136"/>
      <c r="AD152" s="231"/>
      <c r="AE152" s="136"/>
      <c r="AF152" s="231"/>
      <c r="AG152" s="136"/>
      <c r="AH152" s="231"/>
      <c r="AI152" s="136"/>
      <c r="AJ152" s="231">
        <v>30000000</v>
      </c>
      <c r="AK152" s="136">
        <v>30000000</v>
      </c>
      <c r="AL152" s="231"/>
      <c r="AM152" s="136"/>
      <c r="AN152" s="231"/>
      <c r="AO152" s="136"/>
      <c r="AP152" s="99">
        <f>+X152+Z152+AB152+AD152+AF152+AH152+AJ152+AL152+AN152</f>
        <v>30000000</v>
      </c>
      <c r="AQ152" s="100">
        <f>Y152+AA152+AC152+AE152+AG152+AI152+AK152+AM152+AO152</f>
        <v>30000000</v>
      </c>
      <c r="AR152" s="109"/>
      <c r="AS152" s="109"/>
      <c r="AT152" s="109"/>
      <c r="AU152" s="109"/>
      <c r="AV152" s="109"/>
      <c r="AW152" s="109"/>
      <c r="AX152" s="109">
        <v>32100000</v>
      </c>
      <c r="AY152" s="109"/>
      <c r="AZ152" s="109"/>
      <c r="BA152" s="109">
        <f>SUM(AR152:AZ152)</f>
        <v>32100000</v>
      </c>
      <c r="BB152" s="109"/>
      <c r="BC152" s="109"/>
      <c r="BD152" s="109"/>
      <c r="BE152" s="109"/>
      <c r="BF152" s="109"/>
      <c r="BG152" s="109"/>
      <c r="BH152" s="109">
        <v>24300000</v>
      </c>
      <c r="BI152" s="109"/>
      <c r="BJ152" s="109"/>
      <c r="BK152" s="109">
        <f>SUM(BB152:BJ152)</f>
        <v>24300000</v>
      </c>
      <c r="BL152" s="109"/>
      <c r="BM152" s="109"/>
      <c r="BN152" s="109"/>
      <c r="BO152" s="109"/>
      <c r="BP152" s="109"/>
      <c r="BQ152" s="109"/>
      <c r="BR152" s="109">
        <v>21500000</v>
      </c>
      <c r="BS152" s="109"/>
      <c r="BT152" s="109"/>
      <c r="BU152" s="109">
        <f>SUM(BL152:BT152)</f>
        <v>21500000</v>
      </c>
      <c r="BV152" s="103">
        <f t="shared" si="77"/>
        <v>155800000</v>
      </c>
    </row>
    <row r="153" spans="1:96" ht="105" customHeight="1" x14ac:dyDescent="0.2">
      <c r="A153" s="105">
        <v>106</v>
      </c>
      <c r="B153" s="84">
        <v>3</v>
      </c>
      <c r="C153" s="173"/>
      <c r="D153" s="173"/>
      <c r="E153" s="110">
        <v>17</v>
      </c>
      <c r="F153" s="289" t="s">
        <v>286</v>
      </c>
      <c r="G153" s="290" t="s">
        <v>287</v>
      </c>
      <c r="H153" s="291">
        <v>0.5</v>
      </c>
      <c r="I153" s="94">
        <v>105</v>
      </c>
      <c r="J153" s="90" t="s">
        <v>353</v>
      </c>
      <c r="K153" s="293" t="s">
        <v>352</v>
      </c>
      <c r="L153" s="272" t="s">
        <v>253</v>
      </c>
      <c r="M153" s="272">
        <v>1</v>
      </c>
      <c r="N153" s="277" t="s">
        <v>44</v>
      </c>
      <c r="O153" s="281">
        <v>43</v>
      </c>
      <c r="P153" s="278">
        <v>47</v>
      </c>
      <c r="Q153" s="278">
        <v>47</v>
      </c>
      <c r="R153" s="278">
        <v>47</v>
      </c>
      <c r="S153" s="278">
        <v>46.5</v>
      </c>
      <c r="T153" s="278">
        <v>47</v>
      </c>
      <c r="U153" s="307">
        <f>AP153/$AP$150</f>
        <v>0.16666666666666666</v>
      </c>
      <c r="V153" s="94">
        <v>4</v>
      </c>
      <c r="W153" s="175" t="s">
        <v>100</v>
      </c>
      <c r="X153" s="231"/>
      <c r="Y153" s="136"/>
      <c r="Z153" s="231"/>
      <c r="AA153" s="136"/>
      <c r="AB153" s="231">
        <v>30000000</v>
      </c>
      <c r="AC153" s="136">
        <v>0</v>
      </c>
      <c r="AD153" s="231"/>
      <c r="AE153" s="136"/>
      <c r="AF153" s="231"/>
      <c r="AG153" s="136"/>
      <c r="AH153" s="231"/>
      <c r="AI153" s="136"/>
      <c r="AJ153" s="231"/>
      <c r="AK153" s="136"/>
      <c r="AL153" s="231"/>
      <c r="AM153" s="136"/>
      <c r="AN153" s="231"/>
      <c r="AO153" s="136"/>
      <c r="AP153" s="99">
        <f>+X153+Z153+AB153+AD153+AF153+AH153+AJ153+AL153+AN153</f>
        <v>30000000</v>
      </c>
      <c r="AQ153" s="100">
        <f>Y153+AA153+AC153+AE153+AG153+AI153+AK153+AM153+AO153</f>
        <v>0</v>
      </c>
      <c r="AR153" s="109"/>
      <c r="AS153" s="109"/>
      <c r="AT153" s="109">
        <v>32100000</v>
      </c>
      <c r="AU153" s="109"/>
      <c r="AV153" s="109"/>
      <c r="AW153" s="109"/>
      <c r="AX153" s="109"/>
      <c r="AY153" s="109"/>
      <c r="AZ153" s="109"/>
      <c r="BA153" s="109">
        <f>SUM(AR153:AZ153)</f>
        <v>32100000</v>
      </c>
      <c r="BB153" s="109"/>
      <c r="BC153" s="109"/>
      <c r="BD153" s="109"/>
      <c r="BE153" s="109"/>
      <c r="BF153" s="109"/>
      <c r="BG153" s="109"/>
      <c r="BH153" s="109">
        <v>24300000</v>
      </c>
      <c r="BI153" s="109"/>
      <c r="BJ153" s="109"/>
      <c r="BK153" s="109">
        <f>SUM(BB153:BJ153)</f>
        <v>24300000</v>
      </c>
      <c r="BL153" s="109"/>
      <c r="BM153" s="109"/>
      <c r="BN153" s="109"/>
      <c r="BO153" s="109"/>
      <c r="BP153" s="109"/>
      <c r="BQ153" s="109"/>
      <c r="BR153" s="109">
        <v>21500000</v>
      </c>
      <c r="BS153" s="109"/>
      <c r="BT153" s="109"/>
      <c r="BU153" s="109">
        <f>SUM(BL153:BT153)</f>
        <v>21500000</v>
      </c>
      <c r="BV153" s="103">
        <f t="shared" si="77"/>
        <v>155800000</v>
      </c>
    </row>
    <row r="154" spans="1:96" ht="86.25" customHeight="1" x14ac:dyDescent="0.2">
      <c r="A154" s="105"/>
      <c r="B154" s="84"/>
      <c r="C154" s="173"/>
      <c r="D154" s="173"/>
      <c r="E154" s="117">
        <v>18</v>
      </c>
      <c r="F154" s="86" t="s">
        <v>290</v>
      </c>
      <c r="G154" s="95">
        <v>6</v>
      </c>
      <c r="H154" s="95">
        <v>12</v>
      </c>
      <c r="I154" s="94">
        <v>106</v>
      </c>
      <c r="J154" s="90" t="s">
        <v>354</v>
      </c>
      <c r="K154" s="293" t="s">
        <v>355</v>
      </c>
      <c r="L154" s="272" t="s">
        <v>253</v>
      </c>
      <c r="M154" s="272">
        <v>1</v>
      </c>
      <c r="N154" s="277" t="s">
        <v>44</v>
      </c>
      <c r="O154" s="281">
        <v>0</v>
      </c>
      <c r="P154" s="278">
        <v>1</v>
      </c>
      <c r="Q154" s="278">
        <v>1</v>
      </c>
      <c r="R154" s="278">
        <v>0.5</v>
      </c>
      <c r="S154" s="278">
        <v>0.875</v>
      </c>
      <c r="T154" s="278">
        <v>1</v>
      </c>
      <c r="U154" s="307">
        <f>AP154/$AP$150</f>
        <v>0.27777777777777779</v>
      </c>
      <c r="V154" s="94">
        <v>4</v>
      </c>
      <c r="W154" s="175" t="s">
        <v>100</v>
      </c>
      <c r="X154" s="231"/>
      <c r="Y154" s="136"/>
      <c r="Z154" s="231"/>
      <c r="AA154" s="136"/>
      <c r="AB154" s="231">
        <v>50000000</v>
      </c>
      <c r="AC154" s="136">
        <v>0</v>
      </c>
      <c r="AD154" s="231"/>
      <c r="AE154" s="136"/>
      <c r="AF154" s="231"/>
      <c r="AG154" s="136"/>
      <c r="AH154" s="231"/>
      <c r="AI154" s="136"/>
      <c r="AJ154" s="231"/>
      <c r="AK154" s="136"/>
      <c r="AL154" s="231"/>
      <c r="AM154" s="136"/>
      <c r="AN154" s="231"/>
      <c r="AO154" s="136"/>
      <c r="AP154" s="99">
        <f>+X154+Z154+AB154+AD154+AF154+AH154+AJ154+AL154+AN154</f>
        <v>50000000</v>
      </c>
      <c r="AQ154" s="100">
        <f>Y154+AA154+AC154+AE154+AG154+AI154+AK154+AM154+AO154</f>
        <v>0</v>
      </c>
      <c r="AR154" s="109"/>
      <c r="AS154" s="109"/>
      <c r="AT154" s="109">
        <v>53600000</v>
      </c>
      <c r="AU154" s="109"/>
      <c r="AV154" s="109"/>
      <c r="AW154" s="109"/>
      <c r="AX154" s="109"/>
      <c r="AY154" s="109"/>
      <c r="AZ154" s="109"/>
      <c r="BA154" s="109">
        <f>SUM(AR154:AZ154)</f>
        <v>53600000</v>
      </c>
      <c r="BB154" s="109"/>
      <c r="BC154" s="109"/>
      <c r="BD154" s="109"/>
      <c r="BE154" s="109"/>
      <c r="BF154" s="109"/>
      <c r="BG154" s="109"/>
      <c r="BH154" s="109">
        <v>40500000</v>
      </c>
      <c r="BI154" s="109"/>
      <c r="BJ154" s="109"/>
      <c r="BK154" s="109">
        <f>SUM(BB154:BJ154)</f>
        <v>40500000</v>
      </c>
      <c r="BL154" s="109"/>
      <c r="BM154" s="109"/>
      <c r="BN154" s="109"/>
      <c r="BO154" s="109"/>
      <c r="BP154" s="109"/>
      <c r="BQ154" s="109"/>
      <c r="BR154" s="109">
        <v>35900000</v>
      </c>
      <c r="BS154" s="109"/>
      <c r="BT154" s="109"/>
      <c r="BU154" s="109">
        <f>SUM(BL154:BT154)</f>
        <v>35900000</v>
      </c>
      <c r="BV154" s="103">
        <f t="shared" si="77"/>
        <v>260000000</v>
      </c>
    </row>
    <row r="155" spans="1:96" ht="130.5" customHeight="1" x14ac:dyDescent="0.2">
      <c r="A155" s="84">
        <v>107</v>
      </c>
      <c r="B155" s="84">
        <v>3</v>
      </c>
      <c r="C155" s="173"/>
      <c r="D155" s="237"/>
      <c r="E155" s="110">
        <v>19</v>
      </c>
      <c r="F155" s="154" t="s">
        <v>293</v>
      </c>
      <c r="G155" s="196" t="s">
        <v>294</v>
      </c>
      <c r="H155" s="254" t="s">
        <v>295</v>
      </c>
      <c r="I155" s="89">
        <v>107</v>
      </c>
      <c r="J155" s="90" t="s">
        <v>356</v>
      </c>
      <c r="K155" s="86" t="s">
        <v>357</v>
      </c>
      <c r="L155" s="272" t="s">
        <v>253</v>
      </c>
      <c r="M155" s="272">
        <v>1</v>
      </c>
      <c r="N155" s="308" t="s">
        <v>44</v>
      </c>
      <c r="O155" s="94">
        <v>1</v>
      </c>
      <c r="P155" s="94">
        <v>1</v>
      </c>
      <c r="Q155" s="248">
        <v>1</v>
      </c>
      <c r="R155" s="248">
        <v>1</v>
      </c>
      <c r="S155" s="248">
        <v>1</v>
      </c>
      <c r="T155" s="248">
        <v>1</v>
      </c>
      <c r="U155" s="307">
        <f>AP155/$AP$150</f>
        <v>0.27777777777777779</v>
      </c>
      <c r="V155" s="94">
        <v>4</v>
      </c>
      <c r="W155" s="175" t="s">
        <v>100</v>
      </c>
      <c r="X155" s="231"/>
      <c r="Y155" s="136"/>
      <c r="Z155" s="231"/>
      <c r="AA155" s="136"/>
      <c r="AB155" s="231"/>
      <c r="AC155" s="136">
        <v>80000000</v>
      </c>
      <c r="AD155" s="231"/>
      <c r="AE155" s="136"/>
      <c r="AF155" s="231"/>
      <c r="AG155" s="136"/>
      <c r="AH155" s="231"/>
      <c r="AI155" s="136"/>
      <c r="AJ155" s="231">
        <v>50000000</v>
      </c>
      <c r="AK155" s="136">
        <v>50000000</v>
      </c>
      <c r="AL155" s="231"/>
      <c r="AM155" s="136"/>
      <c r="AN155" s="231"/>
      <c r="AO155" s="136"/>
      <c r="AP155" s="99">
        <f>+X155+Z155+AB155+AD155+AF155+AH155+AJ155+AL155+AN155</f>
        <v>50000000</v>
      </c>
      <c r="AQ155" s="100">
        <f>Y155+AA155+AC155+AE155+AG155+AI155+AK155+AM155+AO155</f>
        <v>130000000</v>
      </c>
      <c r="AR155" s="109"/>
      <c r="AS155" s="109"/>
      <c r="AT155" s="109">
        <v>4300000</v>
      </c>
      <c r="AU155" s="109"/>
      <c r="AV155" s="109"/>
      <c r="AW155" s="109"/>
      <c r="AX155" s="109">
        <f>53800000-4300000</f>
        <v>49500000</v>
      </c>
      <c r="AY155" s="109"/>
      <c r="AZ155" s="109"/>
      <c r="BA155" s="109">
        <f>SUM(AR155:AZ155)</f>
        <v>53800000</v>
      </c>
      <c r="BB155" s="109"/>
      <c r="BC155" s="109"/>
      <c r="BD155" s="109">
        <v>40000000</v>
      </c>
      <c r="BE155" s="109"/>
      <c r="BF155" s="109"/>
      <c r="BG155" s="109"/>
      <c r="BH155" s="109">
        <v>790000</v>
      </c>
      <c r="BI155" s="109"/>
      <c r="BJ155" s="109"/>
      <c r="BK155" s="109">
        <f>SUM(BB155:BJ155)</f>
        <v>40790000</v>
      </c>
      <c r="BL155" s="109"/>
      <c r="BM155" s="109"/>
      <c r="BN155" s="109">
        <v>20000000</v>
      </c>
      <c r="BO155" s="109"/>
      <c r="BP155" s="109"/>
      <c r="BQ155" s="109"/>
      <c r="BR155" s="109">
        <v>16072700.0033333</v>
      </c>
      <c r="BS155" s="109"/>
      <c r="BT155" s="109"/>
      <c r="BU155" s="109">
        <f>SUM(BL155:BT155)</f>
        <v>36072700.0033333</v>
      </c>
      <c r="BV155" s="103">
        <f t="shared" si="77"/>
        <v>261325400.0066666</v>
      </c>
    </row>
    <row r="156" spans="1:96" ht="27" customHeight="1" x14ac:dyDescent="0.2">
      <c r="A156" s="84"/>
      <c r="B156" s="84"/>
      <c r="C156" s="173"/>
      <c r="D156" s="56">
        <v>8</v>
      </c>
      <c r="E156" s="170" t="s">
        <v>358</v>
      </c>
      <c r="F156" s="59"/>
      <c r="G156" s="59"/>
      <c r="H156" s="59"/>
      <c r="I156" s="60"/>
      <c r="J156" s="61"/>
      <c r="K156" s="61"/>
      <c r="L156" s="62"/>
      <c r="M156" s="60"/>
      <c r="N156" s="63"/>
      <c r="O156" s="61"/>
      <c r="P156" s="61"/>
      <c r="Q156" s="64"/>
      <c r="R156" s="61"/>
      <c r="S156" s="61"/>
      <c r="T156" s="60"/>
      <c r="U156" s="171"/>
      <c r="V156" s="60"/>
      <c r="W156" s="60"/>
      <c r="X156" s="66">
        <f t="shared" ref="X156:AO156" si="80">X157+X160+X162+X164</f>
        <v>0</v>
      </c>
      <c r="Y156" s="66">
        <f t="shared" si="80"/>
        <v>0</v>
      </c>
      <c r="Z156" s="66">
        <f t="shared" si="80"/>
        <v>48879475.450000003</v>
      </c>
      <c r="AA156" s="66">
        <f t="shared" si="80"/>
        <v>48879475.450000003</v>
      </c>
      <c r="AB156" s="66">
        <f t="shared" si="80"/>
        <v>110000000</v>
      </c>
      <c r="AC156" s="66">
        <f t="shared" si="80"/>
        <v>110000000</v>
      </c>
      <c r="AD156" s="66">
        <f t="shared" si="80"/>
        <v>0</v>
      </c>
      <c r="AE156" s="66">
        <f t="shared" si="80"/>
        <v>0</v>
      </c>
      <c r="AF156" s="66">
        <f t="shared" si="80"/>
        <v>0</v>
      </c>
      <c r="AG156" s="66">
        <f t="shared" si="80"/>
        <v>0</v>
      </c>
      <c r="AH156" s="66">
        <f t="shared" si="80"/>
        <v>0</v>
      </c>
      <c r="AI156" s="66">
        <f t="shared" si="80"/>
        <v>0</v>
      </c>
      <c r="AJ156" s="66">
        <f t="shared" si="80"/>
        <v>16577191027</v>
      </c>
      <c r="AK156" s="66">
        <f t="shared" si="80"/>
        <v>15728481280</v>
      </c>
      <c r="AL156" s="66">
        <f t="shared" si="80"/>
        <v>0</v>
      </c>
      <c r="AM156" s="66">
        <f t="shared" si="80"/>
        <v>0</v>
      </c>
      <c r="AN156" s="66">
        <f t="shared" si="80"/>
        <v>0</v>
      </c>
      <c r="AO156" s="66">
        <f t="shared" si="80"/>
        <v>0</v>
      </c>
      <c r="AP156" s="66">
        <f>AP157+AP160+AP162+AP164</f>
        <v>16736070502.450001</v>
      </c>
      <c r="AQ156" s="66">
        <f>AQ157+AQ160+AQ162+AQ164</f>
        <v>15887360755.450001</v>
      </c>
      <c r="AR156" s="68"/>
      <c r="AS156" s="68"/>
      <c r="AT156" s="68"/>
      <c r="AU156" s="68"/>
      <c r="AV156" s="68"/>
      <c r="AW156" s="68"/>
      <c r="AX156" s="68"/>
      <c r="AY156" s="68"/>
      <c r="AZ156" s="68"/>
      <c r="BA156" s="68">
        <f>BA157+BA160+BA162+BA164</f>
        <v>13818702903.85</v>
      </c>
      <c r="BB156" s="68"/>
      <c r="BC156" s="68"/>
      <c r="BD156" s="68"/>
      <c r="BE156" s="68"/>
      <c r="BF156" s="68"/>
      <c r="BG156" s="68"/>
      <c r="BH156" s="68"/>
      <c r="BI156" s="68"/>
      <c r="BJ156" s="68"/>
      <c r="BK156" s="68">
        <f>BK157+BK160+BK162+BK164</f>
        <v>14159963990.9655</v>
      </c>
      <c r="BL156" s="68"/>
      <c r="BM156" s="68"/>
      <c r="BN156" s="68"/>
      <c r="BO156" s="68"/>
      <c r="BP156" s="68"/>
      <c r="BQ156" s="68"/>
      <c r="BR156" s="68"/>
      <c r="BS156" s="68"/>
      <c r="BT156" s="68"/>
      <c r="BU156" s="68">
        <f>BU157+BU160+BU162+BU164</f>
        <v>14573562910.694469</v>
      </c>
      <c r="BV156" s="172">
        <f t="shared" si="77"/>
        <v>42552229805.509964</v>
      </c>
    </row>
    <row r="157" spans="1:96" ht="27" customHeight="1" x14ac:dyDescent="0.2">
      <c r="A157" s="84"/>
      <c r="B157" s="84"/>
      <c r="C157" s="173"/>
      <c r="D157" s="169"/>
      <c r="E157" s="71">
        <v>25</v>
      </c>
      <c r="F157" s="72" t="s">
        <v>359</v>
      </c>
      <c r="G157" s="309"/>
      <c r="H157" s="310"/>
      <c r="I157" s="74"/>
      <c r="J157" s="75"/>
      <c r="K157" s="75"/>
      <c r="L157" s="74"/>
      <c r="M157" s="76"/>
      <c r="N157" s="77"/>
      <c r="O157" s="75"/>
      <c r="P157" s="75"/>
      <c r="Q157" s="78"/>
      <c r="R157" s="75"/>
      <c r="S157" s="75"/>
      <c r="T157" s="76"/>
      <c r="U157" s="174"/>
      <c r="V157" s="76"/>
      <c r="W157" s="76"/>
      <c r="X157" s="80">
        <f t="shared" ref="X157:AO157" si="81">SUM(X158:X159)</f>
        <v>0</v>
      </c>
      <c r="Y157" s="80">
        <f t="shared" si="81"/>
        <v>0</v>
      </c>
      <c r="Z157" s="80">
        <f t="shared" si="81"/>
        <v>0</v>
      </c>
      <c r="AA157" s="80">
        <f t="shared" si="81"/>
        <v>0</v>
      </c>
      <c r="AB157" s="80">
        <f t="shared" si="81"/>
        <v>80000000</v>
      </c>
      <c r="AC157" s="80">
        <f t="shared" si="81"/>
        <v>80000000</v>
      </c>
      <c r="AD157" s="80">
        <f t="shared" si="81"/>
        <v>0</v>
      </c>
      <c r="AE157" s="80">
        <f t="shared" si="81"/>
        <v>0</v>
      </c>
      <c r="AF157" s="80">
        <f t="shared" si="81"/>
        <v>0</v>
      </c>
      <c r="AG157" s="80">
        <f t="shared" si="81"/>
        <v>0</v>
      </c>
      <c r="AH157" s="80">
        <f t="shared" si="81"/>
        <v>0</v>
      </c>
      <c r="AI157" s="80">
        <f t="shared" si="81"/>
        <v>0</v>
      </c>
      <c r="AJ157" s="80">
        <f t="shared" si="81"/>
        <v>0</v>
      </c>
      <c r="AK157" s="80">
        <f t="shared" si="81"/>
        <v>0</v>
      </c>
      <c r="AL157" s="80">
        <f t="shared" si="81"/>
        <v>0</v>
      </c>
      <c r="AM157" s="80">
        <f t="shared" si="81"/>
        <v>0</v>
      </c>
      <c r="AN157" s="80">
        <f t="shared" si="81"/>
        <v>0</v>
      </c>
      <c r="AO157" s="80">
        <f t="shared" si="81"/>
        <v>0</v>
      </c>
      <c r="AP157" s="80">
        <f>SUM(AP158:AP159)</f>
        <v>80000000</v>
      </c>
      <c r="AQ157" s="80">
        <f>SUM(AQ158:AQ159)</f>
        <v>80000000</v>
      </c>
      <c r="AR157" s="82"/>
      <c r="AS157" s="82"/>
      <c r="AT157" s="82"/>
      <c r="AU157" s="82"/>
      <c r="AV157" s="82"/>
      <c r="AW157" s="82"/>
      <c r="AX157" s="82"/>
      <c r="AY157" s="82"/>
      <c r="AZ157" s="82"/>
      <c r="BA157" s="82">
        <f>SUM(BA158:BA159)</f>
        <v>80000000</v>
      </c>
      <c r="BB157" s="82"/>
      <c r="BC157" s="82"/>
      <c r="BD157" s="82"/>
      <c r="BE157" s="82"/>
      <c r="BF157" s="82"/>
      <c r="BG157" s="82"/>
      <c r="BH157" s="82"/>
      <c r="BI157" s="82"/>
      <c r="BJ157" s="82"/>
      <c r="BK157" s="82">
        <f>SUM(BK158:BK159)</f>
        <v>30000000</v>
      </c>
      <c r="BL157" s="82"/>
      <c r="BM157" s="82"/>
      <c r="BN157" s="82"/>
      <c r="BO157" s="82"/>
      <c r="BP157" s="82"/>
      <c r="BQ157" s="82"/>
      <c r="BR157" s="82"/>
      <c r="BS157" s="82"/>
      <c r="BT157" s="82"/>
      <c r="BU157" s="82">
        <f>SUM(BU158:BU159)</f>
        <v>20000000</v>
      </c>
      <c r="BV157" s="83">
        <f t="shared" si="77"/>
        <v>130000000</v>
      </c>
    </row>
    <row r="158" spans="1:96" s="317" customFormat="1" ht="163.5" customHeight="1" x14ac:dyDescent="0.25">
      <c r="A158" s="84">
        <v>109</v>
      </c>
      <c r="B158" s="84">
        <v>3</v>
      </c>
      <c r="C158" s="173"/>
      <c r="D158" s="173"/>
      <c r="E158" s="117">
        <v>16</v>
      </c>
      <c r="F158" s="86" t="s">
        <v>360</v>
      </c>
      <c r="G158" s="117">
        <v>45</v>
      </c>
      <c r="H158" s="117">
        <v>90</v>
      </c>
      <c r="I158" s="94">
        <v>108</v>
      </c>
      <c r="J158" s="256" t="s">
        <v>361</v>
      </c>
      <c r="K158" s="256" t="s">
        <v>362</v>
      </c>
      <c r="L158" s="311" t="s">
        <v>253</v>
      </c>
      <c r="M158" s="311">
        <v>1</v>
      </c>
      <c r="N158" s="312" t="s">
        <v>44</v>
      </c>
      <c r="O158" s="311">
        <v>4</v>
      </c>
      <c r="P158" s="302">
        <v>4</v>
      </c>
      <c r="Q158" s="312">
        <v>4</v>
      </c>
      <c r="R158" s="312">
        <v>4</v>
      </c>
      <c r="S158" s="312">
        <v>4</v>
      </c>
      <c r="T158" s="312">
        <v>4</v>
      </c>
      <c r="U158" s="313">
        <f>AP158/$AP$157</f>
        <v>0.125</v>
      </c>
      <c r="V158" s="314">
        <v>16</v>
      </c>
      <c r="W158" s="314" t="s">
        <v>363</v>
      </c>
      <c r="X158" s="315"/>
      <c r="Y158" s="136"/>
      <c r="Z158" s="315"/>
      <c r="AA158" s="136"/>
      <c r="AB158" s="315">
        <v>10000000</v>
      </c>
      <c r="AC158" s="136">
        <v>10000000</v>
      </c>
      <c r="AD158" s="315"/>
      <c r="AE158" s="136"/>
      <c r="AF158" s="315"/>
      <c r="AG158" s="136"/>
      <c r="AH158" s="315"/>
      <c r="AI158" s="136"/>
      <c r="AJ158" s="315"/>
      <c r="AK158" s="136"/>
      <c r="AL158" s="315"/>
      <c r="AM158" s="136"/>
      <c r="AN158" s="315"/>
      <c r="AO158" s="136"/>
      <c r="AP158" s="99">
        <f>+X158+Z158+AB158+AD158+AF158+AH158+AJ158+AL158+AN158</f>
        <v>10000000</v>
      </c>
      <c r="AQ158" s="100">
        <f>Y158+AA158+AC158+AE158+AG158+AI158+AK158+AM158+AO158</f>
        <v>10000000</v>
      </c>
      <c r="AR158" s="303"/>
      <c r="AS158" s="303"/>
      <c r="AT158" s="303">
        <v>10000000</v>
      </c>
      <c r="AU158" s="303"/>
      <c r="AV158" s="303"/>
      <c r="AW158" s="303"/>
      <c r="AX158" s="303"/>
      <c r="AY158" s="303"/>
      <c r="AZ158" s="303"/>
      <c r="BA158" s="303">
        <f>SUM(AR158:AZ158)</f>
        <v>10000000</v>
      </c>
      <c r="BB158" s="303"/>
      <c r="BC158" s="303"/>
      <c r="BD158" s="303">
        <v>10000000</v>
      </c>
      <c r="BE158" s="303"/>
      <c r="BF158" s="303"/>
      <c r="BG158" s="303"/>
      <c r="BH158" s="303"/>
      <c r="BI158" s="303"/>
      <c r="BJ158" s="303"/>
      <c r="BK158" s="303">
        <f>SUM(BB158:BJ158)</f>
        <v>10000000</v>
      </c>
      <c r="BL158" s="303"/>
      <c r="BM158" s="303"/>
      <c r="BN158" s="303">
        <v>2500000</v>
      </c>
      <c r="BO158" s="303"/>
      <c r="BP158" s="303"/>
      <c r="BQ158" s="303"/>
      <c r="BR158" s="303"/>
      <c r="BS158" s="303"/>
      <c r="BT158" s="303"/>
      <c r="BU158" s="303">
        <f>SUM(BL158:BT158)</f>
        <v>2500000</v>
      </c>
      <c r="BV158" s="316">
        <f t="shared" si="77"/>
        <v>45000000</v>
      </c>
    </row>
    <row r="159" spans="1:96" s="317" customFormat="1" ht="155.25" customHeight="1" x14ac:dyDescent="0.2">
      <c r="A159" s="105">
        <v>110</v>
      </c>
      <c r="B159" s="84">
        <v>3</v>
      </c>
      <c r="C159" s="173"/>
      <c r="D159" s="173"/>
      <c r="E159" s="110">
        <v>16</v>
      </c>
      <c r="F159" s="114" t="s">
        <v>360</v>
      </c>
      <c r="G159" s="110">
        <v>45</v>
      </c>
      <c r="H159" s="110">
        <v>90</v>
      </c>
      <c r="I159" s="301">
        <v>109</v>
      </c>
      <c r="J159" s="90" t="s">
        <v>364</v>
      </c>
      <c r="K159" s="293" t="s">
        <v>365</v>
      </c>
      <c r="L159" s="272" t="s">
        <v>253</v>
      </c>
      <c r="M159" s="272">
        <v>1</v>
      </c>
      <c r="N159" s="302" t="s">
        <v>44</v>
      </c>
      <c r="O159" s="281">
        <v>0</v>
      </c>
      <c r="P159" s="278">
        <v>52</v>
      </c>
      <c r="Q159" s="278">
        <v>52</v>
      </c>
      <c r="R159" s="278">
        <v>52</v>
      </c>
      <c r="S159" s="278">
        <v>52</v>
      </c>
      <c r="T159" s="278">
        <v>52</v>
      </c>
      <c r="U159" s="313">
        <f>AP159/AP157</f>
        <v>0.875</v>
      </c>
      <c r="V159" s="301">
        <v>16</v>
      </c>
      <c r="W159" s="318" t="s">
        <v>363</v>
      </c>
      <c r="X159" s="319"/>
      <c r="Y159" s="136"/>
      <c r="Z159" s="319"/>
      <c r="AA159" s="136"/>
      <c r="AB159" s="153">
        <v>70000000</v>
      </c>
      <c r="AC159" s="137">
        <v>70000000</v>
      </c>
      <c r="AD159" s="320"/>
      <c r="AE159" s="143"/>
      <c r="AF159" s="319"/>
      <c r="AG159" s="136"/>
      <c r="AH159" s="319"/>
      <c r="AI159" s="136"/>
      <c r="AJ159" s="319"/>
      <c r="AK159" s="136"/>
      <c r="AL159" s="319"/>
      <c r="AM159" s="136"/>
      <c r="AN159" s="319"/>
      <c r="AO159" s="136"/>
      <c r="AP159" s="99">
        <f>+X159+Z159+AB159+AD159+AF159+AH159+AJ159+AL159+AN159</f>
        <v>70000000</v>
      </c>
      <c r="AQ159" s="100">
        <f>Y159+AA159+AC159+AE159+AG159+AI159+AK159+AM159+AO159</f>
        <v>70000000</v>
      </c>
      <c r="AR159" s="102"/>
      <c r="AS159" s="102"/>
      <c r="AT159" s="321">
        <v>70000000</v>
      </c>
      <c r="AU159" s="102"/>
      <c r="AV159" s="102"/>
      <c r="AW159" s="102"/>
      <c r="AX159" s="102"/>
      <c r="AY159" s="102"/>
      <c r="AZ159" s="102"/>
      <c r="BA159" s="102">
        <f>SUM(AR159:AZ159)</f>
        <v>70000000</v>
      </c>
      <c r="BB159" s="321"/>
      <c r="BC159" s="321"/>
      <c r="BD159" s="321">
        <v>20000000</v>
      </c>
      <c r="BE159" s="321"/>
      <c r="BF159" s="321"/>
      <c r="BG159" s="321"/>
      <c r="BH159" s="321"/>
      <c r="BI159" s="321"/>
      <c r="BJ159" s="321"/>
      <c r="BK159" s="321">
        <f>SUM(BB159:BJ159)</f>
        <v>20000000</v>
      </c>
      <c r="BL159" s="102"/>
      <c r="BM159" s="102"/>
      <c r="BN159" s="102">
        <v>17500000</v>
      </c>
      <c r="BO159" s="102"/>
      <c r="BP159" s="102"/>
      <c r="BQ159" s="102"/>
      <c r="BR159" s="102"/>
      <c r="BS159" s="102"/>
      <c r="BT159" s="102"/>
      <c r="BU159" s="102">
        <f>SUM(BL159:BT159)</f>
        <v>17500000</v>
      </c>
      <c r="BV159" s="103">
        <f t="shared" si="77"/>
        <v>215000000</v>
      </c>
    </row>
    <row r="160" spans="1:96" s="329" customFormat="1" ht="22.5" customHeight="1" x14ac:dyDescent="0.2">
      <c r="A160" s="198"/>
      <c r="B160" s="199"/>
      <c r="C160" s="173"/>
      <c r="D160" s="173"/>
      <c r="E160" s="322">
        <v>26</v>
      </c>
      <c r="F160" s="72" t="s">
        <v>366</v>
      </c>
      <c r="G160" s="124"/>
      <c r="H160" s="75"/>
      <c r="I160" s="74"/>
      <c r="J160" s="75"/>
      <c r="K160" s="310"/>
      <c r="L160" s="323"/>
      <c r="M160" s="324"/>
      <c r="N160" s="325"/>
      <c r="O160" s="310"/>
      <c r="P160" s="310"/>
      <c r="Q160" s="326"/>
      <c r="R160" s="310"/>
      <c r="S160" s="310"/>
      <c r="T160" s="324"/>
      <c r="U160" s="327"/>
      <c r="V160" s="324"/>
      <c r="W160" s="324"/>
      <c r="X160" s="80">
        <f t="shared" ref="X160:AO160" si="82">SUM(X161)</f>
        <v>0</v>
      </c>
      <c r="Y160" s="80">
        <f t="shared" si="82"/>
        <v>0</v>
      </c>
      <c r="Z160" s="80">
        <f t="shared" si="82"/>
        <v>48879475.450000003</v>
      </c>
      <c r="AA160" s="80">
        <f t="shared" si="82"/>
        <v>48879475.450000003</v>
      </c>
      <c r="AB160" s="80">
        <f t="shared" si="82"/>
        <v>0</v>
      </c>
      <c r="AC160" s="80">
        <f t="shared" si="82"/>
        <v>0</v>
      </c>
      <c r="AD160" s="80">
        <f t="shared" si="82"/>
        <v>0</v>
      </c>
      <c r="AE160" s="80">
        <f t="shared" si="82"/>
        <v>0</v>
      </c>
      <c r="AF160" s="80">
        <f t="shared" si="82"/>
        <v>0</v>
      </c>
      <c r="AG160" s="80">
        <f t="shared" si="82"/>
        <v>0</v>
      </c>
      <c r="AH160" s="80">
        <f t="shared" si="82"/>
        <v>0</v>
      </c>
      <c r="AI160" s="80">
        <f t="shared" si="82"/>
        <v>0</v>
      </c>
      <c r="AJ160" s="80">
        <f t="shared" si="82"/>
        <v>1465781955</v>
      </c>
      <c r="AK160" s="80">
        <f t="shared" si="82"/>
        <v>1465781955</v>
      </c>
      <c r="AL160" s="80">
        <f t="shared" si="82"/>
        <v>0</v>
      </c>
      <c r="AM160" s="80">
        <f t="shared" si="82"/>
        <v>0</v>
      </c>
      <c r="AN160" s="80">
        <f t="shared" si="82"/>
        <v>0</v>
      </c>
      <c r="AO160" s="80">
        <f t="shared" si="82"/>
        <v>0</v>
      </c>
      <c r="AP160" s="81">
        <f>SUM(AP161)</f>
        <v>1514661430.45</v>
      </c>
      <c r="AQ160" s="80">
        <f>SUM(AQ161)</f>
        <v>1514661430.45</v>
      </c>
      <c r="AR160" s="82"/>
      <c r="AS160" s="82"/>
      <c r="AT160" s="82"/>
      <c r="AU160" s="82"/>
      <c r="AV160" s="82"/>
      <c r="AW160" s="82"/>
      <c r="AX160" s="82"/>
      <c r="AY160" s="82"/>
      <c r="AZ160" s="82"/>
      <c r="BA160" s="82">
        <f>SUM(BA161)</f>
        <v>1225102903.8499999</v>
      </c>
      <c r="BB160" s="82"/>
      <c r="BC160" s="82"/>
      <c r="BD160" s="82"/>
      <c r="BE160" s="82"/>
      <c r="BF160" s="82"/>
      <c r="BG160" s="82"/>
      <c r="BH160" s="82"/>
      <c r="BI160" s="82"/>
      <c r="BJ160" s="82"/>
      <c r="BK160" s="82">
        <f>SUM(BK161)</f>
        <v>1261855990.9655001</v>
      </c>
      <c r="BL160" s="82"/>
      <c r="BM160" s="82"/>
      <c r="BN160" s="82"/>
      <c r="BO160" s="82"/>
      <c r="BP160" s="82"/>
      <c r="BQ160" s="82"/>
      <c r="BR160" s="82"/>
      <c r="BS160" s="82"/>
      <c r="BT160" s="82"/>
      <c r="BU160" s="82">
        <f>SUM(BU161)</f>
        <v>1299711670.6944699</v>
      </c>
      <c r="BV160" s="83">
        <f t="shared" si="77"/>
        <v>3786670565.5099702</v>
      </c>
      <c r="BW160" s="317"/>
      <c r="BX160" s="317"/>
      <c r="BY160" s="328"/>
      <c r="BZ160" s="328"/>
      <c r="CA160" s="328"/>
      <c r="CB160" s="328"/>
      <c r="CC160" s="328"/>
      <c r="CD160" s="328"/>
      <c r="CE160" s="328"/>
      <c r="CF160" s="328"/>
      <c r="CG160" s="328"/>
      <c r="CH160" s="328"/>
      <c r="CI160" s="328"/>
      <c r="CJ160" s="328"/>
      <c r="CK160" s="328"/>
      <c r="CL160" s="328"/>
      <c r="CM160" s="328"/>
      <c r="CN160" s="328"/>
      <c r="CO160" s="328"/>
      <c r="CP160" s="328"/>
      <c r="CQ160" s="328"/>
      <c r="CR160" s="328"/>
    </row>
    <row r="161" spans="1:74" s="317" customFormat="1" ht="153.75" customHeight="1" x14ac:dyDescent="0.25">
      <c r="A161" s="237">
        <v>111</v>
      </c>
      <c r="B161" s="237">
        <v>3</v>
      </c>
      <c r="C161" s="173"/>
      <c r="D161" s="173"/>
      <c r="E161" s="117">
        <v>16</v>
      </c>
      <c r="F161" s="86" t="s">
        <v>360</v>
      </c>
      <c r="G161" s="117">
        <v>45</v>
      </c>
      <c r="H161" s="117">
        <v>90</v>
      </c>
      <c r="I161" s="314">
        <v>110</v>
      </c>
      <c r="J161" s="256" t="s">
        <v>367</v>
      </c>
      <c r="K161" s="330" t="s">
        <v>368</v>
      </c>
      <c r="L161" s="311" t="s">
        <v>253</v>
      </c>
      <c r="M161" s="311">
        <v>1</v>
      </c>
      <c r="N161" s="302" t="s">
        <v>44</v>
      </c>
      <c r="O161" s="330">
        <v>180</v>
      </c>
      <c r="P161" s="331">
        <v>200</v>
      </c>
      <c r="Q161" s="302">
        <v>200</v>
      </c>
      <c r="R161" s="331">
        <v>200</v>
      </c>
      <c r="S161" s="331">
        <v>200</v>
      </c>
      <c r="T161" s="331">
        <v>200</v>
      </c>
      <c r="U161" s="313">
        <f>AP161/AP160</f>
        <v>1</v>
      </c>
      <c r="V161" s="95">
        <v>4</v>
      </c>
      <c r="W161" s="95" t="s">
        <v>100</v>
      </c>
      <c r="X161" s="136"/>
      <c r="Y161" s="136"/>
      <c r="Z161" s="136">
        <v>48879475.450000003</v>
      </c>
      <c r="AA161" s="136">
        <v>48879475.450000003</v>
      </c>
      <c r="AB161" s="136"/>
      <c r="AC161" s="136"/>
      <c r="AD161" s="136"/>
      <c r="AE161" s="136"/>
      <c r="AF161" s="136"/>
      <c r="AG161" s="136"/>
      <c r="AH161" s="136"/>
      <c r="AI161" s="136"/>
      <c r="AJ161" s="136">
        <v>1465781955</v>
      </c>
      <c r="AK161" s="136">
        <v>1465781955</v>
      </c>
      <c r="AL161" s="136"/>
      <c r="AM161" s="136"/>
      <c r="AN161" s="136"/>
      <c r="AO161" s="136"/>
      <c r="AP161" s="99">
        <f>+X161+Z161+AB161+AD161+AF161+AH161+AJ161+AL161+AN161</f>
        <v>1514661430.45</v>
      </c>
      <c r="AQ161" s="100">
        <f>Y161+AA161+AC161+AE161+AG161+AI161+AK161+AM161+AO161</f>
        <v>1514661430.45</v>
      </c>
      <c r="AR161" s="332"/>
      <c r="AS161" s="332"/>
      <c r="AT161" s="332"/>
      <c r="AU161" s="332"/>
      <c r="AV161" s="332"/>
      <c r="AW161" s="332"/>
      <c r="AX161" s="303">
        <v>1225102903.8499999</v>
      </c>
      <c r="AY161" s="332"/>
      <c r="AZ161" s="332"/>
      <c r="BA161" s="303">
        <f>SUM(AR161:AZ161)</f>
        <v>1225102903.8499999</v>
      </c>
      <c r="BB161" s="303"/>
      <c r="BC161" s="303"/>
      <c r="BD161" s="303"/>
      <c r="BE161" s="303"/>
      <c r="BF161" s="303"/>
      <c r="BG161" s="303"/>
      <c r="BH161" s="303">
        <v>1261855990.9655001</v>
      </c>
      <c r="BI161" s="303"/>
      <c r="BJ161" s="303"/>
      <c r="BK161" s="303">
        <f>SUM(BB161:BJ161)</f>
        <v>1261855990.9655001</v>
      </c>
      <c r="BL161" s="119"/>
      <c r="BM161" s="303"/>
      <c r="BN161" s="303"/>
      <c r="BO161" s="303"/>
      <c r="BP161" s="303"/>
      <c r="BQ161" s="303"/>
      <c r="BR161" s="303">
        <v>1299711670.6944699</v>
      </c>
      <c r="BS161" s="303"/>
      <c r="BT161" s="303"/>
      <c r="BU161" s="303">
        <f>SUM(BL161:BT161)</f>
        <v>1299711670.6944699</v>
      </c>
      <c r="BV161" s="103">
        <f t="shared" si="77"/>
        <v>7573341131.0199394</v>
      </c>
    </row>
    <row r="162" spans="1:74" s="317" customFormat="1" ht="22.5" customHeight="1" x14ac:dyDescent="0.25">
      <c r="A162" s="84"/>
      <c r="B162" s="84"/>
      <c r="C162" s="173"/>
      <c r="D162" s="173"/>
      <c r="E162" s="71">
        <v>27</v>
      </c>
      <c r="F162" s="72" t="s">
        <v>369</v>
      </c>
      <c r="G162" s="333"/>
      <c r="H162" s="310"/>
      <c r="I162" s="323"/>
      <c r="J162" s="310"/>
      <c r="K162" s="310"/>
      <c r="L162" s="323"/>
      <c r="M162" s="324"/>
      <c r="N162" s="325"/>
      <c r="O162" s="310"/>
      <c r="P162" s="310"/>
      <c r="Q162" s="326"/>
      <c r="R162" s="310"/>
      <c r="S162" s="310"/>
      <c r="T162" s="324"/>
      <c r="U162" s="327"/>
      <c r="V162" s="324"/>
      <c r="W162" s="324"/>
      <c r="X162" s="80">
        <f t="shared" ref="X162:AO162" si="83">SUM(X163)</f>
        <v>0</v>
      </c>
      <c r="Y162" s="80">
        <f t="shared" si="83"/>
        <v>0</v>
      </c>
      <c r="Z162" s="80">
        <f t="shared" si="83"/>
        <v>0</v>
      </c>
      <c r="AA162" s="80">
        <f t="shared" si="83"/>
        <v>0</v>
      </c>
      <c r="AB162" s="80">
        <f t="shared" si="83"/>
        <v>0</v>
      </c>
      <c r="AC162" s="80">
        <f t="shared" si="83"/>
        <v>0</v>
      </c>
      <c r="AD162" s="80">
        <f t="shared" si="83"/>
        <v>0</v>
      </c>
      <c r="AE162" s="80">
        <f t="shared" si="83"/>
        <v>0</v>
      </c>
      <c r="AF162" s="80">
        <f t="shared" si="83"/>
        <v>0</v>
      </c>
      <c r="AG162" s="80">
        <f t="shared" si="83"/>
        <v>0</v>
      </c>
      <c r="AH162" s="80">
        <f t="shared" si="83"/>
        <v>0</v>
      </c>
      <c r="AI162" s="80">
        <f t="shared" si="83"/>
        <v>0</v>
      </c>
      <c r="AJ162" s="80">
        <f t="shared" si="83"/>
        <v>14991409072</v>
      </c>
      <c r="AK162" s="80">
        <f t="shared" si="83"/>
        <v>14211556688</v>
      </c>
      <c r="AL162" s="80">
        <f t="shared" si="83"/>
        <v>0</v>
      </c>
      <c r="AM162" s="80">
        <f t="shared" si="83"/>
        <v>0</v>
      </c>
      <c r="AN162" s="80">
        <f t="shared" si="83"/>
        <v>0</v>
      </c>
      <c r="AO162" s="80">
        <f t="shared" si="83"/>
        <v>0</v>
      </c>
      <c r="AP162" s="187">
        <f>SUM(AP163)</f>
        <v>14991409072</v>
      </c>
      <c r="AQ162" s="80">
        <f>SUM(AQ163)</f>
        <v>14211556688</v>
      </c>
      <c r="AR162" s="188"/>
      <c r="AS162" s="188"/>
      <c r="AT162" s="188"/>
      <c r="AU162" s="188"/>
      <c r="AV162" s="188"/>
      <c r="AW162" s="188"/>
      <c r="AX162" s="188"/>
      <c r="AY162" s="188"/>
      <c r="AZ162" s="188"/>
      <c r="BA162" s="188">
        <f>SUM(BA163)</f>
        <v>12360000000</v>
      </c>
      <c r="BB162" s="188"/>
      <c r="BC162" s="188"/>
      <c r="BD162" s="188"/>
      <c r="BE162" s="188"/>
      <c r="BF162" s="188"/>
      <c r="BG162" s="188"/>
      <c r="BH162" s="188"/>
      <c r="BI162" s="188"/>
      <c r="BJ162" s="188"/>
      <c r="BK162" s="188">
        <f>SUM(BK163)</f>
        <v>12730800000</v>
      </c>
      <c r="BL162" s="188"/>
      <c r="BM162" s="188"/>
      <c r="BN162" s="188"/>
      <c r="BO162" s="188"/>
      <c r="BP162" s="188"/>
      <c r="BQ162" s="188"/>
      <c r="BR162" s="188"/>
      <c r="BS162" s="188"/>
      <c r="BT162" s="188"/>
      <c r="BU162" s="189">
        <f>SUM(BU163)</f>
        <v>13112724000</v>
      </c>
      <c r="BV162" s="83">
        <f t="shared" si="77"/>
        <v>38203524000</v>
      </c>
    </row>
    <row r="163" spans="1:74" s="317" customFormat="1" ht="167.25" customHeight="1" x14ac:dyDescent="0.2">
      <c r="A163" s="105">
        <v>112</v>
      </c>
      <c r="B163" s="84">
        <v>3</v>
      </c>
      <c r="C163" s="173"/>
      <c r="D163" s="173"/>
      <c r="E163" s="115" t="s">
        <v>370</v>
      </c>
      <c r="F163" s="114" t="s">
        <v>371</v>
      </c>
      <c r="G163" s="115" t="s">
        <v>372</v>
      </c>
      <c r="H163" s="115" t="s">
        <v>373</v>
      </c>
      <c r="I163" s="89">
        <v>111</v>
      </c>
      <c r="J163" s="86" t="s">
        <v>374</v>
      </c>
      <c r="K163" s="334" t="s">
        <v>375</v>
      </c>
      <c r="L163" s="272" t="s">
        <v>253</v>
      </c>
      <c r="M163" s="272">
        <v>1</v>
      </c>
      <c r="N163" s="335" t="s">
        <v>44</v>
      </c>
      <c r="O163" s="336">
        <v>1</v>
      </c>
      <c r="P163" s="336">
        <v>1</v>
      </c>
      <c r="Q163" s="337">
        <v>1</v>
      </c>
      <c r="R163" s="338">
        <v>1</v>
      </c>
      <c r="S163" s="338">
        <v>1</v>
      </c>
      <c r="T163" s="338">
        <v>1</v>
      </c>
      <c r="U163" s="294">
        <f>AP163/AP162</f>
        <v>1</v>
      </c>
      <c r="V163" s="95">
        <v>10</v>
      </c>
      <c r="W163" s="98" t="s">
        <v>376</v>
      </c>
      <c r="X163" s="231"/>
      <c r="Y163" s="136"/>
      <c r="Z163" s="231"/>
      <c r="AA163" s="136"/>
      <c r="AB163" s="231"/>
      <c r="AC163" s="136"/>
      <c r="AD163" s="231"/>
      <c r="AE163" s="136"/>
      <c r="AF163" s="231"/>
      <c r="AG163" s="136"/>
      <c r="AH163" s="231"/>
      <c r="AI163" s="136"/>
      <c r="AJ163" s="153">
        <v>14991409072</v>
      </c>
      <c r="AK163" s="143">
        <v>14211556688</v>
      </c>
      <c r="AL163" s="231"/>
      <c r="AM163" s="136"/>
      <c r="AN163" s="231"/>
      <c r="AO163" s="136"/>
      <c r="AP163" s="99">
        <f>+X163+Z163+AB163+AD163+AF163+AH163+AJ163+AL163+AN163</f>
        <v>14991409072</v>
      </c>
      <c r="AQ163" s="100">
        <f>Y163+AA163+AC163+AE163+AG163+AI163+AK163+AM163+AO163</f>
        <v>14211556688</v>
      </c>
      <c r="AR163" s="102"/>
      <c r="AS163" s="102"/>
      <c r="AT163" s="102"/>
      <c r="AU163" s="102"/>
      <c r="AV163" s="102"/>
      <c r="AW163" s="102"/>
      <c r="AX163" s="321">
        <v>12360000000</v>
      </c>
      <c r="AY163" s="102"/>
      <c r="AZ163" s="102"/>
      <c r="BA163" s="102">
        <f>SUM(AR163:AZ163)</f>
        <v>12360000000</v>
      </c>
      <c r="BB163" s="321"/>
      <c r="BC163" s="321"/>
      <c r="BD163" s="321"/>
      <c r="BE163" s="321"/>
      <c r="BF163" s="321"/>
      <c r="BG163" s="321"/>
      <c r="BH163" s="321">
        <v>12730800000</v>
      </c>
      <c r="BI163" s="321"/>
      <c r="BJ163" s="321"/>
      <c r="BK163" s="321">
        <f>SUM(BB163:BJ163)</f>
        <v>12730800000</v>
      </c>
      <c r="BL163" s="102"/>
      <c r="BM163" s="102"/>
      <c r="BN163" s="102"/>
      <c r="BO163" s="102"/>
      <c r="BP163" s="102"/>
      <c r="BQ163" s="102"/>
      <c r="BR163" s="102">
        <v>13112724000</v>
      </c>
      <c r="BS163" s="102"/>
      <c r="BT163" s="102"/>
      <c r="BU163" s="102">
        <f>SUM(BL163:BT163)</f>
        <v>13112724000</v>
      </c>
      <c r="BV163" s="103">
        <f t="shared" si="77"/>
        <v>76407048000</v>
      </c>
    </row>
    <row r="164" spans="1:74" s="317" customFormat="1" ht="22.5" customHeight="1" x14ac:dyDescent="0.2">
      <c r="A164" s="105"/>
      <c r="B164" s="84"/>
      <c r="C164" s="173"/>
      <c r="D164" s="173"/>
      <c r="E164" s="71">
        <v>28</v>
      </c>
      <c r="F164" s="72" t="s">
        <v>377</v>
      </c>
      <c r="G164" s="124"/>
      <c r="H164" s="75"/>
      <c r="I164" s="323"/>
      <c r="J164" s="310"/>
      <c r="K164" s="310"/>
      <c r="L164" s="323"/>
      <c r="M164" s="324"/>
      <c r="N164" s="325"/>
      <c r="O164" s="310"/>
      <c r="P164" s="310"/>
      <c r="Q164" s="326"/>
      <c r="R164" s="310"/>
      <c r="S164" s="310"/>
      <c r="T164" s="324"/>
      <c r="U164" s="327"/>
      <c r="V164" s="324"/>
      <c r="W164" s="324"/>
      <c r="X164" s="80">
        <f t="shared" ref="X164:AO164" si="84">SUM(X165:X166)</f>
        <v>0</v>
      </c>
      <c r="Y164" s="80">
        <f t="shared" si="84"/>
        <v>0</v>
      </c>
      <c r="Z164" s="80">
        <f t="shared" si="84"/>
        <v>0</v>
      </c>
      <c r="AA164" s="80">
        <f t="shared" si="84"/>
        <v>0</v>
      </c>
      <c r="AB164" s="80">
        <f t="shared" si="84"/>
        <v>30000000</v>
      </c>
      <c r="AC164" s="80">
        <f t="shared" si="84"/>
        <v>30000000</v>
      </c>
      <c r="AD164" s="80">
        <f t="shared" si="84"/>
        <v>0</v>
      </c>
      <c r="AE164" s="80">
        <f t="shared" si="84"/>
        <v>0</v>
      </c>
      <c r="AF164" s="80">
        <f t="shared" si="84"/>
        <v>0</v>
      </c>
      <c r="AG164" s="80">
        <f t="shared" si="84"/>
        <v>0</v>
      </c>
      <c r="AH164" s="80">
        <f t="shared" si="84"/>
        <v>0</v>
      </c>
      <c r="AI164" s="80">
        <f t="shared" si="84"/>
        <v>0</v>
      </c>
      <c r="AJ164" s="80">
        <f t="shared" si="84"/>
        <v>120000000</v>
      </c>
      <c r="AK164" s="80">
        <f t="shared" si="84"/>
        <v>51142637</v>
      </c>
      <c r="AL164" s="80">
        <f t="shared" si="84"/>
        <v>0</v>
      </c>
      <c r="AM164" s="80">
        <f t="shared" si="84"/>
        <v>0</v>
      </c>
      <c r="AN164" s="80">
        <f t="shared" si="84"/>
        <v>0</v>
      </c>
      <c r="AO164" s="80">
        <f t="shared" si="84"/>
        <v>0</v>
      </c>
      <c r="AP164" s="81">
        <f>SUM(AP165:AP166)</f>
        <v>150000000</v>
      </c>
      <c r="AQ164" s="80">
        <f>SUM(AQ165:AQ166)</f>
        <v>81142637</v>
      </c>
      <c r="AR164" s="82"/>
      <c r="AS164" s="82"/>
      <c r="AT164" s="82"/>
      <c r="AU164" s="82"/>
      <c r="AV164" s="82"/>
      <c r="AW164" s="82"/>
      <c r="AX164" s="82"/>
      <c r="AY164" s="82"/>
      <c r="AZ164" s="82"/>
      <c r="BA164" s="82">
        <f>SUM(BA165:BA166)</f>
        <v>153600000</v>
      </c>
      <c r="BB164" s="82"/>
      <c r="BC164" s="82"/>
      <c r="BD164" s="82"/>
      <c r="BE164" s="82"/>
      <c r="BF164" s="82"/>
      <c r="BG164" s="82"/>
      <c r="BH164" s="82"/>
      <c r="BI164" s="82"/>
      <c r="BJ164" s="82"/>
      <c r="BK164" s="82">
        <f>SUM(BK165:BK166)</f>
        <v>137308000</v>
      </c>
      <c r="BL164" s="82"/>
      <c r="BM164" s="82"/>
      <c r="BN164" s="82"/>
      <c r="BO164" s="82"/>
      <c r="BP164" s="82"/>
      <c r="BQ164" s="82"/>
      <c r="BR164" s="82"/>
      <c r="BS164" s="82"/>
      <c r="BT164" s="82"/>
      <c r="BU164" s="82">
        <f>SUM(BU165:BU166)</f>
        <v>141127240</v>
      </c>
      <c r="BV164" s="83">
        <f t="shared" si="77"/>
        <v>432035240</v>
      </c>
    </row>
    <row r="165" spans="1:74" s="317" customFormat="1" ht="169.5" customHeight="1" x14ac:dyDescent="0.25">
      <c r="A165" s="84">
        <v>113</v>
      </c>
      <c r="B165" s="84">
        <v>3</v>
      </c>
      <c r="C165" s="173"/>
      <c r="D165" s="178"/>
      <c r="E165" s="339" t="s">
        <v>370</v>
      </c>
      <c r="F165" s="306" t="s">
        <v>371</v>
      </c>
      <c r="G165" s="182" t="s">
        <v>372</v>
      </c>
      <c r="H165" s="182" t="s">
        <v>378</v>
      </c>
      <c r="I165" s="89">
        <v>112</v>
      </c>
      <c r="J165" s="86" t="s">
        <v>379</v>
      </c>
      <c r="K165" s="293" t="s">
        <v>380</v>
      </c>
      <c r="L165" s="285" t="s">
        <v>253</v>
      </c>
      <c r="M165" s="285">
        <v>1</v>
      </c>
      <c r="N165" s="282" t="s">
        <v>58</v>
      </c>
      <c r="O165" s="217">
        <v>0</v>
      </c>
      <c r="P165" s="283">
        <v>60</v>
      </c>
      <c r="Q165" s="278">
        <v>7.5</v>
      </c>
      <c r="R165" s="283">
        <v>20</v>
      </c>
      <c r="S165" s="283">
        <v>20</v>
      </c>
      <c r="T165" s="283">
        <v>12</v>
      </c>
      <c r="U165" s="340">
        <f>AP165/AP164</f>
        <v>0.2</v>
      </c>
      <c r="V165" s="95">
        <v>4</v>
      </c>
      <c r="W165" s="98" t="s">
        <v>100</v>
      </c>
      <c r="X165" s="141"/>
      <c r="Y165" s="142"/>
      <c r="Z165" s="141"/>
      <c r="AA165" s="142"/>
      <c r="AB165" s="141">
        <v>30000000</v>
      </c>
      <c r="AC165" s="137">
        <v>0</v>
      </c>
      <c r="AD165" s="141"/>
      <c r="AE165" s="142"/>
      <c r="AF165" s="141"/>
      <c r="AG165" s="142"/>
      <c r="AH165" s="141"/>
      <c r="AI165" s="142"/>
      <c r="AJ165" s="141"/>
      <c r="AK165" s="142"/>
      <c r="AL165" s="141"/>
      <c r="AM165" s="142"/>
      <c r="AN165" s="141"/>
      <c r="AO165" s="142"/>
      <c r="AP165" s="99">
        <f>+X165+Z165+AB165+AD165+AF165+AH165+AJ165+AL165+AN165</f>
        <v>30000000</v>
      </c>
      <c r="AQ165" s="100">
        <f>Y165+AA165+AC165+AE165+AG165+AI165+AK165+AM165+AO165</f>
        <v>0</v>
      </c>
      <c r="AR165" s="102"/>
      <c r="AS165" s="102"/>
      <c r="AT165" s="102">
        <v>30000000</v>
      </c>
      <c r="AU165" s="102"/>
      <c r="AV165" s="102"/>
      <c r="AW165" s="102"/>
      <c r="AX165" s="102">
        <f>123600000-122880000</f>
        <v>720000</v>
      </c>
      <c r="AY165" s="102"/>
      <c r="AZ165" s="102"/>
      <c r="BA165" s="102">
        <f>SUM(AR165:AZ165)</f>
        <v>30720000</v>
      </c>
      <c r="BB165" s="321"/>
      <c r="BC165" s="321"/>
      <c r="BD165" s="321">
        <v>10000000</v>
      </c>
      <c r="BE165" s="321"/>
      <c r="BF165" s="321"/>
      <c r="BG165" s="321"/>
      <c r="BH165" s="321">
        <v>17400000</v>
      </c>
      <c r="BI165" s="321"/>
      <c r="BJ165" s="321"/>
      <c r="BK165" s="321">
        <f>SUM(BB165:BJ165)</f>
        <v>27400000</v>
      </c>
      <c r="BL165" s="102"/>
      <c r="BM165" s="102"/>
      <c r="BN165" s="102">
        <v>10000000</v>
      </c>
      <c r="BO165" s="102"/>
      <c r="BP165" s="102"/>
      <c r="BQ165" s="102"/>
      <c r="BR165" s="102">
        <v>18200000</v>
      </c>
      <c r="BS165" s="102"/>
      <c r="BT165" s="102"/>
      <c r="BU165" s="102">
        <f>SUM(BL165:BT165)</f>
        <v>28200000</v>
      </c>
      <c r="BV165" s="103">
        <f t="shared" si="77"/>
        <v>172640000</v>
      </c>
    </row>
    <row r="166" spans="1:74" s="317" customFormat="1" ht="85.5" x14ac:dyDescent="0.2">
      <c r="A166" s="105">
        <v>114</v>
      </c>
      <c r="B166" s="84">
        <v>3</v>
      </c>
      <c r="C166" s="173"/>
      <c r="D166" s="341"/>
      <c r="E166" s="111"/>
      <c r="F166" s="178"/>
      <c r="G166" s="173"/>
      <c r="H166" s="173"/>
      <c r="I166" s="89">
        <v>113</v>
      </c>
      <c r="J166" s="86" t="s">
        <v>381</v>
      </c>
      <c r="K166" s="293" t="s">
        <v>382</v>
      </c>
      <c r="L166" s="285" t="s">
        <v>253</v>
      </c>
      <c r="M166" s="285">
        <v>1</v>
      </c>
      <c r="N166" s="282" t="s">
        <v>58</v>
      </c>
      <c r="O166" s="217">
        <v>0</v>
      </c>
      <c r="P166" s="283">
        <v>8</v>
      </c>
      <c r="Q166" s="278">
        <v>1</v>
      </c>
      <c r="R166" s="283">
        <v>3</v>
      </c>
      <c r="S166" s="283">
        <v>3</v>
      </c>
      <c r="T166" s="283">
        <v>1</v>
      </c>
      <c r="U166" s="340">
        <f>AP166/AP164</f>
        <v>0.8</v>
      </c>
      <c r="V166" s="95">
        <v>4</v>
      </c>
      <c r="W166" s="98" t="s">
        <v>100</v>
      </c>
      <c r="X166" s="141"/>
      <c r="Y166" s="142"/>
      <c r="Z166" s="141"/>
      <c r="AA166" s="142"/>
      <c r="AB166" s="141"/>
      <c r="AC166" s="142">
        <v>30000000</v>
      </c>
      <c r="AD166" s="141"/>
      <c r="AE166" s="142"/>
      <c r="AF166" s="141"/>
      <c r="AG166" s="142"/>
      <c r="AH166" s="141"/>
      <c r="AI166" s="142"/>
      <c r="AJ166" s="153">
        <v>120000000</v>
      </c>
      <c r="AK166" s="100">
        <v>51142637</v>
      </c>
      <c r="AL166" s="141"/>
      <c r="AM166" s="142"/>
      <c r="AN166" s="141"/>
      <c r="AO166" s="142"/>
      <c r="AP166" s="99">
        <f>+X166+Z166+AB166+AD166+AF166+AH166+AJ166+AL166+AN166</f>
        <v>120000000</v>
      </c>
      <c r="AQ166" s="100">
        <f>Y166+AA166+AC166+AE166+AG166+AI166+AK166+AM166+AO166</f>
        <v>81142637</v>
      </c>
      <c r="AR166" s="102"/>
      <c r="AS166" s="102"/>
      <c r="AT166" s="102"/>
      <c r="AU166" s="102"/>
      <c r="AV166" s="102"/>
      <c r="AW166" s="102"/>
      <c r="AX166" s="102">
        <v>122880000</v>
      </c>
      <c r="AY166" s="102"/>
      <c r="AZ166" s="102"/>
      <c r="BA166" s="102">
        <f>SUM(AR166:AZ166)</f>
        <v>122880000</v>
      </c>
      <c r="BB166" s="321"/>
      <c r="BC166" s="321"/>
      <c r="BD166" s="321"/>
      <c r="BE166" s="321"/>
      <c r="BF166" s="321"/>
      <c r="BG166" s="321"/>
      <c r="BH166" s="321">
        <v>109908000</v>
      </c>
      <c r="BI166" s="321"/>
      <c r="BJ166" s="321"/>
      <c r="BK166" s="321">
        <f>SUM(BB166:BJ166)</f>
        <v>109908000</v>
      </c>
      <c r="BL166" s="102"/>
      <c r="BM166" s="102"/>
      <c r="BN166" s="102"/>
      <c r="BO166" s="102"/>
      <c r="BP166" s="102"/>
      <c r="BQ166" s="102"/>
      <c r="BR166" s="102">
        <v>112927240</v>
      </c>
      <c r="BS166" s="102"/>
      <c r="BT166" s="102"/>
      <c r="BU166" s="102">
        <f>SUM(BL166:BT166)</f>
        <v>112927240</v>
      </c>
      <c r="BV166" s="103">
        <f t="shared" si="77"/>
        <v>691430480</v>
      </c>
    </row>
    <row r="167" spans="1:74" s="317" customFormat="1" ht="22.5" customHeight="1" x14ac:dyDescent="0.2">
      <c r="A167" s="105"/>
      <c r="B167" s="84"/>
      <c r="C167" s="173"/>
      <c r="D167" s="56">
        <v>9</v>
      </c>
      <c r="E167" s="342" t="s">
        <v>383</v>
      </c>
      <c r="F167" s="343"/>
      <c r="G167" s="344"/>
      <c r="H167" s="344"/>
      <c r="I167" s="60"/>
      <c r="J167" s="61"/>
      <c r="K167" s="61"/>
      <c r="L167" s="62"/>
      <c r="M167" s="60"/>
      <c r="N167" s="63"/>
      <c r="O167" s="61"/>
      <c r="P167" s="61"/>
      <c r="Q167" s="64"/>
      <c r="R167" s="61"/>
      <c r="S167" s="61"/>
      <c r="T167" s="60"/>
      <c r="U167" s="171"/>
      <c r="V167" s="60"/>
      <c r="W167" s="60"/>
      <c r="X167" s="66">
        <f t="shared" ref="X167:AO167" si="85">X168+X172+X175</f>
        <v>0</v>
      </c>
      <c r="Y167" s="66">
        <f t="shared" si="85"/>
        <v>0</v>
      </c>
      <c r="Z167" s="66">
        <f t="shared" si="85"/>
        <v>1232000000</v>
      </c>
      <c r="AA167" s="66">
        <f t="shared" si="85"/>
        <v>2173607493</v>
      </c>
      <c r="AB167" s="66">
        <f t="shared" si="85"/>
        <v>795245192</v>
      </c>
      <c r="AC167" s="66">
        <f t="shared" si="85"/>
        <v>795245192</v>
      </c>
      <c r="AD167" s="66">
        <f t="shared" si="85"/>
        <v>0</v>
      </c>
      <c r="AE167" s="66">
        <f t="shared" si="85"/>
        <v>0</v>
      </c>
      <c r="AF167" s="66">
        <f t="shared" si="85"/>
        <v>0</v>
      </c>
      <c r="AG167" s="66">
        <f t="shared" si="85"/>
        <v>0</v>
      </c>
      <c r="AH167" s="66">
        <f t="shared" si="85"/>
        <v>0</v>
      </c>
      <c r="AI167" s="66">
        <f t="shared" si="85"/>
        <v>0</v>
      </c>
      <c r="AJ167" s="66">
        <f t="shared" si="85"/>
        <v>0</v>
      </c>
      <c r="AK167" s="66">
        <f t="shared" si="85"/>
        <v>0</v>
      </c>
      <c r="AL167" s="66">
        <f t="shared" si="85"/>
        <v>0</v>
      </c>
      <c r="AM167" s="66">
        <f t="shared" si="85"/>
        <v>0</v>
      </c>
      <c r="AN167" s="66">
        <f t="shared" si="85"/>
        <v>0</v>
      </c>
      <c r="AO167" s="66">
        <f t="shared" si="85"/>
        <v>0</v>
      </c>
      <c r="AP167" s="67">
        <f>AP168+AP172+AP175</f>
        <v>2027245192</v>
      </c>
      <c r="AQ167" s="66">
        <f>AQ168+AQ172+AQ175</f>
        <v>2968852685</v>
      </c>
      <c r="AR167" s="68"/>
      <c r="AS167" s="68"/>
      <c r="AT167" s="68"/>
      <c r="AU167" s="68"/>
      <c r="AV167" s="68"/>
      <c r="AW167" s="68"/>
      <c r="AX167" s="68"/>
      <c r="AY167" s="68"/>
      <c r="AZ167" s="68"/>
      <c r="BA167" s="68">
        <f>BA168+BA172+BA175</f>
        <v>1444060000</v>
      </c>
      <c r="BB167" s="68"/>
      <c r="BC167" s="68"/>
      <c r="BD167" s="68"/>
      <c r="BE167" s="68"/>
      <c r="BF167" s="68"/>
      <c r="BG167" s="68"/>
      <c r="BH167" s="68"/>
      <c r="BI167" s="68"/>
      <c r="BJ167" s="68"/>
      <c r="BK167" s="68">
        <f>BK168+BK172+BK175</f>
        <v>1487381800</v>
      </c>
      <c r="BL167" s="68"/>
      <c r="BM167" s="68"/>
      <c r="BN167" s="68"/>
      <c r="BO167" s="68"/>
      <c r="BP167" s="68"/>
      <c r="BQ167" s="68"/>
      <c r="BR167" s="68"/>
      <c r="BS167" s="68"/>
      <c r="BT167" s="68"/>
      <c r="BU167" s="68">
        <f>BU168+BU172+BU175</f>
        <v>1446239664.001771</v>
      </c>
      <c r="BV167" s="172">
        <f t="shared" si="77"/>
        <v>4377681464.001771</v>
      </c>
    </row>
    <row r="168" spans="1:74" s="317" customFormat="1" ht="22.5" customHeight="1" x14ac:dyDescent="0.2">
      <c r="A168" s="105"/>
      <c r="B168" s="84"/>
      <c r="C168" s="173"/>
      <c r="D168" s="169"/>
      <c r="E168" s="71">
        <v>29</v>
      </c>
      <c r="F168" s="345" t="s">
        <v>384</v>
      </c>
      <c r="G168" s="333"/>
      <c r="H168" s="310"/>
      <c r="I168" s="74"/>
      <c r="J168" s="75"/>
      <c r="K168" s="75"/>
      <c r="L168" s="74"/>
      <c r="M168" s="76"/>
      <c r="N168" s="77"/>
      <c r="O168" s="75"/>
      <c r="P168" s="75"/>
      <c r="Q168" s="78"/>
      <c r="R168" s="75"/>
      <c r="S168" s="75"/>
      <c r="T168" s="76"/>
      <c r="U168" s="174"/>
      <c r="V168" s="76"/>
      <c r="W168" s="76"/>
      <c r="X168" s="80">
        <f t="shared" ref="X168:AO168" si="86">SUM(X169:X171)</f>
        <v>0</v>
      </c>
      <c r="Y168" s="80">
        <f t="shared" si="86"/>
        <v>0</v>
      </c>
      <c r="Z168" s="80">
        <f t="shared" si="86"/>
        <v>1058800000</v>
      </c>
      <c r="AA168" s="80">
        <f t="shared" si="86"/>
        <v>1945664802</v>
      </c>
      <c r="AB168" s="80">
        <f t="shared" si="86"/>
        <v>795245192</v>
      </c>
      <c r="AC168" s="80">
        <f t="shared" si="86"/>
        <v>782745192</v>
      </c>
      <c r="AD168" s="80">
        <f t="shared" si="86"/>
        <v>0</v>
      </c>
      <c r="AE168" s="80">
        <f t="shared" si="86"/>
        <v>0</v>
      </c>
      <c r="AF168" s="80">
        <f t="shared" si="86"/>
        <v>0</v>
      </c>
      <c r="AG168" s="80">
        <f t="shared" si="86"/>
        <v>0</v>
      </c>
      <c r="AH168" s="80">
        <f t="shared" si="86"/>
        <v>0</v>
      </c>
      <c r="AI168" s="80">
        <f t="shared" si="86"/>
        <v>0</v>
      </c>
      <c r="AJ168" s="80">
        <f t="shared" si="86"/>
        <v>0</v>
      </c>
      <c r="AK168" s="80">
        <f t="shared" si="86"/>
        <v>0</v>
      </c>
      <c r="AL168" s="80">
        <f t="shared" si="86"/>
        <v>0</v>
      </c>
      <c r="AM168" s="80">
        <f t="shared" si="86"/>
        <v>0</v>
      </c>
      <c r="AN168" s="80">
        <f t="shared" si="86"/>
        <v>0</v>
      </c>
      <c r="AO168" s="80">
        <f t="shared" si="86"/>
        <v>0</v>
      </c>
      <c r="AP168" s="81">
        <f>SUM(AP169:AP171)</f>
        <v>1854045192</v>
      </c>
      <c r="AQ168" s="80">
        <f>SUM(AQ169:AQ171)</f>
        <v>2728409994</v>
      </c>
      <c r="AR168" s="82"/>
      <c r="AS168" s="82"/>
      <c r="AT168" s="82"/>
      <c r="AU168" s="82"/>
      <c r="AV168" s="82"/>
      <c r="AW168" s="82"/>
      <c r="AX168" s="82"/>
      <c r="AY168" s="82"/>
      <c r="AZ168" s="82"/>
      <c r="BA168" s="82">
        <f>SUM(BA169:BA171)</f>
        <v>1265664000</v>
      </c>
      <c r="BB168" s="82"/>
      <c r="BC168" s="82"/>
      <c r="BD168" s="82"/>
      <c r="BE168" s="82"/>
      <c r="BF168" s="82"/>
      <c r="BG168" s="82"/>
      <c r="BH168" s="82"/>
      <c r="BI168" s="82"/>
      <c r="BJ168" s="82"/>
      <c r="BK168" s="82">
        <f>SUM(BK169:BK171)</f>
        <v>1303633920</v>
      </c>
      <c r="BL168" s="82"/>
      <c r="BM168" s="82"/>
      <c r="BN168" s="82"/>
      <c r="BO168" s="82"/>
      <c r="BP168" s="82"/>
      <c r="BQ168" s="82"/>
      <c r="BR168" s="82"/>
      <c r="BS168" s="82"/>
      <c r="BT168" s="82"/>
      <c r="BU168" s="82">
        <f>SUM(BU169:BU171)</f>
        <v>1256979347.6017709</v>
      </c>
      <c r="BV168" s="83">
        <f t="shared" si="77"/>
        <v>3826277267.6017709</v>
      </c>
    </row>
    <row r="169" spans="1:74" ht="85.5" x14ac:dyDescent="0.2">
      <c r="A169" s="84">
        <v>115</v>
      </c>
      <c r="B169" s="84">
        <v>3</v>
      </c>
      <c r="C169" s="173"/>
      <c r="D169" s="173"/>
      <c r="E169" s="117">
        <v>22</v>
      </c>
      <c r="F169" s="86" t="s">
        <v>229</v>
      </c>
      <c r="G169" s="106" t="s">
        <v>230</v>
      </c>
      <c r="H169" s="106" t="s">
        <v>385</v>
      </c>
      <c r="I169" s="89">
        <v>114</v>
      </c>
      <c r="J169" s="90" t="s">
        <v>386</v>
      </c>
      <c r="K169" s="346" t="s">
        <v>387</v>
      </c>
      <c r="L169" s="91" t="s">
        <v>388</v>
      </c>
      <c r="M169" s="308">
        <v>5</v>
      </c>
      <c r="N169" s="147" t="s">
        <v>44</v>
      </c>
      <c r="O169" s="117" t="s">
        <v>39</v>
      </c>
      <c r="P169" s="95">
        <v>30</v>
      </c>
      <c r="Q169" s="248">
        <v>30</v>
      </c>
      <c r="R169" s="117">
        <v>30</v>
      </c>
      <c r="S169" s="117">
        <v>30</v>
      </c>
      <c r="T169" s="117">
        <v>30</v>
      </c>
      <c r="U169" s="273">
        <f>AP169/$AP$168</f>
        <v>0.49537368126892994</v>
      </c>
      <c r="V169" s="95">
        <v>11</v>
      </c>
      <c r="W169" s="98" t="s">
        <v>216</v>
      </c>
      <c r="X169" s="231"/>
      <c r="Y169" s="136"/>
      <c r="Z169" s="231">
        <f>293200000-170000000</f>
        <v>123200000</v>
      </c>
      <c r="AA169" s="249">
        <v>699161201</v>
      </c>
      <c r="AB169" s="136">
        <f>130916000+12500000+639329192+12500000</f>
        <v>795245192</v>
      </c>
      <c r="AC169" s="136">
        <v>782745192</v>
      </c>
      <c r="AD169" s="231"/>
      <c r="AE169" s="136"/>
      <c r="AF169" s="231"/>
      <c r="AG169" s="136"/>
      <c r="AH169" s="231"/>
      <c r="AI169" s="136"/>
      <c r="AJ169" s="231"/>
      <c r="AK169" s="136"/>
      <c r="AL169" s="231"/>
      <c r="AM169" s="136"/>
      <c r="AN169" s="231"/>
      <c r="AO169" s="136"/>
      <c r="AP169" s="99">
        <f>+X169+Z169+AB169+AD169+AF169+AH169+AJ169+AL169+AN169</f>
        <v>918445192</v>
      </c>
      <c r="AQ169" s="100">
        <f>Y169+AA169+AC169+AE169+AG169+AI169+AK169+AM169+AO169</f>
        <v>1481906393</v>
      </c>
      <c r="AR169" s="109"/>
      <c r="AS169" s="109">
        <v>126896000</v>
      </c>
      <c r="AT169" s="146">
        <f>309000000-133900000</f>
        <v>175100000</v>
      </c>
      <c r="AU169" s="138"/>
      <c r="AV169" s="109"/>
      <c r="AW169" s="109"/>
      <c r="AX169" s="109"/>
      <c r="AY169" s="109"/>
      <c r="AZ169" s="109"/>
      <c r="BA169" s="109">
        <f>SUM(AR169:AY169)+AZ169</f>
        <v>301996000</v>
      </c>
      <c r="BB169" s="192"/>
      <c r="BC169" s="192">
        <v>130702880</v>
      </c>
      <c r="BD169" s="146">
        <v>180353000</v>
      </c>
      <c r="BE169" s="146"/>
      <c r="BF169" s="192"/>
      <c r="BG169" s="192"/>
      <c r="BH169" s="192"/>
      <c r="BI169" s="192"/>
      <c r="BJ169" s="192"/>
      <c r="BK169" s="192">
        <f>SUM(BB169:BJ169)</f>
        <v>311055880</v>
      </c>
      <c r="BL169" s="109"/>
      <c r="BM169" s="109">
        <v>199900000</v>
      </c>
      <c r="BN169" s="109">
        <v>100000000</v>
      </c>
      <c r="BO169" s="109"/>
      <c r="BP169" s="109"/>
      <c r="BQ169" s="109"/>
      <c r="BR169" s="109"/>
      <c r="BS169" s="109"/>
      <c r="BT169" s="109"/>
      <c r="BU169" s="109">
        <f>SUM(BL169:BT169)</f>
        <v>299900000</v>
      </c>
      <c r="BV169" s="103">
        <f t="shared" si="77"/>
        <v>1825903760</v>
      </c>
    </row>
    <row r="170" spans="1:74" ht="57" x14ac:dyDescent="0.2">
      <c r="A170" s="105">
        <v>116</v>
      </c>
      <c r="B170" s="84">
        <v>3</v>
      </c>
      <c r="C170" s="173"/>
      <c r="D170" s="173"/>
      <c r="E170" s="111">
        <v>12</v>
      </c>
      <c r="F170" s="154" t="s">
        <v>389</v>
      </c>
      <c r="G170" s="149">
        <v>3166</v>
      </c>
      <c r="H170" s="111">
        <v>2500</v>
      </c>
      <c r="I170" s="89">
        <v>115</v>
      </c>
      <c r="J170" s="90" t="s">
        <v>390</v>
      </c>
      <c r="K170" s="346" t="s">
        <v>391</v>
      </c>
      <c r="L170" s="91" t="s">
        <v>388</v>
      </c>
      <c r="M170" s="308">
        <v>5</v>
      </c>
      <c r="N170" s="117" t="s">
        <v>58</v>
      </c>
      <c r="O170" s="117">
        <v>0</v>
      </c>
      <c r="P170" s="95">
        <v>120</v>
      </c>
      <c r="Q170" s="248">
        <v>16</v>
      </c>
      <c r="R170" s="347">
        <v>35</v>
      </c>
      <c r="S170" s="347">
        <v>35</v>
      </c>
      <c r="T170" s="347">
        <v>34</v>
      </c>
      <c r="U170" s="273">
        <f>AP170/$AP$168</f>
        <v>0.43817702152321647</v>
      </c>
      <c r="V170" s="95">
        <v>11</v>
      </c>
      <c r="W170" s="98" t="s">
        <v>216</v>
      </c>
      <c r="X170" s="231"/>
      <c r="Y170" s="136"/>
      <c r="Z170" s="231">
        <v>812400000</v>
      </c>
      <c r="AA170" s="249">
        <v>1122790002</v>
      </c>
      <c r="AB170" s="231"/>
      <c r="AC170" s="136"/>
      <c r="AD170" s="231"/>
      <c r="AE170" s="136"/>
      <c r="AF170" s="231"/>
      <c r="AG170" s="136"/>
      <c r="AH170" s="231"/>
      <c r="AI170" s="136"/>
      <c r="AJ170" s="231"/>
      <c r="AK170" s="136"/>
      <c r="AL170" s="231"/>
      <c r="AM170" s="136"/>
      <c r="AN170" s="231"/>
      <c r="AO170" s="136"/>
      <c r="AP170" s="99">
        <f>+X170+Z170+AB170+AD170+AF170+AH170+AJ170+AL170+AN170</f>
        <v>812400000</v>
      </c>
      <c r="AQ170" s="100">
        <f>Y170+AA170+AC170+AE170+AG170+AI170+AK170+AM170+AO170</f>
        <v>1122790002</v>
      </c>
      <c r="AR170" s="109"/>
      <c r="AS170" s="109">
        <v>836772000</v>
      </c>
      <c r="AT170" s="109"/>
      <c r="AU170" s="109"/>
      <c r="AV170" s="109"/>
      <c r="AW170" s="109"/>
      <c r="AX170" s="109"/>
      <c r="AY170" s="109"/>
      <c r="AZ170" s="109"/>
      <c r="BA170" s="109">
        <f>SUM(AR170:AY170)+AZ170</f>
        <v>836772000</v>
      </c>
      <c r="BB170" s="192"/>
      <c r="BC170" s="192">
        <v>861875160</v>
      </c>
      <c r="BD170" s="192"/>
      <c r="BE170" s="192"/>
      <c r="BF170" s="192"/>
      <c r="BG170" s="192"/>
      <c r="BH170" s="192"/>
      <c r="BI170" s="192"/>
      <c r="BJ170" s="192"/>
      <c r="BK170" s="192">
        <f>SUM(BB170:BJ170)</f>
        <v>861875160</v>
      </c>
      <c r="BL170" s="109"/>
      <c r="BM170" s="109">
        <v>831000000</v>
      </c>
      <c r="BN170" s="109"/>
      <c r="BO170" s="109"/>
      <c r="BP170" s="109"/>
      <c r="BQ170" s="109"/>
      <c r="BR170" s="109"/>
      <c r="BS170" s="109"/>
      <c r="BT170" s="109"/>
      <c r="BU170" s="109">
        <f>SUM(BL170:BT170)</f>
        <v>831000000</v>
      </c>
      <c r="BV170" s="103">
        <f t="shared" si="77"/>
        <v>5059294320</v>
      </c>
    </row>
    <row r="171" spans="1:74" ht="42.75" x14ac:dyDescent="0.2">
      <c r="A171" s="84">
        <v>117</v>
      </c>
      <c r="B171" s="84">
        <v>3</v>
      </c>
      <c r="C171" s="173"/>
      <c r="D171" s="173"/>
      <c r="E171" s="110"/>
      <c r="F171" s="237"/>
      <c r="G171" s="237"/>
      <c r="H171" s="237"/>
      <c r="I171" s="89">
        <v>116</v>
      </c>
      <c r="J171" s="90" t="s">
        <v>392</v>
      </c>
      <c r="K171" s="346" t="s">
        <v>393</v>
      </c>
      <c r="L171" s="91" t="s">
        <v>388</v>
      </c>
      <c r="M171" s="308">
        <v>5</v>
      </c>
      <c r="N171" s="117" t="s">
        <v>58</v>
      </c>
      <c r="O171" s="117" t="s">
        <v>39</v>
      </c>
      <c r="P171" s="95">
        <v>36</v>
      </c>
      <c r="Q171" s="348">
        <v>5</v>
      </c>
      <c r="R171" s="349">
        <v>11</v>
      </c>
      <c r="S171" s="349">
        <v>10</v>
      </c>
      <c r="T171" s="349">
        <v>10</v>
      </c>
      <c r="U171" s="273">
        <f>AP171/$AP$168</f>
        <v>6.64492972078536E-2</v>
      </c>
      <c r="V171" s="95">
        <v>11</v>
      </c>
      <c r="W171" s="98" t="s">
        <v>216</v>
      </c>
      <c r="X171" s="231"/>
      <c r="Y171" s="136"/>
      <c r="Z171" s="231">
        <v>123200000</v>
      </c>
      <c r="AA171" s="249">
        <v>123713599</v>
      </c>
      <c r="AB171" s="231"/>
      <c r="AC171" s="136"/>
      <c r="AD171" s="231"/>
      <c r="AE171" s="136"/>
      <c r="AF171" s="231"/>
      <c r="AG171" s="136"/>
      <c r="AH171" s="231"/>
      <c r="AI171" s="136"/>
      <c r="AJ171" s="231"/>
      <c r="AK171" s="136"/>
      <c r="AL171" s="231"/>
      <c r="AM171" s="136"/>
      <c r="AN171" s="231"/>
      <c r="AO171" s="136"/>
      <c r="AP171" s="99">
        <f>+X171+Z171+AB171+AD171+AF171+AH171+AJ171+AL171+AN171</f>
        <v>123200000</v>
      </c>
      <c r="AQ171" s="100">
        <f>Y171+AA171+AC171+AE171+AG171+AI171+AK171+AM171+AO171</f>
        <v>123713599</v>
      </c>
      <c r="AR171" s="109"/>
      <c r="AS171" s="109">
        <v>126896000</v>
      </c>
      <c r="AT171" s="109"/>
      <c r="AU171" s="109"/>
      <c r="AV171" s="109"/>
      <c r="AW171" s="109"/>
      <c r="AX171" s="109"/>
      <c r="AY171" s="109"/>
      <c r="AZ171" s="109"/>
      <c r="BA171" s="109">
        <f>SUM(AR171:AY171)+AZ171</f>
        <v>126896000</v>
      </c>
      <c r="BB171" s="192"/>
      <c r="BC171" s="192">
        <v>130702880</v>
      </c>
      <c r="BD171" s="192"/>
      <c r="BE171" s="192"/>
      <c r="BF171" s="192"/>
      <c r="BG171" s="192"/>
      <c r="BH171" s="192"/>
      <c r="BI171" s="192"/>
      <c r="BJ171" s="192"/>
      <c r="BK171" s="192">
        <f>SUM(BB171:BJ171)</f>
        <v>130702880</v>
      </c>
      <c r="BL171" s="109"/>
      <c r="BM171" s="109">
        <v>126079347.60177085</v>
      </c>
      <c r="BN171" s="109"/>
      <c r="BO171" s="109"/>
      <c r="BP171" s="109"/>
      <c r="BQ171" s="109"/>
      <c r="BR171" s="109"/>
      <c r="BS171" s="109"/>
      <c r="BT171" s="109"/>
      <c r="BU171" s="109">
        <f>SUM(BL171:BT171)</f>
        <v>126079347.60177085</v>
      </c>
      <c r="BV171" s="103">
        <f t="shared" si="77"/>
        <v>767356455.20354176</v>
      </c>
    </row>
    <row r="172" spans="1:74" ht="22.5" customHeight="1" x14ac:dyDescent="0.2">
      <c r="A172" s="84"/>
      <c r="B172" s="84"/>
      <c r="C172" s="173"/>
      <c r="D172" s="173"/>
      <c r="E172" s="71">
        <v>30</v>
      </c>
      <c r="F172" s="184" t="s">
        <v>394</v>
      </c>
      <c r="G172" s="350"/>
      <c r="H172" s="185"/>
      <c r="I172" s="74"/>
      <c r="J172" s="75"/>
      <c r="K172" s="75"/>
      <c r="L172" s="74"/>
      <c r="M172" s="76"/>
      <c r="N172" s="77"/>
      <c r="O172" s="75"/>
      <c r="P172" s="75"/>
      <c r="Q172" s="78"/>
      <c r="R172" s="75"/>
      <c r="S172" s="75"/>
      <c r="T172" s="76"/>
      <c r="U172" s="174"/>
      <c r="V172" s="76"/>
      <c r="W172" s="76"/>
      <c r="X172" s="80">
        <f t="shared" ref="X172:AP172" si="87">SUM(X173)</f>
        <v>0</v>
      </c>
      <c r="Y172" s="80">
        <f t="shared" si="87"/>
        <v>0</v>
      </c>
      <c r="Z172" s="80">
        <f t="shared" si="87"/>
        <v>50000000</v>
      </c>
      <c r="AA172" s="80">
        <f t="shared" si="87"/>
        <v>53011024</v>
      </c>
      <c r="AB172" s="80">
        <f t="shared" si="87"/>
        <v>0</v>
      </c>
      <c r="AC172" s="80">
        <f t="shared" si="87"/>
        <v>0</v>
      </c>
      <c r="AD172" s="80">
        <f t="shared" si="87"/>
        <v>0</v>
      </c>
      <c r="AE172" s="80">
        <f t="shared" si="87"/>
        <v>0</v>
      </c>
      <c r="AF172" s="80">
        <f t="shared" si="87"/>
        <v>0</v>
      </c>
      <c r="AG172" s="80">
        <f t="shared" si="87"/>
        <v>0</v>
      </c>
      <c r="AH172" s="80">
        <f t="shared" si="87"/>
        <v>0</v>
      </c>
      <c r="AI172" s="80">
        <f t="shared" si="87"/>
        <v>0</v>
      </c>
      <c r="AJ172" s="80">
        <f t="shared" si="87"/>
        <v>0</v>
      </c>
      <c r="AK172" s="80">
        <f t="shared" si="87"/>
        <v>0</v>
      </c>
      <c r="AL172" s="80">
        <f t="shared" si="87"/>
        <v>0</v>
      </c>
      <c r="AM172" s="80">
        <f t="shared" si="87"/>
        <v>0</v>
      </c>
      <c r="AN172" s="80">
        <f t="shared" si="87"/>
        <v>0</v>
      </c>
      <c r="AO172" s="80">
        <f t="shared" si="87"/>
        <v>0</v>
      </c>
      <c r="AP172" s="80">
        <f t="shared" si="87"/>
        <v>50000000</v>
      </c>
      <c r="AQ172" s="80">
        <f>SUM(AQ173)</f>
        <v>53011024</v>
      </c>
      <c r="AR172" s="82"/>
      <c r="AS172" s="82"/>
      <c r="AT172" s="82"/>
      <c r="AU172" s="82"/>
      <c r="AV172" s="82"/>
      <c r="AW172" s="82"/>
      <c r="AX172" s="82"/>
      <c r="AY172" s="82"/>
      <c r="AZ172" s="82"/>
      <c r="BA172" s="82">
        <f>SUM(BA173)</f>
        <v>51500000</v>
      </c>
      <c r="BB172" s="82"/>
      <c r="BC172" s="82"/>
      <c r="BD172" s="82"/>
      <c r="BE172" s="82"/>
      <c r="BF172" s="82"/>
      <c r="BG172" s="82"/>
      <c r="BH172" s="82"/>
      <c r="BI172" s="82"/>
      <c r="BJ172" s="82"/>
      <c r="BK172" s="82">
        <f>SUM(BK173)</f>
        <v>53045000</v>
      </c>
      <c r="BL172" s="82"/>
      <c r="BM172" s="82"/>
      <c r="BN172" s="82"/>
      <c r="BO172" s="82"/>
      <c r="BP172" s="82"/>
      <c r="BQ172" s="82"/>
      <c r="BR172" s="82"/>
      <c r="BS172" s="82"/>
      <c r="BT172" s="82"/>
      <c r="BU172" s="82">
        <f>SUM(BU173)</f>
        <v>54636350</v>
      </c>
      <c r="BV172" s="83">
        <f t="shared" si="77"/>
        <v>159181350</v>
      </c>
    </row>
    <row r="173" spans="1:74" ht="60.75" customHeight="1" x14ac:dyDescent="0.2">
      <c r="A173" s="105">
        <v>118</v>
      </c>
      <c r="B173" s="84">
        <v>3</v>
      </c>
      <c r="C173" s="173"/>
      <c r="D173" s="173"/>
      <c r="E173" s="117">
        <v>7</v>
      </c>
      <c r="F173" s="351" t="s">
        <v>395</v>
      </c>
      <c r="G173" s="88" t="s">
        <v>118</v>
      </c>
      <c r="H173" s="252">
        <v>0.27</v>
      </c>
      <c r="I173" s="577">
        <v>117</v>
      </c>
      <c r="J173" s="627" t="s">
        <v>396</v>
      </c>
      <c r="K173" s="645" t="s">
        <v>397</v>
      </c>
      <c r="L173" s="577" t="s">
        <v>388</v>
      </c>
      <c r="M173" s="647">
        <v>5</v>
      </c>
      <c r="N173" s="645" t="s">
        <v>58</v>
      </c>
      <c r="O173" s="645" t="s">
        <v>39</v>
      </c>
      <c r="P173" s="645">
        <v>5</v>
      </c>
      <c r="Q173" s="647">
        <v>1</v>
      </c>
      <c r="R173" s="645">
        <v>1</v>
      </c>
      <c r="S173" s="645">
        <v>2</v>
      </c>
      <c r="T173" s="645">
        <v>1</v>
      </c>
      <c r="U173" s="637">
        <f>AP173/AP172</f>
        <v>1</v>
      </c>
      <c r="V173" s="607">
        <v>8</v>
      </c>
      <c r="W173" s="607" t="s">
        <v>121</v>
      </c>
      <c r="X173" s="633"/>
      <c r="Y173" s="636"/>
      <c r="Z173" s="633">
        <v>50000000</v>
      </c>
      <c r="AA173" s="636">
        <v>53011024</v>
      </c>
      <c r="AB173" s="633"/>
      <c r="AC173" s="636"/>
      <c r="AD173" s="633"/>
      <c r="AE173" s="636"/>
      <c r="AF173" s="633"/>
      <c r="AG173" s="636"/>
      <c r="AH173" s="633"/>
      <c r="AI173" s="636"/>
      <c r="AJ173" s="633"/>
      <c r="AK173" s="636"/>
      <c r="AL173" s="633"/>
      <c r="AM173" s="636"/>
      <c r="AN173" s="633"/>
      <c r="AO173" s="636"/>
      <c r="AP173" s="640">
        <f>+X173+Z173+AB173+AD173+AF173+AH173+AJ173+AL173+AN173</f>
        <v>50000000</v>
      </c>
      <c r="AQ173" s="640">
        <f>Y173+AA173+AC173+AE173+AG173+AI173+AK173+AM173+AO173</f>
        <v>53011024</v>
      </c>
      <c r="AR173" s="649"/>
      <c r="AS173" s="649">
        <v>51500000</v>
      </c>
      <c r="AT173" s="649"/>
      <c r="AU173" s="640"/>
      <c r="AV173" s="649"/>
      <c r="AW173" s="649"/>
      <c r="AX173" s="649"/>
      <c r="AY173" s="649"/>
      <c r="AZ173" s="649"/>
      <c r="BA173" s="649">
        <f>SUM(AR173:AZ174)</f>
        <v>51500000</v>
      </c>
      <c r="BB173" s="649"/>
      <c r="BC173" s="649">
        <v>53045000</v>
      </c>
      <c r="BD173" s="649"/>
      <c r="BE173" s="352"/>
      <c r="BF173" s="649"/>
      <c r="BG173" s="649"/>
      <c r="BH173" s="649"/>
      <c r="BI173" s="649"/>
      <c r="BJ173" s="649"/>
      <c r="BK173" s="649">
        <f>SUM(BB173:BJ174)</f>
        <v>53045000</v>
      </c>
      <c r="BL173" s="611"/>
      <c r="BM173" s="611">
        <v>54636350</v>
      </c>
      <c r="BN173" s="611"/>
      <c r="BO173" s="303"/>
      <c r="BP173" s="611"/>
      <c r="BQ173" s="611"/>
      <c r="BR173" s="611"/>
      <c r="BS173" s="611"/>
      <c r="BT173" s="611"/>
      <c r="BU173" s="611">
        <f>SUM(BL173:BT174)</f>
        <v>54636350</v>
      </c>
      <c r="BV173" s="613">
        <f t="shared" si="77"/>
        <v>318362700</v>
      </c>
    </row>
    <row r="174" spans="1:74" ht="71.25" x14ac:dyDescent="0.2">
      <c r="A174" s="105"/>
      <c r="B174" s="84"/>
      <c r="C174" s="173"/>
      <c r="D174" s="173"/>
      <c r="E174" s="110">
        <v>5</v>
      </c>
      <c r="F174" s="353" t="s">
        <v>398</v>
      </c>
      <c r="G174" s="196" t="s">
        <v>107</v>
      </c>
      <c r="H174" s="196" t="s">
        <v>107</v>
      </c>
      <c r="I174" s="578"/>
      <c r="J174" s="629"/>
      <c r="K174" s="646"/>
      <c r="L174" s="578"/>
      <c r="M174" s="648"/>
      <c r="N174" s="646"/>
      <c r="O174" s="646"/>
      <c r="P174" s="646"/>
      <c r="Q174" s="648"/>
      <c r="R174" s="646"/>
      <c r="S174" s="646"/>
      <c r="T174" s="646"/>
      <c r="U174" s="639"/>
      <c r="V174" s="608"/>
      <c r="W174" s="608"/>
      <c r="X174" s="635"/>
      <c r="Y174" s="636"/>
      <c r="Z174" s="635"/>
      <c r="AA174" s="636"/>
      <c r="AB174" s="635"/>
      <c r="AC174" s="636"/>
      <c r="AD174" s="635"/>
      <c r="AE174" s="636"/>
      <c r="AF174" s="635"/>
      <c r="AG174" s="636"/>
      <c r="AH174" s="635"/>
      <c r="AI174" s="636"/>
      <c r="AJ174" s="635"/>
      <c r="AK174" s="636"/>
      <c r="AL174" s="635"/>
      <c r="AM174" s="636"/>
      <c r="AN174" s="635"/>
      <c r="AO174" s="636"/>
      <c r="AP174" s="642"/>
      <c r="AQ174" s="642"/>
      <c r="AR174" s="650"/>
      <c r="AS174" s="650"/>
      <c r="AT174" s="650"/>
      <c r="AU174" s="642"/>
      <c r="AV174" s="650"/>
      <c r="AW174" s="650"/>
      <c r="AX174" s="650"/>
      <c r="AY174" s="650"/>
      <c r="AZ174" s="650"/>
      <c r="BA174" s="650"/>
      <c r="BB174" s="650"/>
      <c r="BC174" s="650"/>
      <c r="BD174" s="650"/>
      <c r="BE174" s="354"/>
      <c r="BF174" s="650"/>
      <c r="BG174" s="650"/>
      <c r="BH174" s="650"/>
      <c r="BI174" s="650"/>
      <c r="BJ174" s="650"/>
      <c r="BK174" s="650"/>
      <c r="BL174" s="612"/>
      <c r="BM174" s="612"/>
      <c r="BN174" s="612"/>
      <c r="BO174" s="305"/>
      <c r="BP174" s="612"/>
      <c r="BQ174" s="612"/>
      <c r="BR174" s="612"/>
      <c r="BS174" s="612"/>
      <c r="BT174" s="612"/>
      <c r="BU174" s="612"/>
      <c r="BV174" s="614"/>
    </row>
    <row r="175" spans="1:74" ht="22.5" customHeight="1" x14ac:dyDescent="0.2">
      <c r="A175" s="105"/>
      <c r="B175" s="84"/>
      <c r="C175" s="173"/>
      <c r="D175" s="173"/>
      <c r="E175" s="71">
        <v>31</v>
      </c>
      <c r="F175" s="72" t="s">
        <v>399</v>
      </c>
      <c r="G175" s="124"/>
      <c r="H175" s="75"/>
      <c r="I175" s="74"/>
      <c r="J175" s="75"/>
      <c r="K175" s="75"/>
      <c r="L175" s="74"/>
      <c r="M175" s="76"/>
      <c r="N175" s="77"/>
      <c r="O175" s="75"/>
      <c r="P175" s="75"/>
      <c r="Q175" s="78"/>
      <c r="R175" s="75"/>
      <c r="S175" s="75"/>
      <c r="T175" s="76"/>
      <c r="U175" s="174"/>
      <c r="V175" s="76"/>
      <c r="W175" s="76"/>
      <c r="X175" s="80">
        <f t="shared" ref="X175:AO175" si="88">SUM(X176)</f>
        <v>0</v>
      </c>
      <c r="Y175" s="80">
        <f t="shared" si="88"/>
        <v>0</v>
      </c>
      <c r="Z175" s="80">
        <f t="shared" si="88"/>
        <v>123200000</v>
      </c>
      <c r="AA175" s="80">
        <f t="shared" si="88"/>
        <v>174931667</v>
      </c>
      <c r="AB175" s="80">
        <f t="shared" si="88"/>
        <v>0</v>
      </c>
      <c r="AC175" s="80">
        <f t="shared" si="88"/>
        <v>12500000</v>
      </c>
      <c r="AD175" s="80">
        <f t="shared" si="88"/>
        <v>0</v>
      </c>
      <c r="AE175" s="80">
        <f t="shared" si="88"/>
        <v>0</v>
      </c>
      <c r="AF175" s="80">
        <f t="shared" si="88"/>
        <v>0</v>
      </c>
      <c r="AG175" s="80">
        <f t="shared" si="88"/>
        <v>0</v>
      </c>
      <c r="AH175" s="80">
        <f t="shared" si="88"/>
        <v>0</v>
      </c>
      <c r="AI175" s="80">
        <f t="shared" si="88"/>
        <v>0</v>
      </c>
      <c r="AJ175" s="80">
        <f t="shared" si="88"/>
        <v>0</v>
      </c>
      <c r="AK175" s="80">
        <f t="shared" si="88"/>
        <v>0</v>
      </c>
      <c r="AL175" s="80">
        <f t="shared" si="88"/>
        <v>0</v>
      </c>
      <c r="AM175" s="80">
        <f t="shared" si="88"/>
        <v>0</v>
      </c>
      <c r="AN175" s="80">
        <f t="shared" si="88"/>
        <v>0</v>
      </c>
      <c r="AO175" s="80">
        <f t="shared" si="88"/>
        <v>0</v>
      </c>
      <c r="AP175" s="81">
        <f>SUM(AP176)</f>
        <v>123200000</v>
      </c>
      <c r="AQ175" s="80">
        <f>SUM(AQ176)</f>
        <v>187431667</v>
      </c>
      <c r="AR175" s="82"/>
      <c r="AS175" s="82"/>
      <c r="AT175" s="82"/>
      <c r="AU175" s="82"/>
      <c r="AV175" s="82"/>
      <c r="AW175" s="82"/>
      <c r="AX175" s="82"/>
      <c r="AY175" s="82"/>
      <c r="AZ175" s="82"/>
      <c r="BA175" s="82">
        <f>SUM(BA176)</f>
        <v>126896000</v>
      </c>
      <c r="BB175" s="82"/>
      <c r="BC175" s="82"/>
      <c r="BD175" s="82"/>
      <c r="BE175" s="82"/>
      <c r="BF175" s="82"/>
      <c r="BG175" s="82"/>
      <c r="BH175" s="82"/>
      <c r="BI175" s="82"/>
      <c r="BJ175" s="82"/>
      <c r="BK175" s="82">
        <f>SUM(BK176)</f>
        <v>130702880</v>
      </c>
      <c r="BL175" s="82"/>
      <c r="BM175" s="82"/>
      <c r="BN175" s="82"/>
      <c r="BO175" s="82"/>
      <c r="BP175" s="82"/>
      <c r="BQ175" s="82"/>
      <c r="BR175" s="82"/>
      <c r="BS175" s="82"/>
      <c r="BT175" s="82"/>
      <c r="BU175" s="82">
        <f>SUM(BU176)</f>
        <v>134623966.40000001</v>
      </c>
      <c r="BV175" s="83">
        <f t="shared" ref="BV175:BV206" si="89">SUM(AR175:BU175)</f>
        <v>392222846.39999998</v>
      </c>
    </row>
    <row r="176" spans="1:74" ht="140.25" customHeight="1" x14ac:dyDescent="0.2">
      <c r="A176" s="84">
        <v>119</v>
      </c>
      <c r="B176" s="84">
        <v>3</v>
      </c>
      <c r="C176" s="173"/>
      <c r="D176" s="237"/>
      <c r="E176" s="117">
        <v>14</v>
      </c>
      <c r="F176" s="86" t="s">
        <v>400</v>
      </c>
      <c r="G176" s="88" t="s">
        <v>262</v>
      </c>
      <c r="H176" s="252">
        <v>0.03</v>
      </c>
      <c r="I176" s="94">
        <v>118</v>
      </c>
      <c r="J176" s="90" t="s">
        <v>401</v>
      </c>
      <c r="K176" s="346" t="s">
        <v>402</v>
      </c>
      <c r="L176" s="242" t="s">
        <v>388</v>
      </c>
      <c r="M176" s="355">
        <v>5</v>
      </c>
      <c r="N176" s="356" t="s">
        <v>58</v>
      </c>
      <c r="O176" s="117">
        <v>16</v>
      </c>
      <c r="P176" s="117">
        <v>20</v>
      </c>
      <c r="Q176" s="312">
        <v>4</v>
      </c>
      <c r="R176" s="85">
        <v>6</v>
      </c>
      <c r="S176" s="85">
        <v>6</v>
      </c>
      <c r="T176" s="85">
        <v>4</v>
      </c>
      <c r="U176" s="357">
        <f>AP176/AP175</f>
        <v>1</v>
      </c>
      <c r="V176" s="95">
        <v>4</v>
      </c>
      <c r="W176" s="190" t="s">
        <v>100</v>
      </c>
      <c r="X176" s="319"/>
      <c r="Y176" s="136"/>
      <c r="Z176" s="141">
        <v>123200000</v>
      </c>
      <c r="AA176" s="141">
        <v>174931667</v>
      </c>
      <c r="AB176" s="319"/>
      <c r="AC176" s="136">
        <v>12500000</v>
      </c>
      <c r="AD176" s="319"/>
      <c r="AE176" s="136"/>
      <c r="AF176" s="319"/>
      <c r="AG176" s="136"/>
      <c r="AH176" s="319"/>
      <c r="AI176" s="136"/>
      <c r="AJ176" s="319"/>
      <c r="AK176" s="136"/>
      <c r="AL176" s="319"/>
      <c r="AM176" s="136"/>
      <c r="AN176" s="319"/>
      <c r="AO176" s="136"/>
      <c r="AP176" s="99">
        <f>+X176+Z176+AB176+AD176+AF176+AH176+AJ176+AL176+AN176</f>
        <v>123200000</v>
      </c>
      <c r="AQ176" s="100">
        <f>Y176+AA176+AC176+AE176+AG176+AI176+AK176+AM176+AO176</f>
        <v>187431667</v>
      </c>
      <c r="AR176" s="109"/>
      <c r="AS176" s="109">
        <v>126896000</v>
      </c>
      <c r="AT176" s="109"/>
      <c r="AU176" s="109"/>
      <c r="AV176" s="109"/>
      <c r="AW176" s="109"/>
      <c r="AX176" s="109"/>
      <c r="AY176" s="109"/>
      <c r="AZ176" s="109"/>
      <c r="BA176" s="109">
        <f>SUM(AR176:AZ176)</f>
        <v>126896000</v>
      </c>
      <c r="BB176" s="192"/>
      <c r="BC176" s="192">
        <v>130702880</v>
      </c>
      <c r="BD176" s="192"/>
      <c r="BE176" s="192"/>
      <c r="BF176" s="192"/>
      <c r="BG176" s="192"/>
      <c r="BH176" s="192"/>
      <c r="BI176" s="192"/>
      <c r="BJ176" s="192"/>
      <c r="BK176" s="192">
        <f>SUM(BB176:BJ176)</f>
        <v>130702880</v>
      </c>
      <c r="BL176" s="109"/>
      <c r="BM176" s="109">
        <v>134623966.40000001</v>
      </c>
      <c r="BN176" s="109"/>
      <c r="BO176" s="109"/>
      <c r="BP176" s="109"/>
      <c r="BQ176" s="109"/>
      <c r="BR176" s="109"/>
      <c r="BS176" s="109"/>
      <c r="BT176" s="109"/>
      <c r="BU176" s="109">
        <f>SUM(BL176:BT176)</f>
        <v>134623966.40000001</v>
      </c>
      <c r="BV176" s="103">
        <f t="shared" si="89"/>
        <v>784445692.79999995</v>
      </c>
    </row>
    <row r="177" spans="1:74" ht="22.5" customHeight="1" x14ac:dyDescent="0.2">
      <c r="A177" s="84"/>
      <c r="B177" s="84"/>
      <c r="C177" s="173"/>
      <c r="D177" s="56">
        <v>10</v>
      </c>
      <c r="E177" s="170" t="s">
        <v>403</v>
      </c>
      <c r="F177" s="58"/>
      <c r="G177" s="58"/>
      <c r="H177" s="58"/>
      <c r="I177" s="358"/>
      <c r="J177" s="61"/>
      <c r="K177" s="61"/>
      <c r="L177" s="62"/>
      <c r="M177" s="60"/>
      <c r="N177" s="63"/>
      <c r="O177" s="61"/>
      <c r="P177" s="61"/>
      <c r="Q177" s="64"/>
      <c r="R177" s="61"/>
      <c r="S177" s="61"/>
      <c r="T177" s="60"/>
      <c r="U177" s="171"/>
      <c r="V177" s="60"/>
      <c r="W177" s="60"/>
      <c r="X177" s="66">
        <f t="shared" ref="X177:AO177" si="90">+X178+X180</f>
        <v>0</v>
      </c>
      <c r="Y177" s="66">
        <f t="shared" si="90"/>
        <v>0</v>
      </c>
      <c r="Z177" s="66">
        <f t="shared" si="90"/>
        <v>333032525</v>
      </c>
      <c r="AA177" s="66">
        <f t="shared" si="90"/>
        <v>312865735</v>
      </c>
      <c r="AB177" s="66">
        <f t="shared" si="90"/>
        <v>90000000</v>
      </c>
      <c r="AC177" s="66">
        <f t="shared" si="90"/>
        <v>90000000</v>
      </c>
      <c r="AD177" s="66">
        <f t="shared" si="90"/>
        <v>0</v>
      </c>
      <c r="AE177" s="66">
        <f t="shared" si="90"/>
        <v>0</v>
      </c>
      <c r="AF177" s="66">
        <f t="shared" si="90"/>
        <v>0</v>
      </c>
      <c r="AG177" s="66">
        <f t="shared" si="90"/>
        <v>0</v>
      </c>
      <c r="AH177" s="66">
        <f t="shared" si="90"/>
        <v>0</v>
      </c>
      <c r="AI177" s="66">
        <f t="shared" si="90"/>
        <v>0</v>
      </c>
      <c r="AJ177" s="66">
        <f t="shared" si="90"/>
        <v>0</v>
      </c>
      <c r="AK177" s="66">
        <f t="shared" si="90"/>
        <v>0</v>
      </c>
      <c r="AL177" s="66">
        <f t="shared" si="90"/>
        <v>0</v>
      </c>
      <c r="AM177" s="66">
        <f t="shared" si="90"/>
        <v>0</v>
      </c>
      <c r="AN177" s="66">
        <f t="shared" si="90"/>
        <v>0</v>
      </c>
      <c r="AO177" s="66">
        <f t="shared" si="90"/>
        <v>0</v>
      </c>
      <c r="AP177" s="66">
        <f>+AP178+AP180</f>
        <v>423032525</v>
      </c>
      <c r="AQ177" s="66">
        <f>+AQ178+AQ180</f>
        <v>402865735</v>
      </c>
      <c r="AR177" s="68"/>
      <c r="AS177" s="68"/>
      <c r="AT177" s="68"/>
      <c r="AU177" s="68"/>
      <c r="AV177" s="68"/>
      <c r="AW177" s="68"/>
      <c r="AX177" s="68"/>
      <c r="AY177" s="68"/>
      <c r="AZ177" s="68"/>
      <c r="BA177" s="68">
        <f>BA178+BA180</f>
        <v>470849833</v>
      </c>
      <c r="BB177" s="68"/>
      <c r="BC177" s="68"/>
      <c r="BD177" s="68"/>
      <c r="BE177" s="68"/>
      <c r="BF177" s="68"/>
      <c r="BG177" s="68"/>
      <c r="BH177" s="68"/>
      <c r="BI177" s="68"/>
      <c r="BJ177" s="68"/>
      <c r="BK177" s="68">
        <f>BK178+BK180</f>
        <v>318705328</v>
      </c>
      <c r="BL177" s="68"/>
      <c r="BM177" s="68"/>
      <c r="BN177" s="68"/>
      <c r="BO177" s="68"/>
      <c r="BP177" s="68"/>
      <c r="BQ177" s="68"/>
      <c r="BR177" s="68"/>
      <c r="BS177" s="68"/>
      <c r="BT177" s="68"/>
      <c r="BU177" s="68">
        <f>BU178+BU180</f>
        <v>296380078</v>
      </c>
      <c r="BV177" s="172">
        <f t="shared" si="89"/>
        <v>1085935239</v>
      </c>
    </row>
    <row r="178" spans="1:74" ht="22.5" customHeight="1" x14ac:dyDescent="0.2">
      <c r="A178" s="84"/>
      <c r="B178" s="84"/>
      <c r="C178" s="173"/>
      <c r="D178" s="169"/>
      <c r="E178" s="71">
        <v>32</v>
      </c>
      <c r="F178" s="72" t="s">
        <v>404</v>
      </c>
      <c r="G178" s="75"/>
      <c r="H178" s="75"/>
      <c r="I178" s="74"/>
      <c r="J178" s="75"/>
      <c r="K178" s="75"/>
      <c r="L178" s="74"/>
      <c r="M178" s="76"/>
      <c r="N178" s="77"/>
      <c r="O178" s="75"/>
      <c r="P178" s="75"/>
      <c r="Q178" s="78"/>
      <c r="R178" s="75"/>
      <c r="S178" s="75"/>
      <c r="T178" s="76"/>
      <c r="U178" s="174"/>
      <c r="V178" s="76"/>
      <c r="W178" s="76"/>
      <c r="X178" s="80">
        <f t="shared" ref="X178:AO178" si="91">SUM(X179)</f>
        <v>0</v>
      </c>
      <c r="Y178" s="80">
        <f t="shared" si="91"/>
        <v>0</v>
      </c>
      <c r="Z178" s="80">
        <f t="shared" si="91"/>
        <v>333032525</v>
      </c>
      <c r="AA178" s="80">
        <f t="shared" si="91"/>
        <v>312865735</v>
      </c>
      <c r="AB178" s="80">
        <f t="shared" si="91"/>
        <v>60000000</v>
      </c>
      <c r="AC178" s="80">
        <f t="shared" si="91"/>
        <v>60000000</v>
      </c>
      <c r="AD178" s="80">
        <f t="shared" si="91"/>
        <v>0</v>
      </c>
      <c r="AE178" s="80">
        <f t="shared" si="91"/>
        <v>0</v>
      </c>
      <c r="AF178" s="80">
        <f t="shared" si="91"/>
        <v>0</v>
      </c>
      <c r="AG178" s="80">
        <f t="shared" si="91"/>
        <v>0</v>
      </c>
      <c r="AH178" s="80">
        <f t="shared" si="91"/>
        <v>0</v>
      </c>
      <c r="AI178" s="80">
        <f t="shared" si="91"/>
        <v>0</v>
      </c>
      <c r="AJ178" s="80">
        <f t="shared" si="91"/>
        <v>0</v>
      </c>
      <c r="AK178" s="80">
        <f t="shared" si="91"/>
        <v>0</v>
      </c>
      <c r="AL178" s="80">
        <f t="shared" si="91"/>
        <v>0</v>
      </c>
      <c r="AM178" s="80">
        <f t="shared" si="91"/>
        <v>0</v>
      </c>
      <c r="AN178" s="80">
        <f t="shared" si="91"/>
        <v>0</v>
      </c>
      <c r="AO178" s="80">
        <f t="shared" si="91"/>
        <v>0</v>
      </c>
      <c r="AP178" s="80">
        <f>SUM(AP179)</f>
        <v>393032525</v>
      </c>
      <c r="AQ178" s="80">
        <f>SUM(AQ179)</f>
        <v>372865735</v>
      </c>
      <c r="AR178" s="82"/>
      <c r="AS178" s="82"/>
      <c r="AT178" s="82"/>
      <c r="AU178" s="82"/>
      <c r="AV178" s="82"/>
      <c r="AW178" s="82"/>
      <c r="AX178" s="82"/>
      <c r="AY178" s="82"/>
      <c r="AZ178" s="82"/>
      <c r="BA178" s="82">
        <f>SUM(BA179)</f>
        <v>430849833</v>
      </c>
      <c r="BB178" s="82"/>
      <c r="BC178" s="82"/>
      <c r="BD178" s="82"/>
      <c r="BE178" s="82"/>
      <c r="BF178" s="82"/>
      <c r="BG178" s="82"/>
      <c r="BH178" s="82"/>
      <c r="BI178" s="82"/>
      <c r="BJ178" s="82"/>
      <c r="BK178" s="82">
        <f>SUM(BK179)</f>
        <v>303705328</v>
      </c>
      <c r="BL178" s="82"/>
      <c r="BM178" s="82"/>
      <c r="BN178" s="82"/>
      <c r="BO178" s="82"/>
      <c r="BP178" s="82"/>
      <c r="BQ178" s="82"/>
      <c r="BR178" s="82"/>
      <c r="BS178" s="82"/>
      <c r="BT178" s="82"/>
      <c r="BU178" s="82">
        <f>SUM(BU179)</f>
        <v>281380078</v>
      </c>
      <c r="BV178" s="83">
        <f t="shared" si="89"/>
        <v>1015935239</v>
      </c>
    </row>
    <row r="179" spans="1:74" ht="147.75" customHeight="1" x14ac:dyDescent="0.2">
      <c r="A179" s="105">
        <v>120</v>
      </c>
      <c r="B179" s="84">
        <v>3</v>
      </c>
      <c r="C179" s="173"/>
      <c r="D179" s="173"/>
      <c r="E179" s="117">
        <v>6</v>
      </c>
      <c r="F179" s="359" t="s">
        <v>217</v>
      </c>
      <c r="G179" s="95" t="s">
        <v>113</v>
      </c>
      <c r="H179" s="95" t="s">
        <v>114</v>
      </c>
      <c r="I179" s="94">
        <v>119</v>
      </c>
      <c r="J179" s="90" t="s">
        <v>405</v>
      </c>
      <c r="K179" s="346" t="s">
        <v>387</v>
      </c>
      <c r="L179" s="91" t="s">
        <v>388</v>
      </c>
      <c r="M179" s="308">
        <v>5</v>
      </c>
      <c r="N179" s="147" t="s">
        <v>58</v>
      </c>
      <c r="O179" s="117">
        <v>10</v>
      </c>
      <c r="P179" s="117">
        <v>32</v>
      </c>
      <c r="Q179" s="248">
        <v>7</v>
      </c>
      <c r="R179" s="117">
        <v>9</v>
      </c>
      <c r="S179" s="117">
        <v>9</v>
      </c>
      <c r="T179" s="117">
        <v>7</v>
      </c>
      <c r="U179" s="273">
        <f>AP179/AP178</f>
        <v>1</v>
      </c>
      <c r="V179" s="95">
        <v>11</v>
      </c>
      <c r="W179" s="92" t="s">
        <v>216</v>
      </c>
      <c r="X179" s="231"/>
      <c r="Y179" s="136"/>
      <c r="Z179" s="231">
        <v>333032525</v>
      </c>
      <c r="AA179" s="231">
        <v>312865735</v>
      </c>
      <c r="AB179" s="142">
        <v>60000000</v>
      </c>
      <c r="AC179" s="142">
        <v>60000000</v>
      </c>
      <c r="AD179" s="141"/>
      <c r="AE179" s="142"/>
      <c r="AF179" s="231"/>
      <c r="AG179" s="136"/>
      <c r="AH179" s="231"/>
      <c r="AI179" s="136"/>
      <c r="AJ179" s="231"/>
      <c r="AK179" s="136"/>
      <c r="AL179" s="231"/>
      <c r="AM179" s="136"/>
      <c r="AN179" s="231"/>
      <c r="AO179" s="136"/>
      <c r="AP179" s="99">
        <f>+X179+Z179+AB179+AD179+AF179+AH179+AJ179+AL179+AN179</f>
        <v>393032525</v>
      </c>
      <c r="AQ179" s="100">
        <f>Y179+AA179+AC179+AE179+AG179+AI179+AK179+AM179+AO179</f>
        <v>372865735</v>
      </c>
      <c r="AR179" s="109"/>
      <c r="AS179" s="109">
        <v>236949833</v>
      </c>
      <c r="AT179" s="205">
        <v>193900000</v>
      </c>
      <c r="AU179" s="205"/>
      <c r="AV179" s="109"/>
      <c r="AW179" s="109"/>
      <c r="AX179" s="109"/>
      <c r="AY179" s="109"/>
      <c r="AZ179" s="109"/>
      <c r="BA179" s="109">
        <f>SUM(AR179:AZ179)</f>
        <v>430849833</v>
      </c>
      <c r="BB179" s="192"/>
      <c r="BC179" s="192">
        <v>244058328</v>
      </c>
      <c r="BD179" s="206">
        <v>59647000</v>
      </c>
      <c r="BE179" s="206"/>
      <c r="BF179" s="192"/>
      <c r="BG179" s="192"/>
      <c r="BH179" s="192"/>
      <c r="BI179" s="192"/>
      <c r="BJ179" s="192"/>
      <c r="BK179" s="192">
        <f>SUM(BB179:BJ179)</f>
        <v>303705328</v>
      </c>
      <c r="BL179" s="109"/>
      <c r="BM179" s="109">
        <v>251380078</v>
      </c>
      <c r="BN179" s="192">
        <v>30000000</v>
      </c>
      <c r="BO179" s="109"/>
      <c r="BP179" s="109"/>
      <c r="BQ179" s="109"/>
      <c r="BR179" s="109"/>
      <c r="BS179" s="109"/>
      <c r="BT179" s="109"/>
      <c r="BU179" s="109">
        <f>SUM(BL179:BT179)</f>
        <v>281380078</v>
      </c>
      <c r="BV179" s="103">
        <f t="shared" si="89"/>
        <v>2031870478</v>
      </c>
    </row>
    <row r="180" spans="1:74" ht="22.5" customHeight="1" x14ac:dyDescent="0.2">
      <c r="A180" s="105"/>
      <c r="B180" s="84"/>
      <c r="C180" s="173"/>
      <c r="D180" s="173"/>
      <c r="E180" s="71">
        <v>33</v>
      </c>
      <c r="F180" s="72" t="s">
        <v>406</v>
      </c>
      <c r="G180" s="75"/>
      <c r="H180" s="75"/>
      <c r="I180" s="74"/>
      <c r="J180" s="75"/>
      <c r="K180" s="75"/>
      <c r="L180" s="74"/>
      <c r="M180" s="76"/>
      <c r="N180" s="77"/>
      <c r="O180" s="75"/>
      <c r="P180" s="75"/>
      <c r="Q180" s="78"/>
      <c r="R180" s="75"/>
      <c r="S180" s="75"/>
      <c r="T180" s="76"/>
      <c r="U180" s="174"/>
      <c r="V180" s="76"/>
      <c r="W180" s="76"/>
      <c r="X180" s="80">
        <f t="shared" ref="X180:AO180" si="92">SUM(X181:X182)</f>
        <v>0</v>
      </c>
      <c r="Y180" s="80">
        <f t="shared" si="92"/>
        <v>0</v>
      </c>
      <c r="Z180" s="80">
        <f t="shared" si="92"/>
        <v>0</v>
      </c>
      <c r="AA180" s="80">
        <f t="shared" si="92"/>
        <v>0</v>
      </c>
      <c r="AB180" s="80">
        <f t="shared" si="92"/>
        <v>30000000</v>
      </c>
      <c r="AC180" s="80">
        <f t="shared" si="92"/>
        <v>30000000</v>
      </c>
      <c r="AD180" s="80">
        <f t="shared" si="92"/>
        <v>0</v>
      </c>
      <c r="AE180" s="80">
        <f t="shared" si="92"/>
        <v>0</v>
      </c>
      <c r="AF180" s="80">
        <f t="shared" si="92"/>
        <v>0</v>
      </c>
      <c r="AG180" s="80">
        <f t="shared" si="92"/>
        <v>0</v>
      </c>
      <c r="AH180" s="80">
        <f t="shared" si="92"/>
        <v>0</v>
      </c>
      <c r="AI180" s="80">
        <f t="shared" si="92"/>
        <v>0</v>
      </c>
      <c r="AJ180" s="80">
        <f t="shared" si="92"/>
        <v>0</v>
      </c>
      <c r="AK180" s="80">
        <f t="shared" si="92"/>
        <v>0</v>
      </c>
      <c r="AL180" s="80">
        <f t="shared" si="92"/>
        <v>0</v>
      </c>
      <c r="AM180" s="80">
        <f t="shared" si="92"/>
        <v>0</v>
      </c>
      <c r="AN180" s="80">
        <f t="shared" si="92"/>
        <v>0</v>
      </c>
      <c r="AO180" s="80">
        <f t="shared" si="92"/>
        <v>0</v>
      </c>
      <c r="AP180" s="81">
        <f>SUM(AP181:AP182)</f>
        <v>30000000</v>
      </c>
      <c r="AQ180" s="80">
        <f>SUM(AQ181:AQ182)</f>
        <v>30000000</v>
      </c>
      <c r="AR180" s="82"/>
      <c r="AS180" s="82"/>
      <c r="AT180" s="82"/>
      <c r="AU180" s="82"/>
      <c r="AV180" s="82"/>
      <c r="AW180" s="82"/>
      <c r="AX180" s="82"/>
      <c r="AY180" s="82"/>
      <c r="AZ180" s="82"/>
      <c r="BA180" s="82">
        <f>SUM(BA181:BA182)</f>
        <v>40000000</v>
      </c>
      <c r="BB180" s="82"/>
      <c r="BC180" s="82"/>
      <c r="BD180" s="82"/>
      <c r="BE180" s="82"/>
      <c r="BF180" s="82"/>
      <c r="BG180" s="82"/>
      <c r="BH180" s="82"/>
      <c r="BI180" s="82"/>
      <c r="BJ180" s="82"/>
      <c r="BK180" s="82">
        <f>SUM(BK181:BK182)</f>
        <v>15000000</v>
      </c>
      <c r="BL180" s="82"/>
      <c r="BM180" s="82"/>
      <c r="BN180" s="82"/>
      <c r="BO180" s="82"/>
      <c r="BP180" s="82"/>
      <c r="BQ180" s="82"/>
      <c r="BR180" s="82"/>
      <c r="BS180" s="82"/>
      <c r="BT180" s="82"/>
      <c r="BU180" s="82">
        <f>SUM(BU181:BU182)</f>
        <v>15000000</v>
      </c>
      <c r="BV180" s="83">
        <f t="shared" si="89"/>
        <v>70000000</v>
      </c>
    </row>
    <row r="181" spans="1:74" ht="77.25" customHeight="1" x14ac:dyDescent="0.2">
      <c r="A181" s="84">
        <v>121</v>
      </c>
      <c r="B181" s="84">
        <v>3</v>
      </c>
      <c r="C181" s="173"/>
      <c r="D181" s="173"/>
      <c r="E181" s="85">
        <v>5</v>
      </c>
      <c r="F181" s="112" t="s">
        <v>398</v>
      </c>
      <c r="G181" s="360" t="s">
        <v>107</v>
      </c>
      <c r="H181" s="361" t="s">
        <v>107</v>
      </c>
      <c r="I181" s="94">
        <v>120</v>
      </c>
      <c r="J181" s="90" t="s">
        <v>407</v>
      </c>
      <c r="K181" s="346" t="s">
        <v>408</v>
      </c>
      <c r="L181" s="91" t="s">
        <v>388</v>
      </c>
      <c r="M181" s="308">
        <v>5</v>
      </c>
      <c r="N181" s="147" t="s">
        <v>58</v>
      </c>
      <c r="O181" s="117">
        <v>0</v>
      </c>
      <c r="P181" s="95">
        <v>10</v>
      </c>
      <c r="Q181" s="248">
        <v>2</v>
      </c>
      <c r="R181" s="117">
        <v>3</v>
      </c>
      <c r="S181" s="117">
        <v>3</v>
      </c>
      <c r="T181" s="117">
        <v>2</v>
      </c>
      <c r="U181" s="340">
        <f>AP181/AP180</f>
        <v>0.5</v>
      </c>
      <c r="V181" s="95">
        <v>11</v>
      </c>
      <c r="W181" s="92" t="s">
        <v>216</v>
      </c>
      <c r="X181" s="141"/>
      <c r="Y181" s="142"/>
      <c r="Z181" s="141"/>
      <c r="AA181" s="142"/>
      <c r="AB181" s="141">
        <v>15000000</v>
      </c>
      <c r="AC181" s="101">
        <v>15000000</v>
      </c>
      <c r="AD181" s="141"/>
      <c r="AE181" s="142"/>
      <c r="AF181" s="141"/>
      <c r="AG181" s="142"/>
      <c r="AH181" s="141"/>
      <c r="AI181" s="142"/>
      <c r="AJ181" s="141"/>
      <c r="AK181" s="142"/>
      <c r="AL181" s="141"/>
      <c r="AM181" s="142"/>
      <c r="AN181" s="141"/>
      <c r="AO181" s="142"/>
      <c r="AP181" s="99">
        <f>+X181+Z181+AB181+AD181+AF181+AH181+AJ181+AL181+AN181</f>
        <v>15000000</v>
      </c>
      <c r="AQ181" s="100">
        <f>Y181+AA181+AC181+AE181+AG181+AI181+AK181+AM181+AO181</f>
        <v>15000000</v>
      </c>
      <c r="AR181" s="109"/>
      <c r="AS181" s="109"/>
      <c r="AT181" s="109">
        <v>20000000</v>
      </c>
      <c r="AU181" s="109"/>
      <c r="AV181" s="109"/>
      <c r="AW181" s="109"/>
      <c r="AX181" s="109"/>
      <c r="AY181" s="109"/>
      <c r="AZ181" s="109"/>
      <c r="BA181" s="109">
        <f>SUM(AR181:AZ181)</f>
        <v>20000000</v>
      </c>
      <c r="BB181" s="192"/>
      <c r="BC181" s="192"/>
      <c r="BD181" s="192">
        <v>7500000</v>
      </c>
      <c r="BE181" s="192"/>
      <c r="BF181" s="192"/>
      <c r="BG181" s="192"/>
      <c r="BH181" s="192"/>
      <c r="BI181" s="192"/>
      <c r="BJ181" s="192"/>
      <c r="BK181" s="192">
        <f>SUM(BB181:BJ181)</f>
        <v>7500000</v>
      </c>
      <c r="BL181" s="109"/>
      <c r="BM181" s="109"/>
      <c r="BN181" s="109">
        <v>7500000</v>
      </c>
      <c r="BO181" s="109"/>
      <c r="BP181" s="109"/>
      <c r="BQ181" s="109"/>
      <c r="BR181" s="109"/>
      <c r="BS181" s="109"/>
      <c r="BT181" s="109"/>
      <c r="BU181" s="109">
        <f>SUM(BL181:BT181)</f>
        <v>7500000</v>
      </c>
      <c r="BV181" s="103">
        <f t="shared" si="89"/>
        <v>70000000</v>
      </c>
    </row>
    <row r="182" spans="1:74" ht="104.25" customHeight="1" x14ac:dyDescent="0.2">
      <c r="A182" s="105">
        <v>122</v>
      </c>
      <c r="B182" s="84">
        <v>3</v>
      </c>
      <c r="C182" s="173"/>
      <c r="D182" s="237"/>
      <c r="E182" s="110"/>
      <c r="F182" s="114"/>
      <c r="G182" s="196"/>
      <c r="H182" s="254"/>
      <c r="I182" s="94">
        <v>121</v>
      </c>
      <c r="J182" s="90" t="s">
        <v>409</v>
      </c>
      <c r="K182" s="346" t="s">
        <v>410</v>
      </c>
      <c r="L182" s="91" t="s">
        <v>388</v>
      </c>
      <c r="M182" s="308">
        <v>5</v>
      </c>
      <c r="N182" s="362" t="s">
        <v>58</v>
      </c>
      <c r="O182" s="117">
        <v>9</v>
      </c>
      <c r="P182" s="95">
        <v>16</v>
      </c>
      <c r="Q182" s="363">
        <v>4</v>
      </c>
      <c r="R182" s="364">
        <v>4</v>
      </c>
      <c r="S182" s="364">
        <v>4</v>
      </c>
      <c r="T182" s="364">
        <v>4</v>
      </c>
      <c r="U182" s="340">
        <f>AP182/AP180</f>
        <v>0.5</v>
      </c>
      <c r="V182" s="95">
        <v>11</v>
      </c>
      <c r="W182" s="92" t="s">
        <v>216</v>
      </c>
      <c r="X182" s="141"/>
      <c r="Y182" s="142"/>
      <c r="Z182" s="141"/>
      <c r="AA182" s="142"/>
      <c r="AB182" s="141">
        <v>15000000</v>
      </c>
      <c r="AC182" s="101">
        <v>15000000</v>
      </c>
      <c r="AD182" s="141"/>
      <c r="AE182" s="142"/>
      <c r="AF182" s="141"/>
      <c r="AG182" s="142"/>
      <c r="AH182" s="141"/>
      <c r="AI182" s="142"/>
      <c r="AJ182" s="141"/>
      <c r="AK182" s="142"/>
      <c r="AL182" s="141"/>
      <c r="AM182" s="142"/>
      <c r="AN182" s="141"/>
      <c r="AO182" s="142"/>
      <c r="AP182" s="99">
        <f>+X182+Z182+AB182+AD182+AF182+AH182+AJ182+AL182+AN182</f>
        <v>15000000</v>
      </c>
      <c r="AQ182" s="100">
        <f>Y182+AA182+AC182+AE182+AG182+AI182+AK182+AM182+AO182</f>
        <v>15000000</v>
      </c>
      <c r="AR182" s="109"/>
      <c r="AS182" s="109"/>
      <c r="AT182" s="109">
        <v>20000000</v>
      </c>
      <c r="AU182" s="109"/>
      <c r="AV182" s="109"/>
      <c r="AW182" s="109"/>
      <c r="AX182" s="109"/>
      <c r="AY182" s="109"/>
      <c r="AZ182" s="109"/>
      <c r="BA182" s="109">
        <f>SUM(AR182:AZ182)</f>
        <v>20000000</v>
      </c>
      <c r="BB182" s="192"/>
      <c r="BC182" s="192"/>
      <c r="BD182" s="192">
        <v>7500000</v>
      </c>
      <c r="BE182" s="192"/>
      <c r="BF182" s="192"/>
      <c r="BG182" s="192"/>
      <c r="BH182" s="192"/>
      <c r="BI182" s="192"/>
      <c r="BJ182" s="192"/>
      <c r="BK182" s="192">
        <f>SUM(BB182:BJ182)</f>
        <v>7500000</v>
      </c>
      <c r="BL182" s="109"/>
      <c r="BM182" s="109"/>
      <c r="BN182" s="109">
        <v>7500000</v>
      </c>
      <c r="BO182" s="109"/>
      <c r="BP182" s="109"/>
      <c r="BQ182" s="109"/>
      <c r="BR182" s="109"/>
      <c r="BS182" s="109"/>
      <c r="BT182" s="109"/>
      <c r="BU182" s="109">
        <f>SUM(BL182:BT182)</f>
        <v>7500000</v>
      </c>
      <c r="BV182" s="103">
        <f t="shared" si="89"/>
        <v>70000000</v>
      </c>
    </row>
    <row r="183" spans="1:74" ht="22.5" customHeight="1" x14ac:dyDescent="0.2">
      <c r="A183" s="105"/>
      <c r="B183" s="84"/>
      <c r="C183" s="173"/>
      <c r="D183" s="56">
        <v>11</v>
      </c>
      <c r="E183" s="170" t="s">
        <v>411</v>
      </c>
      <c r="F183" s="61"/>
      <c r="G183" s="61"/>
      <c r="H183" s="61"/>
      <c r="I183" s="60"/>
      <c r="J183" s="61"/>
      <c r="K183" s="61"/>
      <c r="L183" s="62"/>
      <c r="M183" s="60"/>
      <c r="N183" s="63"/>
      <c r="O183" s="61"/>
      <c r="P183" s="61"/>
      <c r="Q183" s="64"/>
      <c r="R183" s="61"/>
      <c r="S183" s="61"/>
      <c r="T183" s="60"/>
      <c r="U183" s="171"/>
      <c r="V183" s="60"/>
      <c r="W183" s="60"/>
      <c r="X183" s="66">
        <f t="shared" ref="X183:AO183" si="93">X184+X190</f>
        <v>0</v>
      </c>
      <c r="Y183" s="66">
        <f t="shared" si="93"/>
        <v>0</v>
      </c>
      <c r="Z183" s="66">
        <f t="shared" si="93"/>
        <v>0</v>
      </c>
      <c r="AA183" s="66">
        <f t="shared" si="93"/>
        <v>0</v>
      </c>
      <c r="AB183" s="66">
        <f t="shared" si="93"/>
        <v>460000000</v>
      </c>
      <c r="AC183" s="66">
        <f t="shared" si="93"/>
        <v>460000000</v>
      </c>
      <c r="AD183" s="66">
        <f t="shared" si="93"/>
        <v>0</v>
      </c>
      <c r="AE183" s="66">
        <f t="shared" si="93"/>
        <v>0</v>
      </c>
      <c r="AF183" s="66">
        <f t="shared" si="93"/>
        <v>0</v>
      </c>
      <c r="AG183" s="66">
        <f t="shared" si="93"/>
        <v>0</v>
      </c>
      <c r="AH183" s="66">
        <f t="shared" si="93"/>
        <v>0</v>
      </c>
      <c r="AI183" s="66">
        <f t="shared" si="93"/>
        <v>0</v>
      </c>
      <c r="AJ183" s="66">
        <f t="shared" si="93"/>
        <v>0</v>
      </c>
      <c r="AK183" s="66">
        <f t="shared" si="93"/>
        <v>0</v>
      </c>
      <c r="AL183" s="66">
        <f t="shared" si="93"/>
        <v>100000000</v>
      </c>
      <c r="AM183" s="66">
        <f t="shared" si="93"/>
        <v>100000000</v>
      </c>
      <c r="AN183" s="66">
        <f t="shared" si="93"/>
        <v>1250000000</v>
      </c>
      <c r="AO183" s="66">
        <f t="shared" si="93"/>
        <v>0</v>
      </c>
      <c r="AP183" s="67">
        <f>AP184+AP190</f>
        <v>1810000000</v>
      </c>
      <c r="AQ183" s="66">
        <f>AQ184+AQ190</f>
        <v>560000000</v>
      </c>
      <c r="AR183" s="68"/>
      <c r="AS183" s="68"/>
      <c r="AT183" s="68"/>
      <c r="AU183" s="68"/>
      <c r="AV183" s="68"/>
      <c r="AW183" s="68"/>
      <c r="AX183" s="68"/>
      <c r="AY183" s="68"/>
      <c r="AZ183" s="68"/>
      <c r="BA183" s="68">
        <f>BA184+BA190</f>
        <v>1403000000</v>
      </c>
      <c r="BB183" s="68"/>
      <c r="BC183" s="68"/>
      <c r="BD183" s="68"/>
      <c r="BE183" s="68"/>
      <c r="BF183" s="68"/>
      <c r="BG183" s="68"/>
      <c r="BH183" s="68"/>
      <c r="BI183" s="68"/>
      <c r="BJ183" s="68"/>
      <c r="BK183" s="68">
        <f>BK184+BK190</f>
        <v>1371090000</v>
      </c>
      <c r="BL183" s="68"/>
      <c r="BM183" s="68"/>
      <c r="BN183" s="68"/>
      <c r="BO183" s="68"/>
      <c r="BP183" s="68"/>
      <c r="BQ183" s="68"/>
      <c r="BR183" s="68"/>
      <c r="BS183" s="68"/>
      <c r="BT183" s="68"/>
      <c r="BU183" s="68">
        <f>BU184+BU190</f>
        <v>2369272700</v>
      </c>
      <c r="BV183" s="172">
        <f t="shared" si="89"/>
        <v>5143362700</v>
      </c>
    </row>
    <row r="184" spans="1:74" ht="22.5" customHeight="1" x14ac:dyDescent="0.2">
      <c r="A184" s="105"/>
      <c r="B184" s="84"/>
      <c r="C184" s="173"/>
      <c r="D184" s="169"/>
      <c r="E184" s="71">
        <v>34</v>
      </c>
      <c r="F184" s="72" t="s">
        <v>412</v>
      </c>
      <c r="G184" s="125"/>
      <c r="H184" s="125"/>
      <c r="I184" s="71"/>
      <c r="J184" s="229"/>
      <c r="K184" s="125"/>
      <c r="L184" s="74"/>
      <c r="M184" s="74"/>
      <c r="N184" s="126"/>
      <c r="O184" s="125"/>
      <c r="P184" s="125"/>
      <c r="Q184" s="127"/>
      <c r="R184" s="125"/>
      <c r="S184" s="125"/>
      <c r="T184" s="74"/>
      <c r="U184" s="128"/>
      <c r="V184" s="74"/>
      <c r="W184" s="74"/>
      <c r="X184" s="129">
        <f t="shared" ref="X184:AO184" si="94">SUM(X185:X189)</f>
        <v>0</v>
      </c>
      <c r="Y184" s="129">
        <f t="shared" si="94"/>
        <v>0</v>
      </c>
      <c r="Z184" s="129">
        <f t="shared" si="94"/>
        <v>0</v>
      </c>
      <c r="AA184" s="129">
        <f t="shared" si="94"/>
        <v>0</v>
      </c>
      <c r="AB184" s="129">
        <f t="shared" si="94"/>
        <v>460000000</v>
      </c>
      <c r="AC184" s="129">
        <f t="shared" si="94"/>
        <v>460000000</v>
      </c>
      <c r="AD184" s="129">
        <f t="shared" si="94"/>
        <v>0</v>
      </c>
      <c r="AE184" s="129">
        <f t="shared" si="94"/>
        <v>0</v>
      </c>
      <c r="AF184" s="129">
        <f t="shared" si="94"/>
        <v>0</v>
      </c>
      <c r="AG184" s="129">
        <f t="shared" si="94"/>
        <v>0</v>
      </c>
      <c r="AH184" s="129">
        <f t="shared" si="94"/>
        <v>0</v>
      </c>
      <c r="AI184" s="129">
        <f t="shared" si="94"/>
        <v>0</v>
      </c>
      <c r="AJ184" s="129">
        <f t="shared" si="94"/>
        <v>0</v>
      </c>
      <c r="AK184" s="129">
        <f t="shared" si="94"/>
        <v>0</v>
      </c>
      <c r="AL184" s="129">
        <f t="shared" si="94"/>
        <v>0</v>
      </c>
      <c r="AM184" s="129">
        <f t="shared" si="94"/>
        <v>0</v>
      </c>
      <c r="AN184" s="129">
        <f t="shared" si="94"/>
        <v>1250000000</v>
      </c>
      <c r="AO184" s="129">
        <f t="shared" si="94"/>
        <v>0</v>
      </c>
      <c r="AP184" s="130">
        <f>SUM(AP185:AP189)</f>
        <v>1710000000</v>
      </c>
      <c r="AQ184" s="129">
        <f>SUM(AQ185:AQ189)</f>
        <v>460000000</v>
      </c>
      <c r="AR184" s="131"/>
      <c r="AS184" s="131"/>
      <c r="AT184" s="131"/>
      <c r="AU184" s="131"/>
      <c r="AV184" s="131"/>
      <c r="AW184" s="131"/>
      <c r="AX184" s="131"/>
      <c r="AY184" s="131"/>
      <c r="AZ184" s="131"/>
      <c r="BA184" s="131">
        <f>SUM(BA185:BA189)</f>
        <v>1300000000</v>
      </c>
      <c r="BB184" s="131"/>
      <c r="BC184" s="131"/>
      <c r="BD184" s="131"/>
      <c r="BE184" s="131"/>
      <c r="BF184" s="131"/>
      <c r="BG184" s="131"/>
      <c r="BH184" s="131"/>
      <c r="BI184" s="131"/>
      <c r="BJ184" s="131"/>
      <c r="BK184" s="131">
        <f>SUM(BK185:BK189)</f>
        <v>1265000000</v>
      </c>
      <c r="BL184" s="131"/>
      <c r="BM184" s="131"/>
      <c r="BN184" s="131"/>
      <c r="BO184" s="131"/>
      <c r="BP184" s="131"/>
      <c r="BQ184" s="131"/>
      <c r="BR184" s="131"/>
      <c r="BS184" s="131"/>
      <c r="BT184" s="131"/>
      <c r="BU184" s="131">
        <f>SUM(BU185:BU189)</f>
        <v>2260000000</v>
      </c>
      <c r="BV184" s="132">
        <f t="shared" si="89"/>
        <v>4825000000</v>
      </c>
    </row>
    <row r="185" spans="1:74" ht="84" customHeight="1" x14ac:dyDescent="0.2">
      <c r="A185" s="84">
        <v>123</v>
      </c>
      <c r="B185" s="84">
        <v>3</v>
      </c>
      <c r="C185" s="173"/>
      <c r="D185" s="173"/>
      <c r="E185" s="85"/>
      <c r="F185" s="133"/>
      <c r="G185" s="169"/>
      <c r="H185" s="169"/>
      <c r="I185" s="94">
        <v>122</v>
      </c>
      <c r="J185" s="90" t="s">
        <v>413</v>
      </c>
      <c r="K185" s="86" t="s">
        <v>414</v>
      </c>
      <c r="L185" s="91" t="s">
        <v>415</v>
      </c>
      <c r="M185" s="91">
        <v>8</v>
      </c>
      <c r="N185" s="107" t="s">
        <v>44</v>
      </c>
      <c r="O185" s="93">
        <v>0</v>
      </c>
      <c r="P185" s="93">
        <v>1</v>
      </c>
      <c r="Q185" s="108">
        <v>1</v>
      </c>
      <c r="R185" s="93">
        <v>1</v>
      </c>
      <c r="S185" s="93">
        <v>1</v>
      </c>
      <c r="T185" s="93">
        <v>1</v>
      </c>
      <c r="U185" s="157">
        <f>AP185/$AP$184</f>
        <v>0.78654970760233922</v>
      </c>
      <c r="V185" s="94">
        <v>2</v>
      </c>
      <c r="W185" s="91" t="s">
        <v>127</v>
      </c>
      <c r="X185" s="99"/>
      <c r="Y185" s="100"/>
      <c r="Z185" s="99"/>
      <c r="AA185" s="100"/>
      <c r="AB185" s="99">
        <f>45000000+50000000</f>
        <v>95000000</v>
      </c>
      <c r="AC185" s="101">
        <v>95000000</v>
      </c>
      <c r="AD185" s="99"/>
      <c r="AE185" s="100"/>
      <c r="AF185" s="99"/>
      <c r="AG185" s="100"/>
      <c r="AH185" s="99"/>
      <c r="AI185" s="100"/>
      <c r="AJ185" s="99"/>
      <c r="AK185" s="100"/>
      <c r="AL185" s="99"/>
      <c r="AM185" s="100"/>
      <c r="AN185" s="99">
        <v>1250000000</v>
      </c>
      <c r="AO185" s="100"/>
      <c r="AP185" s="99">
        <f>+X185+Z185+AB185+AD185+AF185+AH185+AJ185+AL185+AN185</f>
        <v>1345000000</v>
      </c>
      <c r="AQ185" s="100">
        <f>Y185+AA185+AC185+AE185+AG185+AI185+AK185+AM185+AO185</f>
        <v>95000000</v>
      </c>
      <c r="AR185" s="109"/>
      <c r="AS185" s="109"/>
      <c r="AT185" s="109">
        <v>10000000</v>
      </c>
      <c r="AU185" s="109"/>
      <c r="AV185" s="109"/>
      <c r="AW185" s="109"/>
      <c r="AX185" s="109"/>
      <c r="AY185" s="109"/>
      <c r="AZ185" s="109">
        <v>390000000</v>
      </c>
      <c r="BA185" s="109">
        <f>SUM(AR185:AZ185)</f>
        <v>400000000</v>
      </c>
      <c r="BB185" s="192"/>
      <c r="BC185" s="192"/>
      <c r="BD185" s="192">
        <v>3000000</v>
      </c>
      <c r="BE185" s="192"/>
      <c r="BF185" s="192"/>
      <c r="BG185" s="192"/>
      <c r="BH185" s="192"/>
      <c r="BI185" s="192"/>
      <c r="BJ185" s="192">
        <v>410500000</v>
      </c>
      <c r="BK185" s="192">
        <f>SUM(BB185:BJ185)</f>
        <v>413500000</v>
      </c>
      <c r="BL185" s="109"/>
      <c r="BM185" s="109"/>
      <c r="BN185" s="109">
        <v>2500000</v>
      </c>
      <c r="BO185" s="109"/>
      <c r="BP185" s="109"/>
      <c r="BQ185" s="109"/>
      <c r="BR185" s="109"/>
      <c r="BS185" s="109"/>
      <c r="BT185" s="109">
        <v>506500000</v>
      </c>
      <c r="BU185" s="109">
        <f>SUM(BL185:BT185)</f>
        <v>509000000</v>
      </c>
      <c r="BV185" s="103">
        <f t="shared" si="89"/>
        <v>2645000000</v>
      </c>
    </row>
    <row r="186" spans="1:74" ht="116.25" customHeight="1" x14ac:dyDescent="0.2">
      <c r="A186" s="105">
        <v>124</v>
      </c>
      <c r="B186" s="84">
        <v>3</v>
      </c>
      <c r="C186" s="173"/>
      <c r="D186" s="173"/>
      <c r="E186" s="110">
        <v>23</v>
      </c>
      <c r="F186" s="365" t="s">
        <v>416</v>
      </c>
      <c r="G186" s="250">
        <v>0.92</v>
      </c>
      <c r="H186" s="366">
        <v>0.85</v>
      </c>
      <c r="I186" s="94">
        <v>123</v>
      </c>
      <c r="J186" s="90" t="s">
        <v>417</v>
      </c>
      <c r="K186" s="86" t="s">
        <v>418</v>
      </c>
      <c r="L186" s="91" t="s">
        <v>415</v>
      </c>
      <c r="M186" s="91">
        <v>8</v>
      </c>
      <c r="N186" s="107" t="s">
        <v>44</v>
      </c>
      <c r="O186" s="93" t="s">
        <v>39</v>
      </c>
      <c r="P186" s="93">
        <v>4</v>
      </c>
      <c r="Q186" s="108">
        <v>4</v>
      </c>
      <c r="R186" s="93">
        <v>4</v>
      </c>
      <c r="S186" s="93">
        <v>4</v>
      </c>
      <c r="T186" s="93">
        <v>4</v>
      </c>
      <c r="U186" s="157">
        <f>AP186/$AP$184</f>
        <v>0.21052631578947367</v>
      </c>
      <c r="V186" s="94">
        <v>2</v>
      </c>
      <c r="W186" s="91" t="s">
        <v>127</v>
      </c>
      <c r="X186" s="99"/>
      <c r="Y186" s="100"/>
      <c r="Z186" s="99"/>
      <c r="AA186" s="100"/>
      <c r="AB186" s="99">
        <v>360000000</v>
      </c>
      <c r="AC186" s="101">
        <v>360000000</v>
      </c>
      <c r="AD186" s="99"/>
      <c r="AE186" s="100"/>
      <c r="AF186" s="99"/>
      <c r="AG186" s="100"/>
      <c r="AH186" s="99"/>
      <c r="AI186" s="100"/>
      <c r="AJ186" s="99"/>
      <c r="AK186" s="100"/>
      <c r="AL186" s="99"/>
      <c r="AM186" s="100"/>
      <c r="AN186" s="99"/>
      <c r="AO186" s="100"/>
      <c r="AP186" s="99">
        <f>+X186+Z186+AB186+AD186+AF186+AH186+AJ186+AL186+AN186</f>
        <v>360000000</v>
      </c>
      <c r="AQ186" s="100">
        <f>Y186+AA186+AC186+AE186+AG186+AI186+AK186+AM186+AO186</f>
        <v>360000000</v>
      </c>
      <c r="AR186" s="109"/>
      <c r="AS186" s="109"/>
      <c r="AT186" s="109">
        <v>10000000</v>
      </c>
      <c r="AU186" s="109"/>
      <c r="AV186" s="109"/>
      <c r="AW186" s="109"/>
      <c r="AX186" s="109"/>
      <c r="AY186" s="109"/>
      <c r="AZ186" s="109">
        <v>85000000</v>
      </c>
      <c r="BA186" s="109">
        <f>SUM(AR186:AZ186)</f>
        <v>95000000</v>
      </c>
      <c r="BB186" s="192"/>
      <c r="BC186" s="192"/>
      <c r="BD186" s="192">
        <v>3000000</v>
      </c>
      <c r="BE186" s="192"/>
      <c r="BF186" s="192"/>
      <c r="BG186" s="192"/>
      <c r="BH186" s="192"/>
      <c r="BI186" s="192"/>
      <c r="BJ186" s="192">
        <v>42000000</v>
      </c>
      <c r="BK186" s="192">
        <f>SUM(BB186:BJ186)</f>
        <v>45000000</v>
      </c>
      <c r="BL186" s="109"/>
      <c r="BM186" s="109"/>
      <c r="BN186" s="109">
        <v>2500000</v>
      </c>
      <c r="BO186" s="109"/>
      <c r="BP186" s="109"/>
      <c r="BQ186" s="109"/>
      <c r="BR186" s="109"/>
      <c r="BS186" s="109"/>
      <c r="BT186" s="109">
        <v>247500000</v>
      </c>
      <c r="BU186" s="109">
        <f>SUM(BL186:BT186)</f>
        <v>250000000</v>
      </c>
      <c r="BV186" s="103">
        <f t="shared" si="89"/>
        <v>780000000</v>
      </c>
    </row>
    <row r="187" spans="1:74" ht="112.5" customHeight="1" x14ac:dyDescent="0.2">
      <c r="A187" s="84">
        <v>125</v>
      </c>
      <c r="B187" s="84">
        <v>3</v>
      </c>
      <c r="C187" s="173"/>
      <c r="D187" s="173"/>
      <c r="E187" s="111">
        <v>24</v>
      </c>
      <c r="F187" s="154" t="s">
        <v>419</v>
      </c>
      <c r="G187" s="149" t="s">
        <v>420</v>
      </c>
      <c r="H187" s="148" t="s">
        <v>420</v>
      </c>
      <c r="I187" s="94">
        <v>124</v>
      </c>
      <c r="J187" s="90" t="s">
        <v>421</v>
      </c>
      <c r="K187" s="86" t="s">
        <v>422</v>
      </c>
      <c r="L187" s="91" t="s">
        <v>415</v>
      </c>
      <c r="M187" s="91">
        <v>8</v>
      </c>
      <c r="N187" s="107" t="s">
        <v>58</v>
      </c>
      <c r="O187" s="93">
        <v>40</v>
      </c>
      <c r="P187" s="93">
        <v>500</v>
      </c>
      <c r="Q187" s="93">
        <v>0</v>
      </c>
      <c r="R187" s="93">
        <v>150</v>
      </c>
      <c r="S187" s="93">
        <v>200</v>
      </c>
      <c r="T187" s="93">
        <v>150</v>
      </c>
      <c r="U187" s="157">
        <f>AP187/$AP$184</f>
        <v>0</v>
      </c>
      <c r="V187" s="94">
        <v>2</v>
      </c>
      <c r="W187" s="91" t="s">
        <v>127</v>
      </c>
      <c r="X187" s="99"/>
      <c r="Y187" s="100"/>
      <c r="Z187" s="99"/>
      <c r="AA187" s="100"/>
      <c r="AB187" s="99"/>
      <c r="AC187" s="100"/>
      <c r="AD187" s="99"/>
      <c r="AE187" s="100"/>
      <c r="AF187" s="99"/>
      <c r="AG187" s="100"/>
      <c r="AH187" s="99"/>
      <c r="AI187" s="100"/>
      <c r="AJ187" s="99"/>
      <c r="AK187" s="100"/>
      <c r="AL187" s="99"/>
      <c r="AM187" s="100"/>
      <c r="AN187" s="99"/>
      <c r="AO187" s="100"/>
      <c r="AP187" s="99">
        <f>+X187+Z187+AB187+AD187+AF187+AH187+AJ187+AL187+AN187</f>
        <v>0</v>
      </c>
      <c r="AQ187" s="100">
        <f>Y187+AA187+AC187+AE187+AG187+AI187+AK187+AM187+AO187</f>
        <v>0</v>
      </c>
      <c r="AR187" s="109"/>
      <c r="AS187" s="109"/>
      <c r="AT187" s="109">
        <v>10000000</v>
      </c>
      <c r="AU187" s="109"/>
      <c r="AV187" s="109"/>
      <c r="AW187" s="109"/>
      <c r="AX187" s="109"/>
      <c r="AY187" s="109"/>
      <c r="AZ187" s="109">
        <v>390000000</v>
      </c>
      <c r="BA187" s="109">
        <f>SUM(AR187:AZ187)</f>
        <v>400000000</v>
      </c>
      <c r="BB187" s="192"/>
      <c r="BC187" s="192"/>
      <c r="BD187" s="192">
        <v>3000000</v>
      </c>
      <c r="BE187" s="192"/>
      <c r="BF187" s="192"/>
      <c r="BG187" s="192"/>
      <c r="BH187" s="192"/>
      <c r="BI187" s="192"/>
      <c r="BJ187" s="192">
        <v>397000000</v>
      </c>
      <c r="BK187" s="192">
        <f>SUM(BB187:BJ187)</f>
        <v>400000000</v>
      </c>
      <c r="BL187" s="109"/>
      <c r="BM187" s="109"/>
      <c r="BN187" s="109">
        <v>2500000</v>
      </c>
      <c r="BO187" s="109"/>
      <c r="BP187" s="109"/>
      <c r="BQ187" s="109"/>
      <c r="BR187" s="109"/>
      <c r="BS187" s="109"/>
      <c r="BT187" s="109">
        <v>497500000</v>
      </c>
      <c r="BU187" s="109">
        <f>SUM(BL187:BT187)</f>
        <v>500000000</v>
      </c>
      <c r="BV187" s="103">
        <f t="shared" si="89"/>
        <v>2600000000</v>
      </c>
    </row>
    <row r="188" spans="1:74" ht="75" customHeight="1" x14ac:dyDescent="0.2">
      <c r="A188" s="105">
        <v>126</v>
      </c>
      <c r="B188" s="84">
        <v>3</v>
      </c>
      <c r="C188" s="173"/>
      <c r="D188" s="173"/>
      <c r="E188" s="111"/>
      <c r="F188" s="139"/>
      <c r="G188" s="173"/>
      <c r="H188" s="173"/>
      <c r="I188" s="94">
        <v>125</v>
      </c>
      <c r="J188" s="90" t="s">
        <v>423</v>
      </c>
      <c r="K188" s="346" t="s">
        <v>424</v>
      </c>
      <c r="L188" s="91" t="s">
        <v>415</v>
      </c>
      <c r="M188" s="91">
        <v>8</v>
      </c>
      <c r="N188" s="367" t="s">
        <v>58</v>
      </c>
      <c r="O188" s="368">
        <v>1200</v>
      </c>
      <c r="P188" s="368">
        <v>2400</v>
      </c>
      <c r="Q188" s="368">
        <v>150</v>
      </c>
      <c r="R188" s="368">
        <v>750</v>
      </c>
      <c r="S188" s="368">
        <v>750</v>
      </c>
      <c r="T188" s="368">
        <v>750</v>
      </c>
      <c r="U188" s="157">
        <f>AP188/$AP$184</f>
        <v>2.9239766081871343E-3</v>
      </c>
      <c r="V188" s="94">
        <v>2</v>
      </c>
      <c r="W188" s="91" t="s">
        <v>127</v>
      </c>
      <c r="X188" s="99"/>
      <c r="Y188" s="100"/>
      <c r="Z188" s="99"/>
      <c r="AA188" s="100"/>
      <c r="AB188" s="99">
        <v>5000000</v>
      </c>
      <c r="AC188" s="101">
        <v>5000000</v>
      </c>
      <c r="AD188" s="99"/>
      <c r="AE188" s="100"/>
      <c r="AF188" s="99"/>
      <c r="AG188" s="100"/>
      <c r="AH188" s="99"/>
      <c r="AI188" s="100"/>
      <c r="AJ188" s="99"/>
      <c r="AK188" s="100"/>
      <c r="AL188" s="99"/>
      <c r="AM188" s="100"/>
      <c r="AN188" s="99"/>
      <c r="AO188" s="100"/>
      <c r="AP188" s="99">
        <f>+X188+Z188+AB188+AD188+AF188+AH188+AJ188+AL188+AN188</f>
        <v>5000000</v>
      </c>
      <c r="AQ188" s="100">
        <f>Y188+AA188+AC188+AE188+AG188+AI188+AK188+AM188+AO188</f>
        <v>5000000</v>
      </c>
      <c r="AR188" s="109"/>
      <c r="AS188" s="109"/>
      <c r="AT188" s="109">
        <v>10000000</v>
      </c>
      <c r="AU188" s="109"/>
      <c r="AV188" s="109"/>
      <c r="AW188" s="109"/>
      <c r="AX188" s="109"/>
      <c r="AY188" s="109"/>
      <c r="AZ188" s="109">
        <v>195000000</v>
      </c>
      <c r="BA188" s="109">
        <f>SUM(AR188:AZ188)</f>
        <v>205000000</v>
      </c>
      <c r="BB188" s="192"/>
      <c r="BC188" s="192"/>
      <c r="BD188" s="192">
        <v>3000000</v>
      </c>
      <c r="BE188" s="192"/>
      <c r="BF188" s="192"/>
      <c r="BG188" s="192"/>
      <c r="BH188" s="192"/>
      <c r="BI188" s="192"/>
      <c r="BJ188" s="192">
        <v>203500000</v>
      </c>
      <c r="BK188" s="192">
        <f>SUM(BB188:BJ188)</f>
        <v>206500000</v>
      </c>
      <c r="BL188" s="109"/>
      <c r="BM188" s="109"/>
      <c r="BN188" s="109">
        <v>2500000</v>
      </c>
      <c r="BO188" s="109"/>
      <c r="BP188" s="109"/>
      <c r="BQ188" s="109"/>
      <c r="BR188" s="109"/>
      <c r="BS188" s="109"/>
      <c r="BT188" s="109">
        <v>498500000</v>
      </c>
      <c r="BU188" s="109">
        <f>SUM(BL188:BT188)</f>
        <v>501000000</v>
      </c>
      <c r="BV188" s="103">
        <f t="shared" si="89"/>
        <v>1825000000</v>
      </c>
    </row>
    <row r="189" spans="1:74" ht="71.25" x14ac:dyDescent="0.2">
      <c r="A189" s="84">
        <v>127</v>
      </c>
      <c r="B189" s="84">
        <v>3</v>
      </c>
      <c r="C189" s="173"/>
      <c r="D189" s="173"/>
      <c r="E189" s="110"/>
      <c r="F189" s="144"/>
      <c r="G189" s="237"/>
      <c r="H189" s="237"/>
      <c r="I189" s="94">
        <v>126</v>
      </c>
      <c r="J189" s="90" t="s">
        <v>425</v>
      </c>
      <c r="K189" s="86" t="s">
        <v>426</v>
      </c>
      <c r="L189" s="91" t="s">
        <v>415</v>
      </c>
      <c r="M189" s="91">
        <v>8</v>
      </c>
      <c r="N189" s="145" t="s">
        <v>44</v>
      </c>
      <c r="O189" s="108" t="s">
        <v>39</v>
      </c>
      <c r="P189" s="108" t="s">
        <v>427</v>
      </c>
      <c r="Q189" s="108">
        <v>0</v>
      </c>
      <c r="R189" s="108" t="s">
        <v>427</v>
      </c>
      <c r="S189" s="108" t="s">
        <v>427</v>
      </c>
      <c r="T189" s="108" t="s">
        <v>427</v>
      </c>
      <c r="U189" s="157">
        <f>AP189/$AP$184</f>
        <v>0</v>
      </c>
      <c r="V189" s="94">
        <v>2</v>
      </c>
      <c r="W189" s="91" t="s">
        <v>127</v>
      </c>
      <c r="X189" s="99"/>
      <c r="Y189" s="100"/>
      <c r="Z189" s="99"/>
      <c r="AA189" s="100"/>
      <c r="AB189" s="99"/>
      <c r="AC189" s="100"/>
      <c r="AD189" s="99"/>
      <c r="AE189" s="100"/>
      <c r="AF189" s="99"/>
      <c r="AG189" s="100"/>
      <c r="AH189" s="99"/>
      <c r="AI189" s="100"/>
      <c r="AJ189" s="99"/>
      <c r="AK189" s="100"/>
      <c r="AL189" s="99"/>
      <c r="AM189" s="100"/>
      <c r="AN189" s="99"/>
      <c r="AO189" s="100"/>
      <c r="AP189" s="99">
        <f>+X189+Z189+AB189+AD189+AF189+AH189+AJ189+AL189+AN189</f>
        <v>0</v>
      </c>
      <c r="AQ189" s="100">
        <f>Y189+AA189+AC189+AE189+AG189+AI189+AK189+AM189+AO189</f>
        <v>0</v>
      </c>
      <c r="AR189" s="109"/>
      <c r="AS189" s="109"/>
      <c r="AT189" s="109">
        <v>10000000</v>
      </c>
      <c r="AU189" s="109"/>
      <c r="AV189" s="109"/>
      <c r="AW189" s="109"/>
      <c r="AX189" s="109"/>
      <c r="AY189" s="109"/>
      <c r="AZ189" s="109">
        <v>190000000</v>
      </c>
      <c r="BA189" s="109">
        <f>SUM(AR189:AZ189)</f>
        <v>200000000</v>
      </c>
      <c r="BB189" s="192"/>
      <c r="BC189" s="192"/>
      <c r="BD189" s="192">
        <v>3000000</v>
      </c>
      <c r="BE189" s="192"/>
      <c r="BF189" s="192"/>
      <c r="BG189" s="192"/>
      <c r="BH189" s="192"/>
      <c r="BI189" s="192"/>
      <c r="BJ189" s="192">
        <v>197000000</v>
      </c>
      <c r="BK189" s="192">
        <f>SUM(BB189:BJ189)</f>
        <v>200000000</v>
      </c>
      <c r="BL189" s="109"/>
      <c r="BM189" s="109"/>
      <c r="BN189" s="109">
        <v>2500000</v>
      </c>
      <c r="BO189" s="109"/>
      <c r="BP189" s="109"/>
      <c r="BQ189" s="109"/>
      <c r="BR189" s="109"/>
      <c r="BS189" s="109"/>
      <c r="BT189" s="109">
        <v>497500000</v>
      </c>
      <c r="BU189" s="109">
        <f>SUM(BL189:BT189)</f>
        <v>500000000</v>
      </c>
      <c r="BV189" s="103">
        <f t="shared" si="89"/>
        <v>1800000000</v>
      </c>
    </row>
    <row r="190" spans="1:74" ht="22.5" customHeight="1" x14ac:dyDescent="0.2">
      <c r="A190" s="84"/>
      <c r="B190" s="84"/>
      <c r="C190" s="173"/>
      <c r="D190" s="173"/>
      <c r="E190" s="71">
        <v>35</v>
      </c>
      <c r="F190" s="72" t="s">
        <v>428</v>
      </c>
      <c r="G190" s="73"/>
      <c r="H190" s="229"/>
      <c r="I190" s="71"/>
      <c r="J190" s="229"/>
      <c r="K190" s="125"/>
      <c r="L190" s="74"/>
      <c r="M190" s="74"/>
      <c r="N190" s="126"/>
      <c r="O190" s="125"/>
      <c r="P190" s="125"/>
      <c r="Q190" s="127"/>
      <c r="R190" s="125"/>
      <c r="S190" s="125"/>
      <c r="T190" s="74"/>
      <c r="U190" s="128"/>
      <c r="V190" s="74"/>
      <c r="W190" s="74"/>
      <c r="X190" s="129">
        <f t="shared" ref="X190:AO190" si="95">SUM(X191:X193)</f>
        <v>0</v>
      </c>
      <c r="Y190" s="129">
        <f t="shared" si="95"/>
        <v>0</v>
      </c>
      <c r="Z190" s="129">
        <f t="shared" si="95"/>
        <v>0</v>
      </c>
      <c r="AA190" s="129">
        <f t="shared" si="95"/>
        <v>0</v>
      </c>
      <c r="AB190" s="129">
        <f t="shared" si="95"/>
        <v>0</v>
      </c>
      <c r="AC190" s="129">
        <f t="shared" si="95"/>
        <v>0</v>
      </c>
      <c r="AD190" s="129">
        <f t="shared" si="95"/>
        <v>0</v>
      </c>
      <c r="AE190" s="129">
        <f t="shared" si="95"/>
        <v>0</v>
      </c>
      <c r="AF190" s="129">
        <f t="shared" si="95"/>
        <v>0</v>
      </c>
      <c r="AG190" s="129">
        <f t="shared" si="95"/>
        <v>0</v>
      </c>
      <c r="AH190" s="129">
        <f t="shared" si="95"/>
        <v>0</v>
      </c>
      <c r="AI190" s="129">
        <f t="shared" si="95"/>
        <v>0</v>
      </c>
      <c r="AJ190" s="129">
        <f t="shared" si="95"/>
        <v>0</v>
      </c>
      <c r="AK190" s="129">
        <f t="shared" si="95"/>
        <v>0</v>
      </c>
      <c r="AL190" s="129">
        <f t="shared" si="95"/>
        <v>100000000</v>
      </c>
      <c r="AM190" s="129">
        <f t="shared" si="95"/>
        <v>100000000</v>
      </c>
      <c r="AN190" s="129">
        <f t="shared" si="95"/>
        <v>0</v>
      </c>
      <c r="AO190" s="129">
        <f t="shared" si="95"/>
        <v>0</v>
      </c>
      <c r="AP190" s="130">
        <f>SUM(AP191:AP193)</f>
        <v>100000000</v>
      </c>
      <c r="AQ190" s="129">
        <f>SUM(AQ191:AQ193)</f>
        <v>100000000</v>
      </c>
      <c r="AR190" s="131"/>
      <c r="AS190" s="131"/>
      <c r="AT190" s="131"/>
      <c r="AU190" s="131"/>
      <c r="AV190" s="131"/>
      <c r="AW190" s="131"/>
      <c r="AX190" s="131"/>
      <c r="AY190" s="131"/>
      <c r="AZ190" s="131"/>
      <c r="BA190" s="131">
        <f>SUM(BA191:BA193)</f>
        <v>103000000</v>
      </c>
      <c r="BB190" s="131"/>
      <c r="BC190" s="131"/>
      <c r="BD190" s="131"/>
      <c r="BE190" s="131"/>
      <c r="BF190" s="131"/>
      <c r="BG190" s="131"/>
      <c r="BH190" s="131"/>
      <c r="BI190" s="131"/>
      <c r="BJ190" s="131"/>
      <c r="BK190" s="131">
        <f>SUM(BK191:BK193)</f>
        <v>106090000</v>
      </c>
      <c r="BL190" s="131"/>
      <c r="BM190" s="131"/>
      <c r="BN190" s="131"/>
      <c r="BO190" s="131"/>
      <c r="BP190" s="131"/>
      <c r="BQ190" s="131"/>
      <c r="BR190" s="131"/>
      <c r="BS190" s="131"/>
      <c r="BT190" s="131"/>
      <c r="BU190" s="131">
        <f>SUM(BU191:BU193)</f>
        <v>109272700</v>
      </c>
      <c r="BV190" s="132">
        <f t="shared" si="89"/>
        <v>318362700</v>
      </c>
    </row>
    <row r="191" spans="1:74" ht="212.25" customHeight="1" x14ac:dyDescent="0.2">
      <c r="A191" s="105">
        <v>128</v>
      </c>
      <c r="B191" s="84">
        <v>3</v>
      </c>
      <c r="C191" s="173"/>
      <c r="D191" s="173"/>
      <c r="E191" s="85">
        <v>24</v>
      </c>
      <c r="F191" s="112" t="s">
        <v>429</v>
      </c>
      <c r="G191" s="369" t="s">
        <v>420</v>
      </c>
      <c r="H191" s="177" t="s">
        <v>420</v>
      </c>
      <c r="I191" s="94">
        <v>127</v>
      </c>
      <c r="J191" s="90" t="s">
        <v>430</v>
      </c>
      <c r="K191" s="346" t="s">
        <v>431</v>
      </c>
      <c r="L191" s="91" t="s">
        <v>432</v>
      </c>
      <c r="M191" s="308">
        <v>2</v>
      </c>
      <c r="N191" s="370" t="s">
        <v>44</v>
      </c>
      <c r="O191" s="95" t="s">
        <v>39</v>
      </c>
      <c r="P191" s="95">
        <v>1</v>
      </c>
      <c r="Q191" s="371">
        <v>1</v>
      </c>
      <c r="R191" s="372">
        <v>1</v>
      </c>
      <c r="S191" s="372">
        <v>1</v>
      </c>
      <c r="T191" s="373">
        <v>1</v>
      </c>
      <c r="U191" s="273">
        <f>AP191/$AP$190</f>
        <v>0.18</v>
      </c>
      <c r="V191" s="94">
        <v>2</v>
      </c>
      <c r="W191" s="91" t="s">
        <v>127</v>
      </c>
      <c r="X191" s="231"/>
      <c r="Y191" s="136"/>
      <c r="Z191" s="231"/>
      <c r="AA191" s="136"/>
      <c r="AB191" s="231"/>
      <c r="AC191" s="136"/>
      <c r="AD191" s="231"/>
      <c r="AE191" s="136"/>
      <c r="AF191" s="231"/>
      <c r="AG191" s="136"/>
      <c r="AH191" s="231"/>
      <c r="AI191" s="136"/>
      <c r="AJ191" s="231"/>
      <c r="AK191" s="136"/>
      <c r="AL191" s="141">
        <v>18000000</v>
      </c>
      <c r="AM191" s="100">
        <v>18000000</v>
      </c>
      <c r="AN191" s="141"/>
      <c r="AO191" s="142"/>
      <c r="AP191" s="99">
        <f>+X191+Z191+AB191+AD191+AF191+AH191+AJ191+AL191+AN191</f>
        <v>18000000</v>
      </c>
      <c r="AQ191" s="100">
        <f>Y191+AA191+AC191+AE191+AG191+AI191+AK191+AM191+AO191</f>
        <v>18000000</v>
      </c>
      <c r="AR191" s="109"/>
      <c r="AS191" s="109"/>
      <c r="AT191" s="109"/>
      <c r="AU191" s="109"/>
      <c r="AV191" s="109"/>
      <c r="AW191" s="109"/>
      <c r="AX191" s="109"/>
      <c r="AY191" s="192">
        <v>18540000</v>
      </c>
      <c r="AZ191" s="109"/>
      <c r="BA191" s="109">
        <f>SUM(AR191:AZ191)</f>
        <v>18540000</v>
      </c>
      <c r="BB191" s="192"/>
      <c r="BC191" s="192"/>
      <c r="BD191" s="192"/>
      <c r="BE191" s="192"/>
      <c r="BF191" s="192"/>
      <c r="BG191" s="192"/>
      <c r="BH191" s="192"/>
      <c r="BI191" s="192">
        <v>19000000</v>
      </c>
      <c r="BJ191" s="192"/>
      <c r="BK191" s="192">
        <f>SUM(BB191:BJ191)</f>
        <v>19000000</v>
      </c>
      <c r="BL191" s="109"/>
      <c r="BM191" s="109"/>
      <c r="BN191" s="109"/>
      <c r="BO191" s="109"/>
      <c r="BP191" s="109"/>
      <c r="BQ191" s="109"/>
      <c r="BR191" s="109"/>
      <c r="BS191" s="109">
        <v>19600000</v>
      </c>
      <c r="BT191" s="109"/>
      <c r="BU191" s="109">
        <f>SUM(BL191:BT191)</f>
        <v>19600000</v>
      </c>
      <c r="BV191" s="103">
        <f t="shared" si="89"/>
        <v>114280000</v>
      </c>
    </row>
    <row r="192" spans="1:74" ht="174.75" customHeight="1" x14ac:dyDescent="0.2">
      <c r="A192" s="84">
        <v>129</v>
      </c>
      <c r="B192" s="84">
        <v>3</v>
      </c>
      <c r="C192" s="173"/>
      <c r="D192" s="173"/>
      <c r="E192" s="111"/>
      <c r="F192" s="182"/>
      <c r="G192" s="374"/>
      <c r="H192" s="218"/>
      <c r="I192" s="94">
        <v>128</v>
      </c>
      <c r="J192" s="90" t="s">
        <v>433</v>
      </c>
      <c r="K192" s="346" t="s">
        <v>434</v>
      </c>
      <c r="L192" s="91" t="s">
        <v>432</v>
      </c>
      <c r="M192" s="308">
        <v>2</v>
      </c>
      <c r="N192" s="370" t="s">
        <v>44</v>
      </c>
      <c r="O192" s="95">
        <v>1</v>
      </c>
      <c r="P192" s="95">
        <v>1</v>
      </c>
      <c r="Q192" s="375">
        <v>1</v>
      </c>
      <c r="R192" s="373">
        <v>1</v>
      </c>
      <c r="S192" s="373">
        <v>1</v>
      </c>
      <c r="T192" s="373">
        <v>1</v>
      </c>
      <c r="U192" s="273">
        <f>AP192/$AP$190</f>
        <v>0.25</v>
      </c>
      <c r="V192" s="94">
        <v>2</v>
      </c>
      <c r="W192" s="91" t="s">
        <v>127</v>
      </c>
      <c r="X192" s="231"/>
      <c r="Y192" s="136"/>
      <c r="Z192" s="231"/>
      <c r="AA192" s="136"/>
      <c r="AB192" s="231"/>
      <c r="AC192" s="136"/>
      <c r="AD192" s="231"/>
      <c r="AE192" s="136"/>
      <c r="AF192" s="231"/>
      <c r="AG192" s="136"/>
      <c r="AH192" s="231"/>
      <c r="AI192" s="136"/>
      <c r="AJ192" s="231"/>
      <c r="AK192" s="136"/>
      <c r="AL192" s="141">
        <v>25000000</v>
      </c>
      <c r="AM192" s="100">
        <v>25000000</v>
      </c>
      <c r="AN192" s="141"/>
      <c r="AO192" s="142"/>
      <c r="AP192" s="99">
        <f>+X192+Z192+AB192+AD192+AF192+AH192+AJ192+AL192+AN192</f>
        <v>25000000</v>
      </c>
      <c r="AQ192" s="100">
        <f>Y192+AA192+AC192+AE192+AG192+AI192+AK192+AM192+AO192</f>
        <v>25000000</v>
      </c>
      <c r="AR192" s="109"/>
      <c r="AS192" s="109"/>
      <c r="AT192" s="109"/>
      <c r="AU192" s="109"/>
      <c r="AV192" s="109"/>
      <c r="AW192" s="109"/>
      <c r="AX192" s="109"/>
      <c r="AY192" s="192">
        <v>25750000</v>
      </c>
      <c r="AZ192" s="109"/>
      <c r="BA192" s="109">
        <f>SUM(AR192:AZ192)</f>
        <v>25750000</v>
      </c>
      <c r="BB192" s="192"/>
      <c r="BC192" s="192"/>
      <c r="BD192" s="192"/>
      <c r="BE192" s="192"/>
      <c r="BF192" s="192"/>
      <c r="BG192" s="192"/>
      <c r="BH192" s="192"/>
      <c r="BI192" s="192">
        <v>26530000</v>
      </c>
      <c r="BJ192" s="192"/>
      <c r="BK192" s="192">
        <f>SUM(BB192:BJ192)</f>
        <v>26530000</v>
      </c>
      <c r="BL192" s="109"/>
      <c r="BM192" s="109"/>
      <c r="BN192" s="109"/>
      <c r="BO192" s="109"/>
      <c r="BP192" s="109"/>
      <c r="BQ192" s="109"/>
      <c r="BR192" s="109"/>
      <c r="BS192" s="109">
        <v>27300000</v>
      </c>
      <c r="BT192" s="109"/>
      <c r="BU192" s="109">
        <f>SUM(BL192:BT192)</f>
        <v>27300000</v>
      </c>
      <c r="BV192" s="103">
        <f t="shared" si="89"/>
        <v>159160000</v>
      </c>
    </row>
    <row r="193" spans="1:74" ht="200.25" customHeight="1" x14ac:dyDescent="0.2">
      <c r="A193" s="105">
        <v>130</v>
      </c>
      <c r="B193" s="84">
        <v>3</v>
      </c>
      <c r="C193" s="173"/>
      <c r="D193" s="237"/>
      <c r="E193" s="110"/>
      <c r="F193" s="115"/>
      <c r="G193" s="260"/>
      <c r="H193" s="250"/>
      <c r="I193" s="94">
        <v>129</v>
      </c>
      <c r="J193" s="90" t="s">
        <v>435</v>
      </c>
      <c r="K193" s="346" t="s">
        <v>436</v>
      </c>
      <c r="L193" s="91" t="s">
        <v>432</v>
      </c>
      <c r="M193" s="308">
        <v>2</v>
      </c>
      <c r="N193" s="370" t="s">
        <v>44</v>
      </c>
      <c r="O193" s="95" t="s">
        <v>39</v>
      </c>
      <c r="P193" s="95">
        <v>6</v>
      </c>
      <c r="Q193" s="375">
        <v>6</v>
      </c>
      <c r="R193" s="373">
        <v>6</v>
      </c>
      <c r="S193" s="373">
        <v>6</v>
      </c>
      <c r="T193" s="373">
        <v>6</v>
      </c>
      <c r="U193" s="273">
        <f>AP193/$AP$190</f>
        <v>0.56999999999999995</v>
      </c>
      <c r="V193" s="94">
        <v>2</v>
      </c>
      <c r="W193" s="91" t="s">
        <v>127</v>
      </c>
      <c r="X193" s="231"/>
      <c r="Y193" s="136"/>
      <c r="Z193" s="231"/>
      <c r="AA193" s="136"/>
      <c r="AB193" s="231"/>
      <c r="AC193" s="136"/>
      <c r="AD193" s="231"/>
      <c r="AE193" s="136"/>
      <c r="AF193" s="231"/>
      <c r="AG193" s="136"/>
      <c r="AH193" s="231"/>
      <c r="AI193" s="136"/>
      <c r="AJ193" s="231"/>
      <c r="AK193" s="136"/>
      <c r="AL193" s="141">
        <v>57000000</v>
      </c>
      <c r="AM193" s="100">
        <v>57000000</v>
      </c>
      <c r="AN193" s="141"/>
      <c r="AO193" s="142"/>
      <c r="AP193" s="99">
        <f>+X193+Z193+AB193+AD193+AF193+AH193+AJ193+AL193+AN193</f>
        <v>57000000</v>
      </c>
      <c r="AQ193" s="100">
        <f>Y193+AA193+AC193+AE193+AG193+AI193+AK193+AM193+AO193</f>
        <v>57000000</v>
      </c>
      <c r="AR193" s="109"/>
      <c r="AS193" s="109"/>
      <c r="AT193" s="109"/>
      <c r="AU193" s="109"/>
      <c r="AV193" s="109"/>
      <c r="AW193" s="109"/>
      <c r="AX193" s="109"/>
      <c r="AY193" s="192">
        <v>58709999.999999993</v>
      </c>
      <c r="AZ193" s="109"/>
      <c r="BA193" s="109">
        <f>SUM(AR193:AZ193)</f>
        <v>58709999.999999993</v>
      </c>
      <c r="BB193" s="192"/>
      <c r="BC193" s="192"/>
      <c r="BD193" s="192"/>
      <c r="BE193" s="192"/>
      <c r="BF193" s="192"/>
      <c r="BG193" s="192"/>
      <c r="BH193" s="192"/>
      <c r="BI193" s="192">
        <v>60559999.999999993</v>
      </c>
      <c r="BJ193" s="192"/>
      <c r="BK193" s="192">
        <f>SUM(BB193:BJ193)</f>
        <v>60559999.999999993</v>
      </c>
      <c r="BL193" s="109"/>
      <c r="BM193" s="109"/>
      <c r="BN193" s="109"/>
      <c r="BO193" s="109"/>
      <c r="BP193" s="109"/>
      <c r="BQ193" s="109"/>
      <c r="BR193" s="109"/>
      <c r="BS193" s="109">
        <v>62372700</v>
      </c>
      <c r="BT193" s="109"/>
      <c r="BU193" s="109">
        <f>SUM(BL193:BT193)</f>
        <v>62372700</v>
      </c>
      <c r="BV193" s="103">
        <f t="shared" si="89"/>
        <v>363285400</v>
      </c>
    </row>
    <row r="194" spans="1:74" ht="22.5" customHeight="1" x14ac:dyDescent="0.2">
      <c r="A194" s="105"/>
      <c r="B194" s="84"/>
      <c r="C194" s="173"/>
      <c r="D194" s="56">
        <v>12</v>
      </c>
      <c r="E194" s="170" t="s">
        <v>437</v>
      </c>
      <c r="F194" s="58"/>
      <c r="G194" s="59"/>
      <c r="H194" s="59"/>
      <c r="I194" s="60"/>
      <c r="J194" s="61"/>
      <c r="K194" s="61"/>
      <c r="L194" s="62"/>
      <c r="M194" s="60"/>
      <c r="N194" s="63"/>
      <c r="O194" s="61"/>
      <c r="P194" s="61"/>
      <c r="Q194" s="64"/>
      <c r="R194" s="61"/>
      <c r="S194" s="61"/>
      <c r="T194" s="60"/>
      <c r="U194" s="171"/>
      <c r="V194" s="60"/>
      <c r="W194" s="60"/>
      <c r="X194" s="66">
        <f t="shared" ref="X194:AO194" si="96">X195+X198+X203+X207+X211+X217+X220+X223+X227+X233+X236</f>
        <v>0</v>
      </c>
      <c r="Y194" s="66">
        <f t="shared" si="96"/>
        <v>0</v>
      </c>
      <c r="Z194" s="66">
        <f t="shared" si="96"/>
        <v>1189435758</v>
      </c>
      <c r="AA194" s="66">
        <f t="shared" si="96"/>
        <v>1267889758</v>
      </c>
      <c r="AB194" s="66">
        <f t="shared" si="96"/>
        <v>190000000</v>
      </c>
      <c r="AC194" s="66">
        <f t="shared" si="96"/>
        <v>190000000</v>
      </c>
      <c r="AD194" s="66">
        <f t="shared" si="96"/>
        <v>293431258</v>
      </c>
      <c r="AE194" s="66">
        <f t="shared" si="96"/>
        <v>295344126</v>
      </c>
      <c r="AF194" s="66">
        <f t="shared" si="96"/>
        <v>0</v>
      </c>
      <c r="AG194" s="66">
        <f t="shared" si="96"/>
        <v>0</v>
      </c>
      <c r="AH194" s="66">
        <f t="shared" si="96"/>
        <v>0</v>
      </c>
      <c r="AI194" s="66">
        <f t="shared" si="96"/>
        <v>0</v>
      </c>
      <c r="AJ194" s="66">
        <f t="shared" si="96"/>
        <v>0</v>
      </c>
      <c r="AK194" s="66">
        <f t="shared" si="96"/>
        <v>0</v>
      </c>
      <c r="AL194" s="66">
        <f t="shared" si="96"/>
        <v>3383279853</v>
      </c>
      <c r="AM194" s="66">
        <f t="shared" si="96"/>
        <v>3400197430</v>
      </c>
      <c r="AN194" s="66">
        <f t="shared" si="96"/>
        <v>0</v>
      </c>
      <c r="AO194" s="66">
        <f t="shared" si="96"/>
        <v>0</v>
      </c>
      <c r="AP194" s="66">
        <f>AP195+AP198+AP203+AP207+AP211+AP217+AP220+AP223+AP227+AP233+AP236</f>
        <v>5056146869</v>
      </c>
      <c r="AQ194" s="66">
        <f>AQ195+AQ198+AQ203+AQ207+AQ211+AQ217+AQ220+AQ223+AQ227+AQ233+AQ236</f>
        <v>5153431314</v>
      </c>
      <c r="AR194" s="68"/>
      <c r="AS194" s="68"/>
      <c r="AT194" s="68"/>
      <c r="AU194" s="68"/>
      <c r="AV194" s="68"/>
      <c r="AW194" s="68"/>
      <c r="AX194" s="68"/>
      <c r="AY194" s="68"/>
      <c r="AZ194" s="68"/>
      <c r="BA194" s="68">
        <f>BA195+BA198+BA203+BA207+BA211+BA217+BA220+BA223+BA227+BA233+BA236</f>
        <v>4210024982.4200001</v>
      </c>
      <c r="BB194" s="68"/>
      <c r="BC194" s="68"/>
      <c r="BD194" s="68"/>
      <c r="BE194" s="68"/>
      <c r="BF194" s="68"/>
      <c r="BG194" s="68"/>
      <c r="BH194" s="68"/>
      <c r="BI194" s="68"/>
      <c r="BJ194" s="68"/>
      <c r="BK194" s="68">
        <f>BK195+BK198+BK203+BK207+BK211+BK217+BK220+BK223+BK227+BK233+BK236</f>
        <v>4232425732.0269175</v>
      </c>
      <c r="BL194" s="68"/>
      <c r="BM194" s="68"/>
      <c r="BN194" s="68"/>
      <c r="BO194" s="68"/>
      <c r="BP194" s="68"/>
      <c r="BQ194" s="68"/>
      <c r="BR194" s="68"/>
      <c r="BS194" s="68"/>
      <c r="BT194" s="68"/>
      <c r="BU194" s="68">
        <f>BU195+BU198+BU203+BU207+BU211+BU217+BU220+BU223+BU227+BU233+BU236</f>
        <v>4348498504.0244284</v>
      </c>
      <c r="BV194" s="172">
        <f t="shared" si="89"/>
        <v>12790949218.471346</v>
      </c>
    </row>
    <row r="195" spans="1:74" ht="22.5" customHeight="1" x14ac:dyDescent="0.2">
      <c r="A195" s="105"/>
      <c r="B195" s="84"/>
      <c r="C195" s="173"/>
      <c r="D195" s="169"/>
      <c r="E195" s="71">
        <v>36</v>
      </c>
      <c r="F195" s="229" t="s">
        <v>438</v>
      </c>
      <c r="G195" s="124"/>
      <c r="H195" s="125"/>
      <c r="I195" s="74"/>
      <c r="J195" s="125"/>
      <c r="K195" s="125"/>
      <c r="L195" s="74"/>
      <c r="M195" s="74"/>
      <c r="N195" s="126"/>
      <c r="O195" s="125"/>
      <c r="P195" s="125"/>
      <c r="Q195" s="127"/>
      <c r="R195" s="125"/>
      <c r="S195" s="125"/>
      <c r="T195" s="74"/>
      <c r="U195" s="128"/>
      <c r="V195" s="74"/>
      <c r="W195" s="74"/>
      <c r="X195" s="129">
        <f t="shared" ref="X195:AO195" si="97">SUM(X196:X197)</f>
        <v>0</v>
      </c>
      <c r="Y195" s="129">
        <f t="shared" si="97"/>
        <v>0</v>
      </c>
      <c r="Z195" s="129">
        <f t="shared" si="97"/>
        <v>0</v>
      </c>
      <c r="AA195" s="129">
        <f t="shared" si="97"/>
        <v>0</v>
      </c>
      <c r="AB195" s="129">
        <f t="shared" si="97"/>
        <v>0</v>
      </c>
      <c r="AC195" s="129">
        <f t="shared" si="97"/>
        <v>0</v>
      </c>
      <c r="AD195" s="129">
        <f t="shared" si="97"/>
        <v>0</v>
      </c>
      <c r="AE195" s="129">
        <f t="shared" si="97"/>
        <v>0</v>
      </c>
      <c r="AF195" s="129">
        <f t="shared" si="97"/>
        <v>0</v>
      </c>
      <c r="AG195" s="129">
        <f t="shared" si="97"/>
        <v>0</v>
      </c>
      <c r="AH195" s="129">
        <f t="shared" si="97"/>
        <v>0</v>
      </c>
      <c r="AI195" s="129">
        <f t="shared" si="97"/>
        <v>0</v>
      </c>
      <c r="AJ195" s="129">
        <f t="shared" si="97"/>
        <v>0</v>
      </c>
      <c r="AK195" s="129">
        <f t="shared" si="97"/>
        <v>0</v>
      </c>
      <c r="AL195" s="129">
        <f t="shared" si="97"/>
        <v>150000000</v>
      </c>
      <c r="AM195" s="129">
        <f t="shared" si="97"/>
        <v>150000000</v>
      </c>
      <c r="AN195" s="129">
        <f t="shared" si="97"/>
        <v>0</v>
      </c>
      <c r="AO195" s="129">
        <f t="shared" si="97"/>
        <v>0</v>
      </c>
      <c r="AP195" s="129">
        <f>SUM(AP196:AP197)</f>
        <v>150000000</v>
      </c>
      <c r="AQ195" s="129">
        <f>SUM(AQ196:AQ197)</f>
        <v>150000000</v>
      </c>
      <c r="AR195" s="131"/>
      <c r="AS195" s="131"/>
      <c r="AT195" s="131"/>
      <c r="AU195" s="131"/>
      <c r="AV195" s="131"/>
      <c r="AW195" s="131"/>
      <c r="AX195" s="131"/>
      <c r="AY195" s="131"/>
      <c r="AZ195" s="131"/>
      <c r="BA195" s="131">
        <f>SUM(BA196:BA197)</f>
        <v>154500000</v>
      </c>
      <c r="BB195" s="131"/>
      <c r="BC195" s="131"/>
      <c r="BD195" s="131"/>
      <c r="BE195" s="131"/>
      <c r="BF195" s="131"/>
      <c r="BG195" s="131"/>
      <c r="BH195" s="131"/>
      <c r="BI195" s="131"/>
      <c r="BJ195" s="131"/>
      <c r="BK195" s="131">
        <f>SUM(BK196:BK197)</f>
        <v>159135000</v>
      </c>
      <c r="BL195" s="131"/>
      <c r="BM195" s="131"/>
      <c r="BN195" s="131"/>
      <c r="BO195" s="131"/>
      <c r="BP195" s="131"/>
      <c r="BQ195" s="131"/>
      <c r="BR195" s="131"/>
      <c r="BS195" s="131"/>
      <c r="BT195" s="131"/>
      <c r="BU195" s="131">
        <f>SUM(BU196:BU197)</f>
        <v>163909050</v>
      </c>
      <c r="BV195" s="132">
        <f t="shared" si="89"/>
        <v>477544050</v>
      </c>
    </row>
    <row r="196" spans="1:74" ht="390.75" customHeight="1" x14ac:dyDescent="0.2">
      <c r="A196" s="84">
        <v>131</v>
      </c>
      <c r="B196" s="84">
        <v>3</v>
      </c>
      <c r="C196" s="173"/>
      <c r="D196" s="173"/>
      <c r="E196" s="85">
        <v>3</v>
      </c>
      <c r="F196" s="112" t="s">
        <v>64</v>
      </c>
      <c r="G196" s="113" t="s">
        <v>439</v>
      </c>
      <c r="H196" s="113" t="s">
        <v>66</v>
      </c>
      <c r="I196" s="314">
        <v>130</v>
      </c>
      <c r="J196" s="256" t="s">
        <v>440</v>
      </c>
      <c r="K196" s="112" t="s">
        <v>441</v>
      </c>
      <c r="L196" s="314" t="s">
        <v>432</v>
      </c>
      <c r="M196" s="312">
        <v>2</v>
      </c>
      <c r="N196" s="376" t="s">
        <v>44</v>
      </c>
      <c r="O196" s="87">
        <v>0</v>
      </c>
      <c r="P196" s="87">
        <v>1</v>
      </c>
      <c r="Q196" s="377">
        <v>1</v>
      </c>
      <c r="R196" s="376">
        <v>1</v>
      </c>
      <c r="S196" s="376">
        <v>1</v>
      </c>
      <c r="T196" s="376">
        <v>1</v>
      </c>
      <c r="U196" s="378">
        <f>AP196/$AP$195</f>
        <v>0.2</v>
      </c>
      <c r="V196" s="314">
        <v>3</v>
      </c>
      <c r="W196" s="314" t="s">
        <v>442</v>
      </c>
      <c r="X196" s="379"/>
      <c r="Y196" s="379"/>
      <c r="Z196" s="379"/>
      <c r="AA196" s="379"/>
      <c r="AB196" s="379"/>
      <c r="AC196" s="379"/>
      <c r="AD196" s="379"/>
      <c r="AE196" s="379"/>
      <c r="AF196" s="379"/>
      <c r="AG196" s="379"/>
      <c r="AH196" s="379"/>
      <c r="AI196" s="379"/>
      <c r="AJ196" s="379"/>
      <c r="AK196" s="379"/>
      <c r="AL196" s="379">
        <v>30000000</v>
      </c>
      <c r="AM196" s="315">
        <v>30000000</v>
      </c>
      <c r="AN196" s="379"/>
      <c r="AO196" s="379"/>
      <c r="AP196" s="99">
        <f>+X196+Z196+AB196+AD196+AF196+AH196+AJ196+AL196+AN196</f>
        <v>30000000</v>
      </c>
      <c r="AQ196" s="100">
        <f>Y196+AA196+AC196+AE196+AG196+AI196+AK196+AM196+AO196</f>
        <v>30000000</v>
      </c>
      <c r="AR196" s="380"/>
      <c r="AS196" s="380"/>
      <c r="AT196" s="380"/>
      <c r="AU196" s="380"/>
      <c r="AV196" s="380"/>
      <c r="AW196" s="380"/>
      <c r="AX196" s="380"/>
      <c r="AY196" s="380">
        <v>30900000</v>
      </c>
      <c r="AZ196" s="380"/>
      <c r="BA196" s="380">
        <f>SUM(AR196:AY196)+AZ196</f>
        <v>30900000</v>
      </c>
      <c r="BB196" s="380"/>
      <c r="BC196" s="380"/>
      <c r="BD196" s="380"/>
      <c r="BE196" s="380"/>
      <c r="BF196" s="380"/>
      <c r="BG196" s="380"/>
      <c r="BH196" s="380"/>
      <c r="BI196" s="380">
        <v>31827000</v>
      </c>
      <c r="BJ196" s="380"/>
      <c r="BK196" s="380">
        <f>SUM(BB196:BJ196)</f>
        <v>31827000</v>
      </c>
      <c r="BL196" s="380"/>
      <c r="BM196" s="380"/>
      <c r="BN196" s="380"/>
      <c r="BO196" s="380"/>
      <c r="BP196" s="380"/>
      <c r="BQ196" s="380"/>
      <c r="BR196" s="380"/>
      <c r="BS196" s="380">
        <v>32781810</v>
      </c>
      <c r="BT196" s="380"/>
      <c r="BU196" s="380">
        <f>SUM(BL196:BT196)</f>
        <v>32781810</v>
      </c>
      <c r="BV196" s="103">
        <f t="shared" si="89"/>
        <v>191017620</v>
      </c>
    </row>
    <row r="197" spans="1:74" ht="71.25" x14ac:dyDescent="0.2">
      <c r="A197" s="105">
        <v>132</v>
      </c>
      <c r="B197" s="84">
        <v>3</v>
      </c>
      <c r="C197" s="173"/>
      <c r="D197" s="173"/>
      <c r="E197" s="110"/>
      <c r="F197" s="114"/>
      <c r="G197" s="116"/>
      <c r="H197" s="116"/>
      <c r="I197" s="94">
        <v>131</v>
      </c>
      <c r="J197" s="90" t="s">
        <v>443</v>
      </c>
      <c r="K197" s="86" t="s">
        <v>444</v>
      </c>
      <c r="L197" s="314" t="s">
        <v>432</v>
      </c>
      <c r="M197" s="314">
        <v>2</v>
      </c>
      <c r="N197" s="376" t="s">
        <v>58</v>
      </c>
      <c r="O197" s="95">
        <v>0</v>
      </c>
      <c r="P197" s="95">
        <v>12</v>
      </c>
      <c r="Q197" s="375">
        <v>3</v>
      </c>
      <c r="R197" s="373">
        <v>3</v>
      </c>
      <c r="S197" s="373">
        <v>3</v>
      </c>
      <c r="T197" s="373">
        <v>3</v>
      </c>
      <c r="U197" s="378">
        <f>AP197/AP195</f>
        <v>0.8</v>
      </c>
      <c r="V197" s="94">
        <v>3</v>
      </c>
      <c r="W197" s="242" t="s">
        <v>442</v>
      </c>
      <c r="X197" s="381"/>
      <c r="Y197" s="142"/>
      <c r="Z197" s="381"/>
      <c r="AA197" s="142"/>
      <c r="AB197" s="381"/>
      <c r="AC197" s="142"/>
      <c r="AD197" s="381"/>
      <c r="AE197" s="142"/>
      <c r="AF197" s="381"/>
      <c r="AG197" s="142"/>
      <c r="AH197" s="381"/>
      <c r="AI197" s="142"/>
      <c r="AJ197" s="381"/>
      <c r="AK197" s="142"/>
      <c r="AL197" s="141">
        <v>120000000</v>
      </c>
      <c r="AM197" s="136">
        <v>120000000</v>
      </c>
      <c r="AN197" s="381"/>
      <c r="AO197" s="142"/>
      <c r="AP197" s="99">
        <f>+X197+Z197+AB197+AD197+AF197+AH197+AJ197+AL197+AN197</f>
        <v>120000000</v>
      </c>
      <c r="AQ197" s="100">
        <f>Y197+AA197+AC197+AE197+AG197+AI197+AK197+AM197+AO197</f>
        <v>120000000</v>
      </c>
      <c r="AR197" s="109"/>
      <c r="AS197" s="109"/>
      <c r="AT197" s="109"/>
      <c r="AU197" s="109"/>
      <c r="AV197" s="109"/>
      <c r="AW197" s="109"/>
      <c r="AX197" s="109"/>
      <c r="AY197" s="192">
        <v>123600000</v>
      </c>
      <c r="AZ197" s="109"/>
      <c r="BA197" s="109">
        <f>SUM(AR197:AZ197)</f>
        <v>123600000</v>
      </c>
      <c r="BB197" s="192"/>
      <c r="BC197" s="192"/>
      <c r="BD197" s="192"/>
      <c r="BE197" s="192"/>
      <c r="BF197" s="192"/>
      <c r="BG197" s="192"/>
      <c r="BH197" s="192"/>
      <c r="BI197" s="192">
        <v>127308000</v>
      </c>
      <c r="BJ197" s="192"/>
      <c r="BK197" s="192">
        <f>SUM(BB197:BJ197)</f>
        <v>127308000</v>
      </c>
      <c r="BL197" s="109"/>
      <c r="BM197" s="109"/>
      <c r="BN197" s="109"/>
      <c r="BO197" s="109"/>
      <c r="BP197" s="109"/>
      <c r="BQ197" s="109"/>
      <c r="BR197" s="109"/>
      <c r="BS197" s="109">
        <v>131127240</v>
      </c>
      <c r="BT197" s="109"/>
      <c r="BU197" s="109">
        <f>SUM(BL197:BT197)</f>
        <v>131127240</v>
      </c>
      <c r="BV197" s="103">
        <f t="shared" si="89"/>
        <v>764070480</v>
      </c>
    </row>
    <row r="198" spans="1:74" ht="22.5" customHeight="1" x14ac:dyDescent="0.2">
      <c r="A198" s="105"/>
      <c r="B198" s="84"/>
      <c r="C198" s="173"/>
      <c r="D198" s="173"/>
      <c r="E198" s="71">
        <v>37</v>
      </c>
      <c r="F198" s="72" t="s">
        <v>445</v>
      </c>
      <c r="G198" s="125"/>
      <c r="H198" s="125"/>
      <c r="I198" s="71"/>
      <c r="J198" s="229"/>
      <c r="K198" s="125"/>
      <c r="L198" s="74"/>
      <c r="M198" s="74"/>
      <c r="N198" s="126"/>
      <c r="O198" s="125"/>
      <c r="P198" s="125"/>
      <c r="Q198" s="127"/>
      <c r="R198" s="125"/>
      <c r="S198" s="125"/>
      <c r="T198" s="74"/>
      <c r="U198" s="128"/>
      <c r="V198" s="74"/>
      <c r="W198" s="74"/>
      <c r="X198" s="129">
        <f t="shared" ref="X198:AO198" si="98">SUM(X199:X202)</f>
        <v>0</v>
      </c>
      <c r="Y198" s="129">
        <f t="shared" si="98"/>
        <v>0</v>
      </c>
      <c r="Z198" s="129">
        <f t="shared" si="98"/>
        <v>0</v>
      </c>
      <c r="AA198" s="129">
        <f t="shared" si="98"/>
        <v>0</v>
      </c>
      <c r="AB198" s="129">
        <f t="shared" si="98"/>
        <v>0</v>
      </c>
      <c r="AC198" s="129">
        <f t="shared" si="98"/>
        <v>0</v>
      </c>
      <c r="AD198" s="129">
        <f t="shared" si="98"/>
        <v>0</v>
      </c>
      <c r="AE198" s="129">
        <f t="shared" si="98"/>
        <v>0</v>
      </c>
      <c r="AF198" s="129">
        <f t="shared" si="98"/>
        <v>0</v>
      </c>
      <c r="AG198" s="129">
        <f t="shared" si="98"/>
        <v>0</v>
      </c>
      <c r="AH198" s="129">
        <f t="shared" si="98"/>
        <v>0</v>
      </c>
      <c r="AI198" s="129">
        <f t="shared" si="98"/>
        <v>0</v>
      </c>
      <c r="AJ198" s="129">
        <f t="shared" si="98"/>
        <v>0</v>
      </c>
      <c r="AK198" s="129">
        <f t="shared" si="98"/>
        <v>0</v>
      </c>
      <c r="AL198" s="129">
        <f t="shared" si="98"/>
        <v>120000000</v>
      </c>
      <c r="AM198" s="129">
        <f t="shared" si="98"/>
        <v>120000000</v>
      </c>
      <c r="AN198" s="129">
        <f t="shared" si="98"/>
        <v>0</v>
      </c>
      <c r="AO198" s="129">
        <f t="shared" si="98"/>
        <v>0</v>
      </c>
      <c r="AP198" s="130">
        <f>SUM(AP199:AP202)</f>
        <v>120000000</v>
      </c>
      <c r="AQ198" s="129">
        <f>SUM(AQ199:AQ202)</f>
        <v>120000000</v>
      </c>
      <c r="AR198" s="131"/>
      <c r="AS198" s="131"/>
      <c r="AT198" s="131"/>
      <c r="AU198" s="131"/>
      <c r="AV198" s="131"/>
      <c r="AW198" s="131"/>
      <c r="AX198" s="131"/>
      <c r="AY198" s="131"/>
      <c r="AZ198" s="131"/>
      <c r="BA198" s="131">
        <f>SUM(BA199:BA202)</f>
        <v>123600000</v>
      </c>
      <c r="BB198" s="131"/>
      <c r="BC198" s="131"/>
      <c r="BD198" s="131"/>
      <c r="BE198" s="131"/>
      <c r="BF198" s="131"/>
      <c r="BG198" s="131"/>
      <c r="BH198" s="131"/>
      <c r="BI198" s="131"/>
      <c r="BJ198" s="131"/>
      <c r="BK198" s="131">
        <f>SUM(BK199:BK202)</f>
        <v>127308000</v>
      </c>
      <c r="BL198" s="131"/>
      <c r="BM198" s="131"/>
      <c r="BN198" s="131"/>
      <c r="BO198" s="131"/>
      <c r="BP198" s="131"/>
      <c r="BQ198" s="131"/>
      <c r="BR198" s="131"/>
      <c r="BS198" s="131"/>
      <c r="BT198" s="131"/>
      <c r="BU198" s="131">
        <f>SUM(BU199:BU202)</f>
        <v>131127240</v>
      </c>
      <c r="BV198" s="132">
        <f t="shared" si="89"/>
        <v>382035240</v>
      </c>
    </row>
    <row r="199" spans="1:74" ht="96" customHeight="1" x14ac:dyDescent="0.2">
      <c r="A199" s="84">
        <v>133</v>
      </c>
      <c r="B199" s="84">
        <v>3</v>
      </c>
      <c r="C199" s="173"/>
      <c r="D199" s="173"/>
      <c r="E199" s="85">
        <v>31</v>
      </c>
      <c r="F199" s="359" t="s">
        <v>446</v>
      </c>
      <c r="G199" s="88" t="s">
        <v>447</v>
      </c>
      <c r="H199" s="257">
        <v>0.2</v>
      </c>
      <c r="I199" s="94">
        <v>132</v>
      </c>
      <c r="J199" s="90" t="s">
        <v>448</v>
      </c>
      <c r="K199" s="86" t="s">
        <v>449</v>
      </c>
      <c r="L199" s="314" t="s">
        <v>432</v>
      </c>
      <c r="M199" s="314">
        <v>2</v>
      </c>
      <c r="N199" s="382" t="s">
        <v>44</v>
      </c>
      <c r="O199" s="94" t="s">
        <v>39</v>
      </c>
      <c r="P199" s="94">
        <v>8</v>
      </c>
      <c r="Q199" s="375">
        <v>8</v>
      </c>
      <c r="R199" s="375">
        <v>8</v>
      </c>
      <c r="S199" s="375">
        <v>8</v>
      </c>
      <c r="T199" s="375">
        <v>8</v>
      </c>
      <c r="U199" s="273">
        <f>AP199/$AP$198</f>
        <v>0.20833333333333334</v>
      </c>
      <c r="V199" s="95">
        <v>3</v>
      </c>
      <c r="W199" s="92" t="s">
        <v>442</v>
      </c>
      <c r="X199" s="231"/>
      <c r="Y199" s="136"/>
      <c r="Z199" s="231"/>
      <c r="AA199" s="136"/>
      <c r="AB199" s="231"/>
      <c r="AC199" s="136"/>
      <c r="AD199" s="231"/>
      <c r="AE199" s="136"/>
      <c r="AF199" s="231"/>
      <c r="AG199" s="136"/>
      <c r="AH199" s="231"/>
      <c r="AI199" s="136"/>
      <c r="AJ199" s="231"/>
      <c r="AK199" s="136"/>
      <c r="AL199" s="141">
        <v>25000000</v>
      </c>
      <c r="AM199" s="136">
        <v>25000000</v>
      </c>
      <c r="AN199" s="141"/>
      <c r="AO199" s="142"/>
      <c r="AP199" s="99">
        <f>+X199+Z199+AB199+AD199+AF199+AH199+AJ199+AL199+AN199</f>
        <v>25000000</v>
      </c>
      <c r="AQ199" s="100">
        <f>Y199+AA199+AC199+AE199+AG199+AI199+AK199+AM199+AO199</f>
        <v>25000000</v>
      </c>
      <c r="AR199" s="109"/>
      <c r="AS199" s="109"/>
      <c r="AT199" s="109"/>
      <c r="AU199" s="109"/>
      <c r="AV199" s="109"/>
      <c r="AW199" s="109"/>
      <c r="AX199" s="109"/>
      <c r="AY199" s="192">
        <v>25750000</v>
      </c>
      <c r="AZ199" s="109"/>
      <c r="BA199" s="109">
        <f>SUM(AR199:AY199)+AZ199</f>
        <v>25750000</v>
      </c>
      <c r="BB199" s="192"/>
      <c r="BC199" s="192"/>
      <c r="BD199" s="192"/>
      <c r="BE199" s="192"/>
      <c r="BF199" s="192"/>
      <c r="BG199" s="192"/>
      <c r="BH199" s="192"/>
      <c r="BI199" s="192">
        <v>26500000</v>
      </c>
      <c r="BJ199" s="192"/>
      <c r="BK199" s="192">
        <f>SUM(BB199:BJ199)</f>
        <v>26500000</v>
      </c>
      <c r="BL199" s="109"/>
      <c r="BM199" s="109"/>
      <c r="BN199" s="109"/>
      <c r="BO199" s="109"/>
      <c r="BP199" s="109"/>
      <c r="BQ199" s="109"/>
      <c r="BR199" s="109"/>
      <c r="BS199" s="109">
        <v>27300000</v>
      </c>
      <c r="BT199" s="109"/>
      <c r="BU199" s="109">
        <f>SUM(BL199:BT199)</f>
        <v>27300000</v>
      </c>
      <c r="BV199" s="103">
        <f t="shared" si="89"/>
        <v>159100000</v>
      </c>
    </row>
    <row r="200" spans="1:74" ht="158.25" customHeight="1" x14ac:dyDescent="0.2">
      <c r="A200" s="105">
        <v>134</v>
      </c>
      <c r="B200" s="84">
        <v>3</v>
      </c>
      <c r="C200" s="173"/>
      <c r="D200" s="173"/>
      <c r="E200" s="111">
        <v>33</v>
      </c>
      <c r="F200" s="86" t="s">
        <v>450</v>
      </c>
      <c r="G200" s="95">
        <v>0</v>
      </c>
      <c r="H200" s="95">
        <v>0</v>
      </c>
      <c r="I200" s="94">
        <v>133</v>
      </c>
      <c r="J200" s="90" t="s">
        <v>451</v>
      </c>
      <c r="K200" s="86" t="s">
        <v>452</v>
      </c>
      <c r="L200" s="314" t="s">
        <v>432</v>
      </c>
      <c r="M200" s="314">
        <v>2</v>
      </c>
      <c r="N200" s="382" t="s">
        <v>44</v>
      </c>
      <c r="O200" s="94">
        <v>0</v>
      </c>
      <c r="P200" s="94">
        <v>12</v>
      </c>
      <c r="Q200" s="375">
        <v>12</v>
      </c>
      <c r="R200" s="375">
        <v>12</v>
      </c>
      <c r="S200" s="375">
        <v>12</v>
      </c>
      <c r="T200" s="375">
        <v>12</v>
      </c>
      <c r="U200" s="273">
        <f>AP200/$AP$198</f>
        <v>0.20833333333333334</v>
      </c>
      <c r="V200" s="95">
        <v>3</v>
      </c>
      <c r="W200" s="92" t="s">
        <v>442</v>
      </c>
      <c r="X200" s="231"/>
      <c r="Y200" s="136"/>
      <c r="Z200" s="231"/>
      <c r="AA200" s="136"/>
      <c r="AB200" s="231"/>
      <c r="AC200" s="136"/>
      <c r="AD200" s="231"/>
      <c r="AE200" s="136"/>
      <c r="AF200" s="231"/>
      <c r="AG200" s="136"/>
      <c r="AH200" s="231"/>
      <c r="AI200" s="136"/>
      <c r="AJ200" s="231"/>
      <c r="AK200" s="136"/>
      <c r="AL200" s="141">
        <v>25000000</v>
      </c>
      <c r="AM200" s="136">
        <v>25000000</v>
      </c>
      <c r="AN200" s="141"/>
      <c r="AO200" s="142"/>
      <c r="AP200" s="99">
        <f>+X200+Z200+AB200+AD200+AF200+AH200+AJ200+AL200+AN200</f>
        <v>25000000</v>
      </c>
      <c r="AQ200" s="100">
        <f>Y200+AA200+AC200+AE200+AG200+AI200+AK200+AM200+AO200</f>
        <v>25000000</v>
      </c>
      <c r="AR200" s="109"/>
      <c r="AS200" s="109"/>
      <c r="AT200" s="109"/>
      <c r="AU200" s="109"/>
      <c r="AV200" s="109"/>
      <c r="AW200" s="109"/>
      <c r="AX200" s="109"/>
      <c r="AY200" s="192">
        <v>25750000</v>
      </c>
      <c r="AZ200" s="109"/>
      <c r="BA200" s="109">
        <f>SUM(AR200:AY200)+AZ200</f>
        <v>25750000</v>
      </c>
      <c r="BB200" s="192"/>
      <c r="BC200" s="192"/>
      <c r="BD200" s="192"/>
      <c r="BE200" s="192"/>
      <c r="BF200" s="192"/>
      <c r="BG200" s="192"/>
      <c r="BH200" s="192"/>
      <c r="BI200" s="192">
        <v>26500000</v>
      </c>
      <c r="BJ200" s="192"/>
      <c r="BK200" s="192">
        <f>SUM(BB200:BJ200)</f>
        <v>26500000</v>
      </c>
      <c r="BL200" s="109"/>
      <c r="BM200" s="109"/>
      <c r="BN200" s="109"/>
      <c r="BO200" s="109"/>
      <c r="BP200" s="109"/>
      <c r="BQ200" s="109"/>
      <c r="BR200" s="109"/>
      <c r="BS200" s="109">
        <v>27300000</v>
      </c>
      <c r="BT200" s="109"/>
      <c r="BU200" s="109">
        <f>SUM(BL200:BT200)</f>
        <v>27300000</v>
      </c>
      <c r="BV200" s="103">
        <f t="shared" si="89"/>
        <v>159100000</v>
      </c>
    </row>
    <row r="201" spans="1:74" ht="267" customHeight="1" x14ac:dyDescent="0.2">
      <c r="A201" s="105"/>
      <c r="B201" s="84"/>
      <c r="C201" s="173"/>
      <c r="D201" s="173"/>
      <c r="E201" s="111"/>
      <c r="F201" s="95"/>
      <c r="G201" s="95"/>
      <c r="H201" s="95"/>
      <c r="I201" s="94">
        <v>134</v>
      </c>
      <c r="J201" s="90" t="s">
        <v>453</v>
      </c>
      <c r="K201" s="86" t="s">
        <v>454</v>
      </c>
      <c r="L201" s="314" t="s">
        <v>432</v>
      </c>
      <c r="M201" s="314">
        <v>2</v>
      </c>
      <c r="N201" s="382" t="s">
        <v>44</v>
      </c>
      <c r="O201" s="152">
        <v>3600</v>
      </c>
      <c r="P201" s="152">
        <v>4800</v>
      </c>
      <c r="Q201" s="375">
        <v>4800</v>
      </c>
      <c r="R201" s="375">
        <v>4800</v>
      </c>
      <c r="S201" s="375">
        <v>4800</v>
      </c>
      <c r="T201" s="375">
        <v>4800</v>
      </c>
      <c r="U201" s="273">
        <f>AP201/$AP$198</f>
        <v>0.375</v>
      </c>
      <c r="V201" s="95">
        <v>3</v>
      </c>
      <c r="W201" s="92" t="s">
        <v>442</v>
      </c>
      <c r="X201" s="231"/>
      <c r="Y201" s="136"/>
      <c r="Z201" s="231"/>
      <c r="AA201" s="136"/>
      <c r="AB201" s="231"/>
      <c r="AC201" s="136"/>
      <c r="AD201" s="231"/>
      <c r="AE201" s="136"/>
      <c r="AF201" s="231"/>
      <c r="AG201" s="136"/>
      <c r="AH201" s="231"/>
      <c r="AI201" s="136"/>
      <c r="AJ201" s="231"/>
      <c r="AK201" s="136"/>
      <c r="AL201" s="141">
        <v>45000000</v>
      </c>
      <c r="AM201" s="136">
        <v>45000000</v>
      </c>
      <c r="AN201" s="141"/>
      <c r="AO201" s="142"/>
      <c r="AP201" s="99">
        <f>+X201+Z201+AB201+AD201+AF201+AH201+AJ201+AL201+AN201</f>
        <v>45000000</v>
      </c>
      <c r="AQ201" s="100">
        <f>Y201+AA201+AC201+AE201+AG201+AI201+AK201+AM201+AO201</f>
        <v>45000000</v>
      </c>
      <c r="AR201" s="109"/>
      <c r="AS201" s="109"/>
      <c r="AT201" s="109"/>
      <c r="AU201" s="109"/>
      <c r="AV201" s="109"/>
      <c r="AW201" s="109"/>
      <c r="AX201" s="109"/>
      <c r="AY201" s="192">
        <v>46350000</v>
      </c>
      <c r="AZ201" s="109"/>
      <c r="BA201" s="109">
        <f>SUM(AR201:AY201)+AZ201</f>
        <v>46350000</v>
      </c>
      <c r="BB201" s="192"/>
      <c r="BC201" s="192"/>
      <c r="BD201" s="192"/>
      <c r="BE201" s="192"/>
      <c r="BF201" s="192"/>
      <c r="BG201" s="192"/>
      <c r="BH201" s="192"/>
      <c r="BI201" s="192">
        <v>47800000</v>
      </c>
      <c r="BJ201" s="192"/>
      <c r="BK201" s="192">
        <f>SUM(BB201:BJ201)</f>
        <v>47800000</v>
      </c>
      <c r="BL201" s="109"/>
      <c r="BM201" s="109"/>
      <c r="BN201" s="109"/>
      <c r="BO201" s="109"/>
      <c r="BP201" s="109"/>
      <c r="BQ201" s="109"/>
      <c r="BR201" s="109"/>
      <c r="BS201" s="109">
        <v>49200000</v>
      </c>
      <c r="BT201" s="109"/>
      <c r="BU201" s="109">
        <f>SUM(BL201:BT201)</f>
        <v>49200000</v>
      </c>
      <c r="BV201" s="103">
        <f t="shared" si="89"/>
        <v>286700000</v>
      </c>
    </row>
    <row r="202" spans="1:74" ht="237.75" customHeight="1" x14ac:dyDescent="0.2">
      <c r="A202" s="84">
        <v>135</v>
      </c>
      <c r="B202" s="84">
        <v>3</v>
      </c>
      <c r="C202" s="173"/>
      <c r="D202" s="173"/>
      <c r="E202" s="110">
        <v>31</v>
      </c>
      <c r="F202" s="202" t="s">
        <v>455</v>
      </c>
      <c r="G202" s="176">
        <v>0.249</v>
      </c>
      <c r="H202" s="383">
        <v>0.2</v>
      </c>
      <c r="I202" s="94">
        <v>135</v>
      </c>
      <c r="J202" s="90" t="s">
        <v>456</v>
      </c>
      <c r="K202" s="86" t="s">
        <v>457</v>
      </c>
      <c r="L202" s="314" t="s">
        <v>432</v>
      </c>
      <c r="M202" s="314">
        <v>2</v>
      </c>
      <c r="N202" s="382" t="s">
        <v>44</v>
      </c>
      <c r="O202" s="152">
        <v>12</v>
      </c>
      <c r="P202" s="152">
        <v>12</v>
      </c>
      <c r="Q202" s="375">
        <v>12</v>
      </c>
      <c r="R202" s="375">
        <v>12</v>
      </c>
      <c r="S202" s="375">
        <v>12</v>
      </c>
      <c r="T202" s="375">
        <v>12</v>
      </c>
      <c r="U202" s="273">
        <f>AP202/$AP$198</f>
        <v>0.20833333333333334</v>
      </c>
      <c r="V202" s="95">
        <v>3</v>
      </c>
      <c r="W202" s="92" t="s">
        <v>442</v>
      </c>
      <c r="X202" s="231"/>
      <c r="Y202" s="136"/>
      <c r="Z202" s="231"/>
      <c r="AA202" s="136"/>
      <c r="AB202" s="231"/>
      <c r="AC202" s="136"/>
      <c r="AD202" s="231"/>
      <c r="AE202" s="136"/>
      <c r="AF202" s="231"/>
      <c r="AG202" s="136"/>
      <c r="AH202" s="231"/>
      <c r="AI202" s="136"/>
      <c r="AJ202" s="231"/>
      <c r="AK202" s="136"/>
      <c r="AL202" s="141">
        <v>25000000</v>
      </c>
      <c r="AM202" s="136">
        <v>25000000</v>
      </c>
      <c r="AN202" s="141"/>
      <c r="AO202" s="142"/>
      <c r="AP202" s="99">
        <f>+X202+Z202+AB202+AD202+AF202+AH202+AJ202+AL202+AN202</f>
        <v>25000000</v>
      </c>
      <c r="AQ202" s="100">
        <f>Y202+AA202+AC202+AE202+AG202+AI202+AK202+AM202+AO202</f>
        <v>25000000</v>
      </c>
      <c r="AR202" s="109"/>
      <c r="AS202" s="109"/>
      <c r="AT202" s="109"/>
      <c r="AU202" s="109"/>
      <c r="AV202" s="109"/>
      <c r="AW202" s="109"/>
      <c r="AX202" s="109"/>
      <c r="AY202" s="192">
        <v>25750000</v>
      </c>
      <c r="AZ202" s="109"/>
      <c r="BA202" s="109">
        <f>SUM(AR202:AY202)+AZ202</f>
        <v>25750000</v>
      </c>
      <c r="BB202" s="192"/>
      <c r="BC202" s="192"/>
      <c r="BD202" s="192"/>
      <c r="BE202" s="192"/>
      <c r="BF202" s="192"/>
      <c r="BG202" s="192"/>
      <c r="BH202" s="192"/>
      <c r="BI202" s="192">
        <v>26508000</v>
      </c>
      <c r="BJ202" s="192"/>
      <c r="BK202" s="192">
        <f>SUM(BB202:BJ202)</f>
        <v>26508000</v>
      </c>
      <c r="BL202" s="109"/>
      <c r="BM202" s="109"/>
      <c r="BN202" s="109"/>
      <c r="BO202" s="109"/>
      <c r="BP202" s="109"/>
      <c r="BQ202" s="109"/>
      <c r="BR202" s="109"/>
      <c r="BS202" s="109">
        <v>27327240</v>
      </c>
      <c r="BT202" s="109"/>
      <c r="BU202" s="109">
        <f>SUM(BL202:BT202)</f>
        <v>27327240</v>
      </c>
      <c r="BV202" s="103">
        <f t="shared" si="89"/>
        <v>159170480</v>
      </c>
    </row>
    <row r="203" spans="1:74" ht="22.5" customHeight="1" x14ac:dyDescent="0.2">
      <c r="A203" s="84"/>
      <c r="B203" s="84"/>
      <c r="C203" s="173"/>
      <c r="D203" s="173"/>
      <c r="E203" s="71">
        <v>38</v>
      </c>
      <c r="F203" s="72" t="s">
        <v>458</v>
      </c>
      <c r="G203" s="125"/>
      <c r="H203" s="125"/>
      <c r="I203" s="74"/>
      <c r="J203" s="125"/>
      <c r="K203" s="125"/>
      <c r="L203" s="323"/>
      <c r="M203" s="323"/>
      <c r="N203" s="384"/>
      <c r="O203" s="125"/>
      <c r="P203" s="125"/>
      <c r="Q203" s="385"/>
      <c r="R203" s="386"/>
      <c r="S203" s="386"/>
      <c r="T203" s="323"/>
      <c r="U203" s="128"/>
      <c r="V203" s="74"/>
      <c r="W203" s="74"/>
      <c r="X203" s="129">
        <f t="shared" ref="X203:AO203" si="99">SUM(X204:X206)</f>
        <v>0</v>
      </c>
      <c r="Y203" s="129">
        <f t="shared" si="99"/>
        <v>0</v>
      </c>
      <c r="Z203" s="129">
        <f t="shared" si="99"/>
        <v>0</v>
      </c>
      <c r="AA203" s="129">
        <f t="shared" si="99"/>
        <v>0</v>
      </c>
      <c r="AB203" s="129">
        <f t="shared" si="99"/>
        <v>0</v>
      </c>
      <c r="AC203" s="129">
        <f t="shared" si="99"/>
        <v>0</v>
      </c>
      <c r="AD203" s="129">
        <f t="shared" si="99"/>
        <v>0</v>
      </c>
      <c r="AE203" s="129">
        <f t="shared" si="99"/>
        <v>0</v>
      </c>
      <c r="AF203" s="129">
        <f t="shared" si="99"/>
        <v>0</v>
      </c>
      <c r="AG203" s="129">
        <f t="shared" si="99"/>
        <v>0</v>
      </c>
      <c r="AH203" s="129">
        <f t="shared" si="99"/>
        <v>0</v>
      </c>
      <c r="AI203" s="129">
        <f t="shared" si="99"/>
        <v>0</v>
      </c>
      <c r="AJ203" s="129">
        <f t="shared" si="99"/>
        <v>0</v>
      </c>
      <c r="AK203" s="129">
        <f t="shared" si="99"/>
        <v>0</v>
      </c>
      <c r="AL203" s="129">
        <f t="shared" si="99"/>
        <v>90000000</v>
      </c>
      <c r="AM203" s="129">
        <f t="shared" si="99"/>
        <v>90000000</v>
      </c>
      <c r="AN203" s="129">
        <f t="shared" si="99"/>
        <v>0</v>
      </c>
      <c r="AO203" s="129">
        <f t="shared" si="99"/>
        <v>0</v>
      </c>
      <c r="AP203" s="130">
        <f>SUM(AP204:AP206)</f>
        <v>90000000</v>
      </c>
      <c r="AQ203" s="129">
        <f>SUM(AQ204:AQ206)</f>
        <v>90000000</v>
      </c>
      <c r="AR203" s="131"/>
      <c r="AS203" s="131"/>
      <c r="AT203" s="131"/>
      <c r="AU203" s="131"/>
      <c r="AV203" s="131"/>
      <c r="AW203" s="131"/>
      <c r="AX203" s="131"/>
      <c r="AY203" s="131"/>
      <c r="AZ203" s="131"/>
      <c r="BA203" s="131">
        <f>SUM(BA204:BA206)</f>
        <v>92700000</v>
      </c>
      <c r="BB203" s="131"/>
      <c r="BC203" s="131"/>
      <c r="BD203" s="131"/>
      <c r="BE203" s="131"/>
      <c r="BF203" s="131"/>
      <c r="BG203" s="131"/>
      <c r="BH203" s="131"/>
      <c r="BI203" s="131"/>
      <c r="BJ203" s="131"/>
      <c r="BK203" s="131">
        <f>SUM(BK204:BK206)</f>
        <v>95481000</v>
      </c>
      <c r="BL203" s="131"/>
      <c r="BM203" s="131"/>
      <c r="BN203" s="131"/>
      <c r="BO203" s="131"/>
      <c r="BP203" s="131"/>
      <c r="BQ203" s="131"/>
      <c r="BR203" s="131"/>
      <c r="BS203" s="131"/>
      <c r="BT203" s="131"/>
      <c r="BU203" s="131">
        <f>SUM(BU204:BU206)</f>
        <v>98345430</v>
      </c>
      <c r="BV203" s="132">
        <f t="shared" si="89"/>
        <v>286526430</v>
      </c>
    </row>
    <row r="204" spans="1:74" ht="99.75" x14ac:dyDescent="0.2">
      <c r="A204" s="105">
        <v>136</v>
      </c>
      <c r="B204" s="84">
        <v>3</v>
      </c>
      <c r="C204" s="173"/>
      <c r="D204" s="173"/>
      <c r="E204" s="117">
        <v>22</v>
      </c>
      <c r="F204" s="86" t="s">
        <v>229</v>
      </c>
      <c r="G204" s="360" t="s">
        <v>230</v>
      </c>
      <c r="H204" s="262" t="s">
        <v>234</v>
      </c>
      <c r="I204" s="94">
        <v>136</v>
      </c>
      <c r="J204" s="90" t="s">
        <v>459</v>
      </c>
      <c r="K204" s="86" t="s">
        <v>460</v>
      </c>
      <c r="L204" s="314" t="s">
        <v>432</v>
      </c>
      <c r="M204" s="314">
        <v>2</v>
      </c>
      <c r="N204" s="373" t="s">
        <v>44</v>
      </c>
      <c r="O204" s="95" t="s">
        <v>39</v>
      </c>
      <c r="P204" s="387">
        <v>12</v>
      </c>
      <c r="Q204" s="375">
        <v>12</v>
      </c>
      <c r="R204" s="373">
        <v>12</v>
      </c>
      <c r="S204" s="373">
        <v>12</v>
      </c>
      <c r="T204" s="373">
        <v>12</v>
      </c>
      <c r="U204" s="388">
        <f>AP204/$AP$203</f>
        <v>0.27777777777777779</v>
      </c>
      <c r="V204" s="95">
        <v>3</v>
      </c>
      <c r="W204" s="210" t="s">
        <v>442</v>
      </c>
      <c r="X204" s="389"/>
      <c r="Y204" s="136"/>
      <c r="Z204" s="389"/>
      <c r="AA204" s="136"/>
      <c r="AB204" s="389"/>
      <c r="AC204" s="136"/>
      <c r="AD204" s="389"/>
      <c r="AE204" s="136"/>
      <c r="AF204" s="389"/>
      <c r="AG204" s="136"/>
      <c r="AH204" s="389"/>
      <c r="AI204" s="136"/>
      <c r="AJ204" s="389"/>
      <c r="AK204" s="136"/>
      <c r="AL204" s="141">
        <v>25000000</v>
      </c>
      <c r="AM204" s="100">
        <v>25000000</v>
      </c>
      <c r="AN204" s="215"/>
      <c r="AO204" s="142"/>
      <c r="AP204" s="99">
        <f>+X204+Z204+AB204+AD204+AF204+AH204+AJ204+AL204+AN204</f>
        <v>25000000</v>
      </c>
      <c r="AQ204" s="100">
        <f>Y204+AA204+AC204+AE204+AG204+AI204+AK204+AM204+AO204</f>
        <v>25000000</v>
      </c>
      <c r="AR204" s="109"/>
      <c r="AS204" s="109"/>
      <c r="AT204" s="109"/>
      <c r="AU204" s="109"/>
      <c r="AV204" s="109"/>
      <c r="AW204" s="109"/>
      <c r="AX204" s="109"/>
      <c r="AY204" s="192">
        <v>25750000</v>
      </c>
      <c r="AZ204" s="109"/>
      <c r="BA204" s="109">
        <f>SUM(AR204:AY204)+AZ204</f>
        <v>25750000</v>
      </c>
      <c r="BB204" s="192"/>
      <c r="BC204" s="192"/>
      <c r="BD204" s="192"/>
      <c r="BE204" s="192"/>
      <c r="BF204" s="192"/>
      <c r="BG204" s="192"/>
      <c r="BH204" s="192"/>
      <c r="BI204" s="192">
        <v>26522500</v>
      </c>
      <c r="BJ204" s="192"/>
      <c r="BK204" s="192">
        <f>SUM(BB204:BJ204)</f>
        <v>26522500</v>
      </c>
      <c r="BL204" s="109"/>
      <c r="BM204" s="109"/>
      <c r="BN204" s="109"/>
      <c r="BO204" s="109"/>
      <c r="BP204" s="109"/>
      <c r="BQ204" s="109"/>
      <c r="BR204" s="109"/>
      <c r="BS204" s="109">
        <v>27300000</v>
      </c>
      <c r="BT204" s="109"/>
      <c r="BU204" s="109">
        <f>SUM(BL204:BT204)</f>
        <v>27300000</v>
      </c>
      <c r="BV204" s="103">
        <f t="shared" si="89"/>
        <v>159145000</v>
      </c>
    </row>
    <row r="205" spans="1:74" ht="366.75" customHeight="1" x14ac:dyDescent="0.2">
      <c r="A205" s="84">
        <v>137</v>
      </c>
      <c r="B205" s="84">
        <v>3</v>
      </c>
      <c r="C205" s="173"/>
      <c r="D205" s="173"/>
      <c r="E205" s="117">
        <v>10</v>
      </c>
      <c r="F205" s="86" t="s">
        <v>224</v>
      </c>
      <c r="G205" s="88" t="s">
        <v>225</v>
      </c>
      <c r="H205" s="258" t="s">
        <v>226</v>
      </c>
      <c r="I205" s="94">
        <v>137</v>
      </c>
      <c r="J205" s="90" t="s">
        <v>461</v>
      </c>
      <c r="K205" s="86" t="s">
        <v>462</v>
      </c>
      <c r="L205" s="314" t="s">
        <v>432</v>
      </c>
      <c r="M205" s="314">
        <v>2</v>
      </c>
      <c r="N205" s="373" t="s">
        <v>44</v>
      </c>
      <c r="O205" s="95">
        <v>0</v>
      </c>
      <c r="P205" s="387">
        <v>12</v>
      </c>
      <c r="Q205" s="375">
        <v>12</v>
      </c>
      <c r="R205" s="373">
        <v>12</v>
      </c>
      <c r="S205" s="373">
        <v>12</v>
      </c>
      <c r="T205" s="373">
        <v>12</v>
      </c>
      <c r="U205" s="388">
        <f>AP205/$AP$203</f>
        <v>0.44444444444444442</v>
      </c>
      <c r="V205" s="95">
        <v>3</v>
      </c>
      <c r="W205" s="210" t="s">
        <v>442</v>
      </c>
      <c r="X205" s="389"/>
      <c r="Y205" s="136"/>
      <c r="Z205" s="389"/>
      <c r="AA205" s="136"/>
      <c r="AB205" s="389"/>
      <c r="AC205" s="136"/>
      <c r="AD205" s="389"/>
      <c r="AE205" s="136"/>
      <c r="AF205" s="389"/>
      <c r="AG205" s="136"/>
      <c r="AH205" s="389"/>
      <c r="AI205" s="136"/>
      <c r="AJ205" s="389"/>
      <c r="AK205" s="136"/>
      <c r="AL205" s="141">
        <v>40000000</v>
      </c>
      <c r="AM205" s="100">
        <v>40000000</v>
      </c>
      <c r="AN205" s="215"/>
      <c r="AO205" s="142"/>
      <c r="AP205" s="99">
        <f>+X205+Z205+AB205+AD205+AF205+AH205+AJ205+AL205+AN205</f>
        <v>40000000</v>
      </c>
      <c r="AQ205" s="100">
        <f>Y205+AA205+AC205+AE205+AG205+AI205+AK205+AM205+AO205</f>
        <v>40000000</v>
      </c>
      <c r="AR205" s="109"/>
      <c r="AS205" s="109"/>
      <c r="AT205" s="109"/>
      <c r="AU205" s="109"/>
      <c r="AV205" s="109"/>
      <c r="AW205" s="109"/>
      <c r="AX205" s="109"/>
      <c r="AY205" s="192">
        <v>41200000</v>
      </c>
      <c r="AZ205" s="109"/>
      <c r="BA205" s="109">
        <f>SUM(AR205:AY205)+AZ205</f>
        <v>41200000</v>
      </c>
      <c r="BB205" s="192"/>
      <c r="BC205" s="192"/>
      <c r="BD205" s="192"/>
      <c r="BE205" s="192"/>
      <c r="BF205" s="192"/>
      <c r="BG205" s="192"/>
      <c r="BH205" s="192"/>
      <c r="BI205" s="192">
        <v>42436000</v>
      </c>
      <c r="BJ205" s="192"/>
      <c r="BK205" s="192">
        <f>SUM(BB205:BJ205)</f>
        <v>42436000</v>
      </c>
      <c r="BL205" s="109"/>
      <c r="BM205" s="109"/>
      <c r="BN205" s="109"/>
      <c r="BO205" s="109"/>
      <c r="BP205" s="109"/>
      <c r="BQ205" s="109"/>
      <c r="BR205" s="109"/>
      <c r="BS205" s="109">
        <v>43700000</v>
      </c>
      <c r="BT205" s="109"/>
      <c r="BU205" s="109">
        <f>SUM(BL205:BT205)</f>
        <v>43700000</v>
      </c>
      <c r="BV205" s="103">
        <f t="shared" si="89"/>
        <v>254672000</v>
      </c>
    </row>
    <row r="206" spans="1:74" ht="339" customHeight="1" x14ac:dyDescent="0.2">
      <c r="A206" s="105">
        <v>138</v>
      </c>
      <c r="B206" s="84">
        <v>3</v>
      </c>
      <c r="C206" s="173"/>
      <c r="D206" s="173"/>
      <c r="E206" s="110">
        <v>11</v>
      </c>
      <c r="F206" s="86" t="s">
        <v>463</v>
      </c>
      <c r="G206" s="116" t="s">
        <v>464</v>
      </c>
      <c r="H206" s="120" t="s">
        <v>465</v>
      </c>
      <c r="I206" s="94">
        <v>138</v>
      </c>
      <c r="J206" s="90" t="s">
        <v>466</v>
      </c>
      <c r="K206" s="86" t="s">
        <v>467</v>
      </c>
      <c r="L206" s="314" t="s">
        <v>432</v>
      </c>
      <c r="M206" s="314">
        <v>2</v>
      </c>
      <c r="N206" s="373" t="s">
        <v>44</v>
      </c>
      <c r="O206" s="95" t="s">
        <v>39</v>
      </c>
      <c r="P206" s="117">
        <v>12</v>
      </c>
      <c r="Q206" s="375">
        <v>12</v>
      </c>
      <c r="R206" s="373">
        <v>12</v>
      </c>
      <c r="S206" s="373">
        <v>12</v>
      </c>
      <c r="T206" s="373">
        <v>12</v>
      </c>
      <c r="U206" s="388">
        <f>AP206/$AP$203</f>
        <v>0.27777777777777779</v>
      </c>
      <c r="V206" s="95">
        <v>3</v>
      </c>
      <c r="W206" s="210" t="s">
        <v>442</v>
      </c>
      <c r="X206" s="389"/>
      <c r="Y206" s="136"/>
      <c r="Z206" s="389"/>
      <c r="AA206" s="136"/>
      <c r="AB206" s="389"/>
      <c r="AC206" s="136"/>
      <c r="AD206" s="389"/>
      <c r="AE206" s="136"/>
      <c r="AF206" s="389"/>
      <c r="AG206" s="136"/>
      <c r="AH206" s="389"/>
      <c r="AI206" s="136"/>
      <c r="AJ206" s="389"/>
      <c r="AK206" s="136"/>
      <c r="AL206" s="141">
        <f>13400000+11600000</f>
        <v>25000000</v>
      </c>
      <c r="AM206" s="136">
        <v>25000000</v>
      </c>
      <c r="AN206" s="215"/>
      <c r="AO206" s="142"/>
      <c r="AP206" s="99">
        <f>+X206+Z206+AB206+AD206+AF206+AH206+AJ206+AL206+AN206</f>
        <v>25000000</v>
      </c>
      <c r="AQ206" s="100">
        <f>Y206+AA206+AC206+AE206+AG206+AI206+AK206+AM206+AO206</f>
        <v>25000000</v>
      </c>
      <c r="AR206" s="109"/>
      <c r="AS206" s="109"/>
      <c r="AT206" s="109"/>
      <c r="AU206" s="109"/>
      <c r="AV206" s="109"/>
      <c r="AW206" s="109"/>
      <c r="AX206" s="109"/>
      <c r="AY206" s="192">
        <v>25750000</v>
      </c>
      <c r="AZ206" s="109"/>
      <c r="BA206" s="109">
        <f>SUM(AR206:AY206)+AZ206</f>
        <v>25750000</v>
      </c>
      <c r="BB206" s="192"/>
      <c r="BC206" s="192"/>
      <c r="BD206" s="192"/>
      <c r="BE206" s="192"/>
      <c r="BF206" s="192"/>
      <c r="BG206" s="192"/>
      <c r="BH206" s="192"/>
      <c r="BI206" s="192">
        <v>26522500</v>
      </c>
      <c r="BJ206" s="192"/>
      <c r="BK206" s="192">
        <f>SUM(BB206:BJ206)</f>
        <v>26522500</v>
      </c>
      <c r="BL206" s="109"/>
      <c r="BM206" s="109"/>
      <c r="BN206" s="109"/>
      <c r="BO206" s="109"/>
      <c r="BP206" s="109"/>
      <c r="BQ206" s="109"/>
      <c r="BR206" s="109"/>
      <c r="BS206" s="109">
        <v>27345430</v>
      </c>
      <c r="BT206" s="109"/>
      <c r="BU206" s="109">
        <f>SUM(BL206:BT206)</f>
        <v>27345430</v>
      </c>
      <c r="BV206" s="103">
        <f t="shared" si="89"/>
        <v>159235860</v>
      </c>
    </row>
    <row r="207" spans="1:74" ht="22.5" customHeight="1" thickBot="1" x14ac:dyDescent="0.25">
      <c r="A207" s="105"/>
      <c r="B207" s="84"/>
      <c r="C207" s="173"/>
      <c r="D207" s="173"/>
      <c r="E207" s="71">
        <v>39</v>
      </c>
      <c r="F207" s="72" t="s">
        <v>468</v>
      </c>
      <c r="G207" s="125"/>
      <c r="H207" s="125"/>
      <c r="I207" s="74"/>
      <c r="J207" s="125"/>
      <c r="K207" s="125"/>
      <c r="L207" s="74"/>
      <c r="M207" s="74"/>
      <c r="N207" s="126"/>
      <c r="O207" s="125"/>
      <c r="P207" s="125"/>
      <c r="Q207" s="127"/>
      <c r="R207" s="125"/>
      <c r="S207" s="125"/>
      <c r="T207" s="74"/>
      <c r="U207" s="128"/>
      <c r="V207" s="74"/>
      <c r="W207" s="74"/>
      <c r="X207" s="129">
        <f t="shared" ref="X207:AO207" si="100">SUM(X208:X210)</f>
        <v>0</v>
      </c>
      <c r="Y207" s="129">
        <f t="shared" si="100"/>
        <v>0</v>
      </c>
      <c r="Z207" s="129">
        <f t="shared" si="100"/>
        <v>0</v>
      </c>
      <c r="AA207" s="129">
        <f t="shared" si="100"/>
        <v>0</v>
      </c>
      <c r="AB207" s="129">
        <f t="shared" si="100"/>
        <v>0</v>
      </c>
      <c r="AC207" s="129">
        <f t="shared" si="100"/>
        <v>0</v>
      </c>
      <c r="AD207" s="129">
        <f t="shared" si="100"/>
        <v>0</v>
      </c>
      <c r="AE207" s="129">
        <f t="shared" si="100"/>
        <v>0</v>
      </c>
      <c r="AF207" s="129">
        <f t="shared" si="100"/>
        <v>0</v>
      </c>
      <c r="AG207" s="129">
        <f t="shared" si="100"/>
        <v>0</v>
      </c>
      <c r="AH207" s="129">
        <f t="shared" si="100"/>
        <v>0</v>
      </c>
      <c r="AI207" s="129">
        <f t="shared" si="100"/>
        <v>0</v>
      </c>
      <c r="AJ207" s="129">
        <f t="shared" si="100"/>
        <v>0</v>
      </c>
      <c r="AK207" s="129">
        <f t="shared" si="100"/>
        <v>0</v>
      </c>
      <c r="AL207" s="129">
        <f t="shared" si="100"/>
        <v>140000000</v>
      </c>
      <c r="AM207" s="129">
        <f t="shared" si="100"/>
        <v>140000000</v>
      </c>
      <c r="AN207" s="129">
        <f t="shared" si="100"/>
        <v>0</v>
      </c>
      <c r="AO207" s="129">
        <f t="shared" si="100"/>
        <v>0</v>
      </c>
      <c r="AP207" s="130">
        <f>SUM(AP208:AP210)</f>
        <v>140000000</v>
      </c>
      <c r="AQ207" s="129">
        <f>SUM(AQ208:AQ210)</f>
        <v>140000000</v>
      </c>
      <c r="AR207" s="131"/>
      <c r="AS207" s="131"/>
      <c r="AT207" s="131"/>
      <c r="AU207" s="131"/>
      <c r="AV207" s="131"/>
      <c r="AW207" s="131"/>
      <c r="AX207" s="131"/>
      <c r="AY207" s="131"/>
      <c r="AZ207" s="131"/>
      <c r="BA207" s="131">
        <f>SUM(BA208:BA210)</f>
        <v>144200000</v>
      </c>
      <c r="BB207" s="131"/>
      <c r="BC207" s="131"/>
      <c r="BD207" s="131"/>
      <c r="BE207" s="131"/>
      <c r="BF207" s="131"/>
      <c r="BG207" s="131"/>
      <c r="BH207" s="131"/>
      <c r="BI207" s="131"/>
      <c r="BJ207" s="131"/>
      <c r="BK207" s="131">
        <f>SUM(BK208:BK210)</f>
        <v>148526000</v>
      </c>
      <c r="BL207" s="131"/>
      <c r="BM207" s="131"/>
      <c r="BN207" s="131"/>
      <c r="BO207" s="131"/>
      <c r="BP207" s="131"/>
      <c r="BQ207" s="131"/>
      <c r="BR207" s="131"/>
      <c r="BS207" s="131"/>
      <c r="BT207" s="131"/>
      <c r="BU207" s="390">
        <v>152981780</v>
      </c>
      <c r="BV207" s="132">
        <f t="shared" ref="BV207:BV270" si="101">SUM(AR207:BU207)</f>
        <v>445707780</v>
      </c>
    </row>
    <row r="208" spans="1:74" ht="201.75" customHeight="1" x14ac:dyDescent="0.2">
      <c r="A208" s="84">
        <v>139</v>
      </c>
      <c r="B208" s="84">
        <v>3</v>
      </c>
      <c r="C208" s="173"/>
      <c r="D208" s="173"/>
      <c r="E208" s="117">
        <v>24</v>
      </c>
      <c r="F208" s="391" t="s">
        <v>419</v>
      </c>
      <c r="G208" s="88" t="s">
        <v>420</v>
      </c>
      <c r="H208" s="120" t="s">
        <v>420</v>
      </c>
      <c r="I208" s="94">
        <v>139</v>
      </c>
      <c r="J208" s="90" t="s">
        <v>469</v>
      </c>
      <c r="K208" s="346" t="s">
        <v>470</v>
      </c>
      <c r="L208" s="314" t="s">
        <v>432</v>
      </c>
      <c r="M208" s="314">
        <v>2</v>
      </c>
      <c r="N208" s="392" t="s">
        <v>44</v>
      </c>
      <c r="O208" s="95">
        <v>0</v>
      </c>
      <c r="P208" s="95">
        <v>1</v>
      </c>
      <c r="Q208" s="393">
        <v>1</v>
      </c>
      <c r="R208" s="394">
        <v>1</v>
      </c>
      <c r="S208" s="394">
        <v>1</v>
      </c>
      <c r="T208" s="394">
        <v>1</v>
      </c>
      <c r="U208" s="388">
        <f>AP208/$AP$207</f>
        <v>0.6428571428571429</v>
      </c>
      <c r="V208" s="95">
        <v>2</v>
      </c>
      <c r="W208" s="210" t="s">
        <v>127</v>
      </c>
      <c r="X208" s="389"/>
      <c r="Y208" s="136"/>
      <c r="Z208" s="389"/>
      <c r="AA208" s="136"/>
      <c r="AB208" s="389"/>
      <c r="AC208" s="136"/>
      <c r="AD208" s="389"/>
      <c r="AE208" s="136"/>
      <c r="AF208" s="389"/>
      <c r="AG208" s="136"/>
      <c r="AH208" s="389"/>
      <c r="AI208" s="136"/>
      <c r="AJ208" s="389"/>
      <c r="AK208" s="136"/>
      <c r="AL208" s="141">
        <f>30000000+60000000</f>
        <v>90000000</v>
      </c>
      <c r="AM208" s="136">
        <f>30000000+60000000</f>
        <v>90000000</v>
      </c>
      <c r="AN208" s="215"/>
      <c r="AO208" s="142"/>
      <c r="AP208" s="99">
        <f>+X208+Z208+AB208+AD208+AF208+AH208+AJ208+AL208+AN208</f>
        <v>90000000</v>
      </c>
      <c r="AQ208" s="100">
        <f>Y208+AA208+AC208+AE208+AG208+AI208+AK208+AM208+AO208</f>
        <v>90000000</v>
      </c>
      <c r="AR208" s="109"/>
      <c r="AS208" s="109"/>
      <c r="AT208" s="109"/>
      <c r="AU208" s="109"/>
      <c r="AV208" s="109"/>
      <c r="AW208" s="109"/>
      <c r="AX208" s="109"/>
      <c r="AY208" s="192">
        <v>92700000</v>
      </c>
      <c r="AZ208" s="109"/>
      <c r="BA208" s="109">
        <f>SUM(AR208:AY208)+AZ208</f>
        <v>92700000</v>
      </c>
      <c r="BB208" s="192"/>
      <c r="BC208" s="192"/>
      <c r="BD208" s="192"/>
      <c r="BE208" s="192"/>
      <c r="BF208" s="192"/>
      <c r="BG208" s="192"/>
      <c r="BH208" s="192"/>
      <c r="BI208" s="192">
        <v>95481000</v>
      </c>
      <c r="BJ208" s="192"/>
      <c r="BK208" s="192">
        <f>SUM(BB208:BJ208)</f>
        <v>95481000</v>
      </c>
      <c r="BL208" s="109"/>
      <c r="BM208" s="109"/>
      <c r="BN208" s="109"/>
      <c r="BO208" s="109"/>
      <c r="BP208" s="109"/>
      <c r="BQ208" s="109"/>
      <c r="BR208" s="109"/>
      <c r="BS208" s="109">
        <v>98300000</v>
      </c>
      <c r="BT208" s="109"/>
      <c r="BU208" s="109">
        <f>SUM(BL208:BT208)</f>
        <v>98300000</v>
      </c>
      <c r="BV208" s="103">
        <f t="shared" si="101"/>
        <v>572962000</v>
      </c>
    </row>
    <row r="209" spans="1:74" ht="409.6" customHeight="1" x14ac:dyDescent="0.2">
      <c r="A209" s="105">
        <v>140</v>
      </c>
      <c r="B209" s="84">
        <v>3</v>
      </c>
      <c r="C209" s="173"/>
      <c r="D209" s="173"/>
      <c r="E209" s="111" t="s">
        <v>471</v>
      </c>
      <c r="F209" s="112" t="s">
        <v>472</v>
      </c>
      <c r="G209" s="395">
        <v>1</v>
      </c>
      <c r="H209" s="395">
        <v>1</v>
      </c>
      <c r="I209" s="94">
        <v>140</v>
      </c>
      <c r="J209" s="90" t="s">
        <v>473</v>
      </c>
      <c r="K209" s="346" t="s">
        <v>431</v>
      </c>
      <c r="L209" s="314" t="s">
        <v>432</v>
      </c>
      <c r="M209" s="314">
        <v>2</v>
      </c>
      <c r="N209" s="392" t="s">
        <v>44</v>
      </c>
      <c r="O209" s="40">
        <v>1</v>
      </c>
      <c r="P209" s="95">
        <v>1</v>
      </c>
      <c r="Q209" s="375">
        <v>1</v>
      </c>
      <c r="R209" s="373">
        <v>1</v>
      </c>
      <c r="S209" s="373">
        <v>1</v>
      </c>
      <c r="T209" s="373">
        <v>1</v>
      </c>
      <c r="U209" s="388">
        <f>AP209/$AP$207</f>
        <v>0.17857142857142858</v>
      </c>
      <c r="V209" s="95">
        <v>3</v>
      </c>
      <c r="W209" s="210" t="s">
        <v>442</v>
      </c>
      <c r="X209" s="389"/>
      <c r="Y209" s="136"/>
      <c r="Z209" s="389"/>
      <c r="AA209" s="136"/>
      <c r="AB209" s="389"/>
      <c r="AC209" s="136"/>
      <c r="AD209" s="389"/>
      <c r="AE209" s="136"/>
      <c r="AF209" s="389"/>
      <c r="AG209" s="136"/>
      <c r="AH209" s="389"/>
      <c r="AI209" s="136"/>
      <c r="AJ209" s="389"/>
      <c r="AK209" s="136"/>
      <c r="AL209" s="99">
        <v>25000000</v>
      </c>
      <c r="AM209" s="136">
        <v>25000000</v>
      </c>
      <c r="AN209" s="214"/>
      <c r="AO209" s="100"/>
      <c r="AP209" s="99">
        <f>+X209+Z209+AB209+AD209+AF209+AH209+AJ209+AL209+AN209</f>
        <v>25000000</v>
      </c>
      <c r="AQ209" s="100">
        <f>Y209+AA209+AC209+AE209+AG209+AI209+AK209+AM209+AO209</f>
        <v>25000000</v>
      </c>
      <c r="AR209" s="396"/>
      <c r="AS209" s="396"/>
      <c r="AT209" s="396"/>
      <c r="AU209" s="396"/>
      <c r="AV209" s="396"/>
      <c r="AW209" s="396"/>
      <c r="AX209" s="396"/>
      <c r="AY209" s="192">
        <v>25750000</v>
      </c>
      <c r="AZ209" s="396"/>
      <c r="BA209" s="109">
        <f>SUM(AR209:AY209)+AZ209</f>
        <v>25750000</v>
      </c>
      <c r="BB209" s="192"/>
      <c r="BC209" s="192"/>
      <c r="BD209" s="192"/>
      <c r="BE209" s="192"/>
      <c r="BF209" s="192"/>
      <c r="BG209" s="192"/>
      <c r="BH209" s="192"/>
      <c r="BI209" s="192">
        <v>26522500</v>
      </c>
      <c r="BJ209" s="192"/>
      <c r="BK209" s="192">
        <f>SUM(BB209:BJ209)</f>
        <v>26522500</v>
      </c>
      <c r="BL209" s="109"/>
      <c r="BM209" s="109"/>
      <c r="BN209" s="109"/>
      <c r="BO209" s="109"/>
      <c r="BP209" s="109"/>
      <c r="BQ209" s="109"/>
      <c r="BR209" s="109"/>
      <c r="BS209" s="109">
        <v>27300000</v>
      </c>
      <c r="BT209" s="109"/>
      <c r="BU209" s="109">
        <f>SUM(BL209:BT209)</f>
        <v>27300000</v>
      </c>
      <c r="BV209" s="103">
        <f t="shared" si="101"/>
        <v>159145000</v>
      </c>
    </row>
    <row r="210" spans="1:74" ht="57" x14ac:dyDescent="0.2">
      <c r="A210" s="84">
        <v>141</v>
      </c>
      <c r="B210" s="84">
        <v>3</v>
      </c>
      <c r="C210" s="173"/>
      <c r="D210" s="173"/>
      <c r="E210" s="110"/>
      <c r="F210" s="397"/>
      <c r="G210" s="398"/>
      <c r="H210" s="398"/>
      <c r="I210" s="94">
        <v>141</v>
      </c>
      <c r="J210" s="90" t="s">
        <v>474</v>
      </c>
      <c r="K210" s="346" t="s">
        <v>431</v>
      </c>
      <c r="L210" s="314" t="s">
        <v>432</v>
      </c>
      <c r="M210" s="314">
        <v>2</v>
      </c>
      <c r="N210" s="399" t="s">
        <v>44</v>
      </c>
      <c r="O210" s="95" t="s">
        <v>39</v>
      </c>
      <c r="P210" s="95">
        <v>1</v>
      </c>
      <c r="Q210" s="377">
        <v>1</v>
      </c>
      <c r="R210" s="376">
        <v>1</v>
      </c>
      <c r="S210" s="376">
        <v>1</v>
      </c>
      <c r="T210" s="376">
        <v>1</v>
      </c>
      <c r="U210" s="388">
        <f>AP210/$AP$207</f>
        <v>0.17857142857142858</v>
      </c>
      <c r="V210" s="95">
        <v>3</v>
      </c>
      <c r="W210" s="210" t="s">
        <v>442</v>
      </c>
      <c r="X210" s="389"/>
      <c r="Y210" s="136"/>
      <c r="Z210" s="389"/>
      <c r="AA210" s="136"/>
      <c r="AB210" s="389"/>
      <c r="AC210" s="136"/>
      <c r="AD210" s="389"/>
      <c r="AE210" s="136"/>
      <c r="AF210" s="389"/>
      <c r="AG210" s="136"/>
      <c r="AH210" s="389"/>
      <c r="AI210" s="136"/>
      <c r="AJ210" s="389"/>
      <c r="AK210" s="136"/>
      <c r="AL210" s="99">
        <v>25000000</v>
      </c>
      <c r="AM210" s="136">
        <v>25000000</v>
      </c>
      <c r="AN210" s="214"/>
      <c r="AO210" s="100"/>
      <c r="AP210" s="99">
        <f>+X210+Z210+AB210+AD210+AF210+AH210+AJ210+AL210+AN210</f>
        <v>25000000</v>
      </c>
      <c r="AQ210" s="100">
        <f>Y210+AA210+AC210+AE210+AG210+AI210+AK210+AM210+AO210</f>
        <v>25000000</v>
      </c>
      <c r="AR210" s="396"/>
      <c r="AS210" s="396"/>
      <c r="AT210" s="396"/>
      <c r="AU210" s="396"/>
      <c r="AV210" s="396"/>
      <c r="AW210" s="396"/>
      <c r="AX210" s="396"/>
      <c r="AY210" s="192">
        <v>25750000</v>
      </c>
      <c r="AZ210" s="396"/>
      <c r="BA210" s="109">
        <f>SUM(AR210:AY210)+AZ210</f>
        <v>25750000</v>
      </c>
      <c r="BB210" s="192"/>
      <c r="BC210" s="192"/>
      <c r="BD210" s="192"/>
      <c r="BE210" s="192"/>
      <c r="BF210" s="192"/>
      <c r="BG210" s="192"/>
      <c r="BH210" s="192"/>
      <c r="BI210" s="192">
        <v>26522500</v>
      </c>
      <c r="BJ210" s="192"/>
      <c r="BK210" s="192">
        <f>SUM(BB210:BJ210)</f>
        <v>26522500</v>
      </c>
      <c r="BL210" s="109"/>
      <c r="BM210" s="109"/>
      <c r="BN210" s="109"/>
      <c r="BO210" s="109"/>
      <c r="BP210" s="109"/>
      <c r="BQ210" s="109"/>
      <c r="BR210" s="109"/>
      <c r="BS210" s="109">
        <v>27381780</v>
      </c>
      <c r="BT210" s="109"/>
      <c r="BU210" s="109">
        <f>SUM(BL210:BT210)</f>
        <v>27381780</v>
      </c>
      <c r="BV210" s="103">
        <f t="shared" si="101"/>
        <v>159308560</v>
      </c>
    </row>
    <row r="211" spans="1:74" ht="22.5" customHeight="1" thickBot="1" x14ac:dyDescent="0.25">
      <c r="A211" s="84"/>
      <c r="B211" s="84"/>
      <c r="C211" s="173"/>
      <c r="D211" s="173"/>
      <c r="E211" s="71">
        <v>40</v>
      </c>
      <c r="F211" s="72" t="s">
        <v>475</v>
      </c>
      <c r="G211" s="125"/>
      <c r="H211" s="125"/>
      <c r="I211" s="74"/>
      <c r="J211" s="125"/>
      <c r="K211" s="125"/>
      <c r="L211" s="74"/>
      <c r="M211" s="74"/>
      <c r="N211" s="126"/>
      <c r="O211" s="125"/>
      <c r="P211" s="125"/>
      <c r="Q211" s="127"/>
      <c r="R211" s="125"/>
      <c r="S211" s="125"/>
      <c r="T211" s="74"/>
      <c r="U211" s="128"/>
      <c r="V211" s="74"/>
      <c r="W211" s="74"/>
      <c r="X211" s="130">
        <f t="shared" ref="X211:AO211" si="102">SUM(X212:X216)</f>
        <v>0</v>
      </c>
      <c r="Y211" s="130">
        <f t="shared" si="102"/>
        <v>0</v>
      </c>
      <c r="Z211" s="130">
        <f t="shared" si="102"/>
        <v>30000000</v>
      </c>
      <c r="AA211" s="130">
        <f t="shared" si="102"/>
        <v>30000000</v>
      </c>
      <c r="AB211" s="130">
        <f t="shared" si="102"/>
        <v>0</v>
      </c>
      <c r="AC211" s="130">
        <f t="shared" si="102"/>
        <v>0</v>
      </c>
      <c r="AD211" s="130">
        <f t="shared" si="102"/>
        <v>293431258</v>
      </c>
      <c r="AE211" s="130">
        <f t="shared" si="102"/>
        <v>295344126</v>
      </c>
      <c r="AF211" s="130">
        <f t="shared" si="102"/>
        <v>0</v>
      </c>
      <c r="AG211" s="130">
        <f t="shared" si="102"/>
        <v>0</v>
      </c>
      <c r="AH211" s="130">
        <f t="shared" si="102"/>
        <v>0</v>
      </c>
      <c r="AI211" s="130">
        <f t="shared" si="102"/>
        <v>0</v>
      </c>
      <c r="AJ211" s="130">
        <f t="shared" si="102"/>
        <v>0</v>
      </c>
      <c r="AK211" s="130">
        <f t="shared" si="102"/>
        <v>0</v>
      </c>
      <c r="AL211" s="130">
        <f t="shared" si="102"/>
        <v>307812279</v>
      </c>
      <c r="AM211" s="130">
        <f t="shared" si="102"/>
        <v>307812279</v>
      </c>
      <c r="AN211" s="130">
        <f t="shared" si="102"/>
        <v>0</v>
      </c>
      <c r="AO211" s="130">
        <f t="shared" si="102"/>
        <v>0</v>
      </c>
      <c r="AP211" s="130">
        <f>SUM(AP212:AP216)</f>
        <v>631243537</v>
      </c>
      <c r="AQ211" s="130">
        <f>SUM(AQ212:AQ216)</f>
        <v>633156405</v>
      </c>
      <c r="AR211" s="131"/>
      <c r="AS211" s="131"/>
      <c r="AT211" s="131"/>
      <c r="AU211" s="131"/>
      <c r="AV211" s="131"/>
      <c r="AW211" s="131"/>
      <c r="AX211" s="131"/>
      <c r="AY211" s="131"/>
      <c r="AZ211" s="131"/>
      <c r="BA211" s="131">
        <f>SUM(BA212:BA216)</f>
        <v>189234597.00000003</v>
      </c>
      <c r="BB211" s="131"/>
      <c r="BC211" s="131"/>
      <c r="BD211" s="131"/>
      <c r="BE211" s="131"/>
      <c r="BF211" s="131"/>
      <c r="BG211" s="131"/>
      <c r="BH211" s="131"/>
      <c r="BI211" s="131"/>
      <c r="BJ211" s="131"/>
      <c r="BK211" s="131">
        <f>SUM(BK212:BK216)</f>
        <v>194911635</v>
      </c>
      <c r="BL211" s="131"/>
      <c r="BM211" s="131"/>
      <c r="BN211" s="131"/>
      <c r="BO211" s="131"/>
      <c r="BP211" s="131"/>
      <c r="BQ211" s="131"/>
      <c r="BR211" s="131"/>
      <c r="BS211" s="131"/>
      <c r="BT211" s="131"/>
      <c r="BU211" s="131">
        <f>SUM(BU212:BU216)</f>
        <v>200758984.00142908</v>
      </c>
      <c r="BV211" s="132">
        <f t="shared" si="101"/>
        <v>584905216.00142908</v>
      </c>
    </row>
    <row r="212" spans="1:74" ht="85.5" x14ac:dyDescent="0.2">
      <c r="A212" s="105">
        <v>142</v>
      </c>
      <c r="B212" s="84">
        <v>3</v>
      </c>
      <c r="C212" s="173"/>
      <c r="D212" s="173"/>
      <c r="E212" s="85">
        <v>25</v>
      </c>
      <c r="F212" s="112" t="s">
        <v>476</v>
      </c>
      <c r="G212" s="360" t="s">
        <v>477</v>
      </c>
      <c r="H212" s="120" t="s">
        <v>478</v>
      </c>
      <c r="I212" s="94">
        <v>142</v>
      </c>
      <c r="J212" s="90" t="s">
        <v>479</v>
      </c>
      <c r="K212" s="86" t="s">
        <v>480</v>
      </c>
      <c r="L212" s="314" t="s">
        <v>432</v>
      </c>
      <c r="M212" s="314">
        <v>2</v>
      </c>
      <c r="N212" s="392" t="s">
        <v>44</v>
      </c>
      <c r="O212" s="95" t="s">
        <v>39</v>
      </c>
      <c r="P212" s="95">
        <v>12</v>
      </c>
      <c r="Q212" s="393">
        <v>12</v>
      </c>
      <c r="R212" s="394">
        <v>12</v>
      </c>
      <c r="S212" s="394">
        <v>12</v>
      </c>
      <c r="T212" s="394">
        <v>12</v>
      </c>
      <c r="U212" s="388">
        <f>AP212/$AP$211</f>
        <v>1.5841746352802659E-2</v>
      </c>
      <c r="V212" s="94">
        <v>3</v>
      </c>
      <c r="W212" s="204" t="s">
        <v>442</v>
      </c>
      <c r="X212" s="389"/>
      <c r="Y212" s="136"/>
      <c r="Z212" s="389"/>
      <c r="AA212" s="136"/>
      <c r="AB212" s="389"/>
      <c r="AC212" s="136"/>
      <c r="AD212" s="389"/>
      <c r="AE212" s="136"/>
      <c r="AF212" s="389"/>
      <c r="AG212" s="136"/>
      <c r="AH212" s="389"/>
      <c r="AI212" s="136"/>
      <c r="AJ212" s="389"/>
      <c r="AK212" s="136"/>
      <c r="AL212" s="389">
        <v>10000000</v>
      </c>
      <c r="AM212" s="136">
        <v>10000000</v>
      </c>
      <c r="AN212" s="389"/>
      <c r="AO212" s="136"/>
      <c r="AP212" s="99">
        <f>+X212+Z212+AB212+AD212+AF212+AH212+AJ212+AL212+AN212</f>
        <v>10000000</v>
      </c>
      <c r="AQ212" s="100">
        <f>Y212+AA212+AC212+AE212+AG212+AI212+AK212+AM212+AO212</f>
        <v>10000000</v>
      </c>
      <c r="AR212" s="109"/>
      <c r="AS212" s="109"/>
      <c r="AT212" s="109"/>
      <c r="AU212" s="109"/>
      <c r="AV212" s="109"/>
      <c r="AW212" s="109"/>
      <c r="AX212" s="109"/>
      <c r="AY212" s="192">
        <v>6147579.9099539006</v>
      </c>
      <c r="AZ212" s="109"/>
      <c r="BA212" s="109">
        <f>SUM(AR212:AZ212)</f>
        <v>6147579.9099539006</v>
      </c>
      <c r="BB212" s="192"/>
      <c r="BC212" s="192"/>
      <c r="BD212" s="192"/>
      <c r="BE212" s="192"/>
      <c r="BF212" s="192"/>
      <c r="BG212" s="192"/>
      <c r="BH212" s="192"/>
      <c r="BI212" s="192">
        <v>6300000</v>
      </c>
      <c r="BJ212" s="192"/>
      <c r="BK212" s="192">
        <f>SUM(BB212:BJ212)</f>
        <v>6300000</v>
      </c>
      <c r="BL212" s="109"/>
      <c r="BM212" s="109"/>
      <c r="BN212" s="109"/>
      <c r="BO212" s="109"/>
      <c r="BP212" s="109"/>
      <c r="BQ212" s="109"/>
      <c r="BR212" s="109"/>
      <c r="BS212" s="109">
        <v>6500000</v>
      </c>
      <c r="BT212" s="192"/>
      <c r="BU212" s="109">
        <f>SUM(BL212:BS212)</f>
        <v>6500000</v>
      </c>
      <c r="BV212" s="103">
        <f t="shared" si="101"/>
        <v>37895159.819907799</v>
      </c>
    </row>
    <row r="213" spans="1:74" ht="245.25" customHeight="1" x14ac:dyDescent="0.2">
      <c r="A213" s="84">
        <v>143</v>
      </c>
      <c r="B213" s="84">
        <v>3</v>
      </c>
      <c r="C213" s="173"/>
      <c r="D213" s="173"/>
      <c r="E213" s="117" t="s">
        <v>481</v>
      </c>
      <c r="F213" s="86" t="s">
        <v>482</v>
      </c>
      <c r="G213" s="94">
        <v>10</v>
      </c>
      <c r="H213" s="94" t="s">
        <v>483</v>
      </c>
      <c r="I213" s="94">
        <v>143</v>
      </c>
      <c r="J213" s="90" t="s">
        <v>484</v>
      </c>
      <c r="K213" s="86" t="s">
        <v>485</v>
      </c>
      <c r="L213" s="314" t="s">
        <v>432</v>
      </c>
      <c r="M213" s="314">
        <v>2</v>
      </c>
      <c r="N213" s="392" t="s">
        <v>44</v>
      </c>
      <c r="O213" s="95">
        <v>1</v>
      </c>
      <c r="P213" s="95">
        <v>1</v>
      </c>
      <c r="Q213" s="375">
        <v>1</v>
      </c>
      <c r="R213" s="373">
        <v>1</v>
      </c>
      <c r="S213" s="373">
        <v>1</v>
      </c>
      <c r="T213" s="373">
        <v>1</v>
      </c>
      <c r="U213" s="388">
        <f>AP213/$AP$211</f>
        <v>0</v>
      </c>
      <c r="V213" s="94">
        <v>3</v>
      </c>
      <c r="W213" s="204" t="s">
        <v>442</v>
      </c>
      <c r="X213" s="389"/>
      <c r="Y213" s="136"/>
      <c r="Z213" s="389"/>
      <c r="AA213" s="136"/>
      <c r="AB213" s="389"/>
      <c r="AC213" s="136"/>
      <c r="AD213" s="389"/>
      <c r="AE213" s="136"/>
      <c r="AF213" s="389"/>
      <c r="AG213" s="136"/>
      <c r="AH213" s="389"/>
      <c r="AI213" s="136"/>
      <c r="AJ213" s="389"/>
      <c r="AK213" s="136"/>
      <c r="AL213" s="389"/>
      <c r="AM213" s="136"/>
      <c r="AN213" s="389"/>
      <c r="AO213" s="136"/>
      <c r="AP213" s="99">
        <f>+X213+Z213+AB213+AD213+AF213+AH213+AJ213+AL213+AN213</f>
        <v>0</v>
      </c>
      <c r="AQ213" s="100">
        <f>Y213+AA213+AC213+AE213+AG213+AI213+AK213+AM213+AO213</f>
        <v>0</v>
      </c>
      <c r="AR213" s="109"/>
      <c r="AS213" s="109"/>
      <c r="AT213" s="109"/>
      <c r="AU213" s="109"/>
      <c r="AV213" s="109"/>
      <c r="AW213" s="109"/>
      <c r="AX213" s="109"/>
      <c r="AY213" s="192">
        <v>0</v>
      </c>
      <c r="AZ213" s="109"/>
      <c r="BA213" s="109">
        <f>SUM(AR213:AZ213)</f>
        <v>0</v>
      </c>
      <c r="BB213" s="192"/>
      <c r="BC213" s="192"/>
      <c r="BD213" s="192"/>
      <c r="BE213" s="192"/>
      <c r="BF213" s="192"/>
      <c r="BG213" s="192"/>
      <c r="BH213" s="192"/>
      <c r="BI213" s="192">
        <v>0</v>
      </c>
      <c r="BJ213" s="192"/>
      <c r="BK213" s="192">
        <f>SUM(BB213:BJ213)</f>
        <v>0</v>
      </c>
      <c r="BL213" s="109"/>
      <c r="BM213" s="109"/>
      <c r="BN213" s="109"/>
      <c r="BO213" s="109"/>
      <c r="BP213" s="109"/>
      <c r="BQ213" s="109"/>
      <c r="BR213" s="109"/>
      <c r="BS213" s="109">
        <v>0</v>
      </c>
      <c r="BT213" s="192"/>
      <c r="BU213" s="109">
        <f>SUM(BL213:BS213)</f>
        <v>0</v>
      </c>
      <c r="BV213" s="103">
        <f t="shared" si="101"/>
        <v>0</v>
      </c>
    </row>
    <row r="214" spans="1:74" ht="380.25" customHeight="1" x14ac:dyDescent="0.2">
      <c r="A214" s="105">
        <v>144</v>
      </c>
      <c r="B214" s="84">
        <v>3</v>
      </c>
      <c r="C214" s="173"/>
      <c r="D214" s="173"/>
      <c r="E214" s="117">
        <v>25</v>
      </c>
      <c r="F214" s="359" t="s">
        <v>476</v>
      </c>
      <c r="G214" s="106" t="s">
        <v>477</v>
      </c>
      <c r="H214" s="120" t="s">
        <v>478</v>
      </c>
      <c r="I214" s="94">
        <v>144</v>
      </c>
      <c r="J214" s="90" t="s">
        <v>486</v>
      </c>
      <c r="K214" s="86" t="s">
        <v>487</v>
      </c>
      <c r="L214" s="314" t="s">
        <v>432</v>
      </c>
      <c r="M214" s="314">
        <v>2</v>
      </c>
      <c r="N214" s="392" t="s">
        <v>44</v>
      </c>
      <c r="O214" s="40">
        <v>5</v>
      </c>
      <c r="P214" s="95">
        <v>5</v>
      </c>
      <c r="Q214" s="375">
        <v>5</v>
      </c>
      <c r="R214" s="373">
        <v>5</v>
      </c>
      <c r="S214" s="373">
        <v>5</v>
      </c>
      <c r="T214" s="373">
        <v>5</v>
      </c>
      <c r="U214" s="388">
        <f>AP214/$AP$211</f>
        <v>0.53820224855624943</v>
      </c>
      <c r="V214" s="94">
        <v>3</v>
      </c>
      <c r="W214" s="204" t="s">
        <v>442</v>
      </c>
      <c r="X214" s="389"/>
      <c r="Y214" s="136"/>
      <c r="Z214" s="389">
        <v>30000000</v>
      </c>
      <c r="AA214" s="101">
        <v>30000000</v>
      </c>
      <c r="AB214" s="389"/>
      <c r="AC214" s="136"/>
      <c r="AD214" s="141">
        <f>7383+130639939</f>
        <v>130647322</v>
      </c>
      <c r="AE214" s="142">
        <v>132046856</v>
      </c>
      <c r="AF214" s="389"/>
      <c r="AG214" s="136"/>
      <c r="AH214" s="389"/>
      <c r="AI214" s="136"/>
      <c r="AJ214" s="389"/>
      <c r="AK214" s="136"/>
      <c r="AL214" s="389">
        <f>77600000+101489369</f>
        <v>179089369</v>
      </c>
      <c r="AM214" s="136">
        <v>179089369</v>
      </c>
      <c r="AN214" s="389"/>
      <c r="AO214" s="136"/>
      <c r="AP214" s="99">
        <f>+X214+Z214+AB214+AD214+AF214+AH214+AJ214+AL214+AN214</f>
        <v>339736691</v>
      </c>
      <c r="AQ214" s="100">
        <f>Y214+AA214+AC214+AE214+AG214+AI214+AK214+AM214+AO214</f>
        <v>341136225</v>
      </c>
      <c r="AR214" s="109"/>
      <c r="AS214" s="109"/>
      <c r="AT214" s="109"/>
      <c r="AU214" s="109"/>
      <c r="AV214" s="109"/>
      <c r="AW214" s="109"/>
      <c r="AX214" s="109"/>
      <c r="AY214" s="192">
        <v>110101159.45331961</v>
      </c>
      <c r="AZ214" s="109"/>
      <c r="BA214" s="109">
        <f>SUM(AR214:AZ214)</f>
        <v>110101159.45331961</v>
      </c>
      <c r="BB214" s="192"/>
      <c r="BC214" s="192"/>
      <c r="BD214" s="192"/>
      <c r="BE214" s="192"/>
      <c r="BF214" s="192"/>
      <c r="BG214" s="192"/>
      <c r="BH214" s="192"/>
      <c r="BI214" s="192">
        <v>113400000</v>
      </c>
      <c r="BJ214" s="192"/>
      <c r="BK214" s="192">
        <f>SUM(BB214:BJ214)</f>
        <v>113400000</v>
      </c>
      <c r="BL214" s="109"/>
      <c r="BM214" s="109"/>
      <c r="BN214" s="109"/>
      <c r="BO214" s="109"/>
      <c r="BP214" s="109"/>
      <c r="BQ214" s="109"/>
      <c r="BR214" s="109"/>
      <c r="BS214" s="109">
        <v>116800000</v>
      </c>
      <c r="BT214" s="192"/>
      <c r="BU214" s="109">
        <f>SUM(BL214:BS214)</f>
        <v>116800000</v>
      </c>
      <c r="BV214" s="103">
        <f t="shared" si="101"/>
        <v>680602318.90663922</v>
      </c>
    </row>
    <row r="215" spans="1:74" ht="117" customHeight="1" x14ac:dyDescent="0.2">
      <c r="A215" s="84">
        <v>145</v>
      </c>
      <c r="B215" s="84">
        <v>3</v>
      </c>
      <c r="C215" s="173"/>
      <c r="D215" s="173"/>
      <c r="E215" s="117" t="s">
        <v>488</v>
      </c>
      <c r="F215" s="86" t="s">
        <v>489</v>
      </c>
      <c r="G215" s="94" t="s">
        <v>490</v>
      </c>
      <c r="H215" s="383">
        <v>0.8</v>
      </c>
      <c r="I215" s="94">
        <v>145</v>
      </c>
      <c r="J215" s="90" t="s">
        <v>491</v>
      </c>
      <c r="K215" s="86" t="s">
        <v>431</v>
      </c>
      <c r="L215" s="314" t="s">
        <v>432</v>
      </c>
      <c r="M215" s="314">
        <v>2</v>
      </c>
      <c r="N215" s="392" t="s">
        <v>44</v>
      </c>
      <c r="O215" s="400" t="s">
        <v>39</v>
      </c>
      <c r="P215" s="401">
        <v>1</v>
      </c>
      <c r="Q215" s="375">
        <v>1</v>
      </c>
      <c r="R215" s="373">
        <v>1</v>
      </c>
      <c r="S215" s="373">
        <v>1</v>
      </c>
      <c r="T215" s="373">
        <v>1</v>
      </c>
      <c r="U215" s="388">
        <f>AP215/$AP$211</f>
        <v>0.12471083723745119</v>
      </c>
      <c r="V215" s="94">
        <v>3</v>
      </c>
      <c r="W215" s="204" t="s">
        <v>442</v>
      </c>
      <c r="X215" s="389"/>
      <c r="Y215" s="136"/>
      <c r="Z215" s="389"/>
      <c r="AA215" s="136"/>
      <c r="AB215" s="389"/>
      <c r="AC215" s="136"/>
      <c r="AD215" s="389"/>
      <c r="AE215" s="136"/>
      <c r="AF215" s="389"/>
      <c r="AG215" s="136"/>
      <c r="AH215" s="389"/>
      <c r="AI215" s="136"/>
      <c r="AJ215" s="389"/>
      <c r="AK215" s="136"/>
      <c r="AL215" s="389">
        <v>78722910</v>
      </c>
      <c r="AM215" s="136">
        <v>78722910</v>
      </c>
      <c r="AN215" s="389"/>
      <c r="AO215" s="136"/>
      <c r="AP215" s="99">
        <f>+X215+Z215+AB215+AD215+AF215+AH215+AJ215+AL215+AN215</f>
        <v>78722910</v>
      </c>
      <c r="AQ215" s="100">
        <f>Y215+AA215+AC215+AE215+AG215+AI215+AK215+AM215+AO215</f>
        <v>78722910</v>
      </c>
      <c r="AR215" s="109"/>
      <c r="AS215" s="109"/>
      <c r="AT215" s="109"/>
      <c r="AU215" s="109"/>
      <c r="AV215" s="109"/>
      <c r="AW215" s="109"/>
      <c r="AX215" s="109"/>
      <c r="AY215" s="192">
        <v>48395537.9969109</v>
      </c>
      <c r="AZ215" s="109"/>
      <c r="BA215" s="109">
        <f>SUM(AR215:AZ215)</f>
        <v>48395537.9969109</v>
      </c>
      <c r="BB215" s="192"/>
      <c r="BC215" s="192"/>
      <c r="BD215" s="192"/>
      <c r="BE215" s="192"/>
      <c r="BF215" s="192"/>
      <c r="BG215" s="192"/>
      <c r="BH215" s="192"/>
      <c r="BI215" s="192">
        <v>49800000</v>
      </c>
      <c r="BJ215" s="192"/>
      <c r="BK215" s="192">
        <f>SUM(BB215:BJ215)</f>
        <v>49800000</v>
      </c>
      <c r="BL215" s="109"/>
      <c r="BM215" s="109"/>
      <c r="BN215" s="109"/>
      <c r="BO215" s="109"/>
      <c r="BP215" s="109"/>
      <c r="BQ215" s="109"/>
      <c r="BR215" s="109"/>
      <c r="BS215" s="109">
        <v>51300000</v>
      </c>
      <c r="BT215" s="192"/>
      <c r="BU215" s="109">
        <f>SUM(BL215:BS215)</f>
        <v>51300000</v>
      </c>
      <c r="BV215" s="103">
        <f t="shared" si="101"/>
        <v>298991075.9938218</v>
      </c>
    </row>
    <row r="216" spans="1:74" ht="312" customHeight="1" x14ac:dyDescent="0.2">
      <c r="A216" s="105">
        <v>146</v>
      </c>
      <c r="B216" s="84">
        <v>3</v>
      </c>
      <c r="C216" s="173"/>
      <c r="D216" s="173"/>
      <c r="E216" s="110" t="s">
        <v>492</v>
      </c>
      <c r="F216" s="86" t="s">
        <v>493</v>
      </c>
      <c r="G216" s="383">
        <v>0.68</v>
      </c>
      <c r="H216" s="383">
        <v>0.73</v>
      </c>
      <c r="I216" s="94">
        <v>146</v>
      </c>
      <c r="J216" s="90" t="s">
        <v>494</v>
      </c>
      <c r="K216" s="86" t="s">
        <v>495</v>
      </c>
      <c r="L216" s="314" t="s">
        <v>432</v>
      </c>
      <c r="M216" s="314">
        <v>2</v>
      </c>
      <c r="N216" s="392" t="s">
        <v>44</v>
      </c>
      <c r="O216" s="95" t="s">
        <v>39</v>
      </c>
      <c r="P216" s="95">
        <v>1</v>
      </c>
      <c r="Q216" s="375">
        <v>1</v>
      </c>
      <c r="R216" s="373">
        <v>1</v>
      </c>
      <c r="S216" s="373">
        <v>1</v>
      </c>
      <c r="T216" s="373">
        <v>1</v>
      </c>
      <c r="U216" s="388">
        <f>AP216/$AP$211</f>
        <v>0.32124516785349677</v>
      </c>
      <c r="V216" s="94">
        <v>3</v>
      </c>
      <c r="W216" s="204" t="s">
        <v>442</v>
      </c>
      <c r="X216" s="389"/>
      <c r="Y216" s="136"/>
      <c r="Z216" s="389"/>
      <c r="AA216" s="136"/>
      <c r="AB216" s="389"/>
      <c r="AC216" s="136"/>
      <c r="AD216" s="135">
        <v>162783936</v>
      </c>
      <c r="AE216" s="101">
        <v>163297270</v>
      </c>
      <c r="AF216" s="389"/>
      <c r="AG216" s="136"/>
      <c r="AH216" s="389"/>
      <c r="AI216" s="136"/>
      <c r="AJ216" s="389"/>
      <c r="AK216" s="136"/>
      <c r="AL216" s="136">
        <v>40000000</v>
      </c>
      <c r="AM216" s="136">
        <v>40000000</v>
      </c>
      <c r="AN216" s="389"/>
      <c r="AO216" s="136"/>
      <c r="AP216" s="99">
        <f>+X216+Z216+AB216+AD216+AF216+AH216+AJ216+AL216+AN216</f>
        <v>202783936</v>
      </c>
      <c r="AQ216" s="100">
        <f>Y216+AA216+AC216+AE216+AG216+AI216+AK216+AM216+AO216</f>
        <v>203297270</v>
      </c>
      <c r="AR216" s="109"/>
      <c r="AS216" s="109"/>
      <c r="AT216" s="109"/>
      <c r="AU216" s="109"/>
      <c r="AV216" s="109"/>
      <c r="AW216" s="109"/>
      <c r="AX216" s="109"/>
      <c r="AY216" s="192">
        <v>24590319.639815602</v>
      </c>
      <c r="AZ216" s="109"/>
      <c r="BA216" s="109">
        <f>SUM(AR216:AZ216)</f>
        <v>24590319.639815602</v>
      </c>
      <c r="BB216" s="192"/>
      <c r="BC216" s="192"/>
      <c r="BD216" s="192"/>
      <c r="BE216" s="192"/>
      <c r="BF216" s="192"/>
      <c r="BG216" s="192"/>
      <c r="BH216" s="192"/>
      <c r="BI216" s="192">
        <v>25411635</v>
      </c>
      <c r="BJ216" s="192"/>
      <c r="BK216" s="192">
        <f>SUM(BB216:BJ216)</f>
        <v>25411635</v>
      </c>
      <c r="BL216" s="109"/>
      <c r="BM216" s="109"/>
      <c r="BN216" s="109"/>
      <c r="BO216" s="109"/>
      <c r="BP216" s="109"/>
      <c r="BQ216" s="109"/>
      <c r="BR216" s="109"/>
      <c r="BS216" s="109">
        <v>26158984.001429077</v>
      </c>
      <c r="BT216" s="192"/>
      <c r="BU216" s="109">
        <f>SUM(BL216:BS216)</f>
        <v>26158984.001429077</v>
      </c>
      <c r="BV216" s="103">
        <f t="shared" si="101"/>
        <v>152321877.28248936</v>
      </c>
    </row>
    <row r="217" spans="1:74" ht="22.5" customHeight="1" x14ac:dyDescent="0.2">
      <c r="A217" s="105"/>
      <c r="B217" s="84"/>
      <c r="C217" s="173"/>
      <c r="D217" s="173"/>
      <c r="E217" s="71">
        <v>41</v>
      </c>
      <c r="F217" s="72" t="s">
        <v>496</v>
      </c>
      <c r="G217" s="124"/>
      <c r="H217" s="125"/>
      <c r="I217" s="74"/>
      <c r="J217" s="125"/>
      <c r="K217" s="125"/>
      <c r="L217" s="74"/>
      <c r="M217" s="74"/>
      <c r="N217" s="127"/>
      <c r="O217" s="125"/>
      <c r="P217" s="125"/>
      <c r="Q217" s="127"/>
      <c r="R217" s="125"/>
      <c r="S217" s="125"/>
      <c r="T217" s="125"/>
      <c r="U217" s="128"/>
      <c r="V217" s="74"/>
      <c r="W217" s="74"/>
      <c r="X217" s="129">
        <f t="shared" ref="X217:AO217" si="103">SUM(X218:X219)</f>
        <v>0</v>
      </c>
      <c r="Y217" s="129">
        <f t="shared" si="103"/>
        <v>0</v>
      </c>
      <c r="Z217" s="129">
        <f t="shared" si="103"/>
        <v>0</v>
      </c>
      <c r="AA217" s="129">
        <f t="shared" si="103"/>
        <v>0</v>
      </c>
      <c r="AB217" s="129">
        <f t="shared" si="103"/>
        <v>0</v>
      </c>
      <c r="AC217" s="129">
        <f t="shared" si="103"/>
        <v>0</v>
      </c>
      <c r="AD217" s="129">
        <f t="shared" si="103"/>
        <v>0</v>
      </c>
      <c r="AE217" s="129">
        <f t="shared" si="103"/>
        <v>0</v>
      </c>
      <c r="AF217" s="129">
        <f t="shared" si="103"/>
        <v>0</v>
      </c>
      <c r="AG217" s="129">
        <f t="shared" si="103"/>
        <v>0</v>
      </c>
      <c r="AH217" s="129">
        <f t="shared" si="103"/>
        <v>0</v>
      </c>
      <c r="AI217" s="129">
        <f t="shared" si="103"/>
        <v>0</v>
      </c>
      <c r="AJ217" s="129">
        <f t="shared" si="103"/>
        <v>0</v>
      </c>
      <c r="AK217" s="129">
        <f t="shared" si="103"/>
        <v>0</v>
      </c>
      <c r="AL217" s="129">
        <f t="shared" si="103"/>
        <v>10000000</v>
      </c>
      <c r="AM217" s="129">
        <f t="shared" si="103"/>
        <v>10000000</v>
      </c>
      <c r="AN217" s="129">
        <f t="shared" si="103"/>
        <v>0</v>
      </c>
      <c r="AO217" s="129">
        <f t="shared" si="103"/>
        <v>0</v>
      </c>
      <c r="AP217" s="130">
        <f>SUM(AP218:AP219)</f>
        <v>10000000</v>
      </c>
      <c r="AQ217" s="129">
        <f>SUM(AQ218:AQ219)</f>
        <v>10000000</v>
      </c>
      <c r="AR217" s="131"/>
      <c r="AS217" s="131"/>
      <c r="AT217" s="131"/>
      <c r="AU217" s="131"/>
      <c r="AV217" s="131"/>
      <c r="AW217" s="131"/>
      <c r="AX217" s="131"/>
      <c r="AY217" s="131"/>
      <c r="AZ217" s="131"/>
      <c r="BA217" s="131">
        <f>SUM(BA218:BA219)</f>
        <v>10300000</v>
      </c>
      <c r="BB217" s="131"/>
      <c r="BC217" s="131"/>
      <c r="BD217" s="131"/>
      <c r="BE217" s="131"/>
      <c r="BF217" s="131"/>
      <c r="BG217" s="131"/>
      <c r="BH217" s="131"/>
      <c r="BI217" s="131"/>
      <c r="BJ217" s="131"/>
      <c r="BK217" s="131">
        <f>SUM(BK218:BK219)</f>
        <v>10609000</v>
      </c>
      <c r="BL217" s="131"/>
      <c r="BM217" s="131"/>
      <c r="BN217" s="131"/>
      <c r="BO217" s="131"/>
      <c r="BP217" s="131"/>
      <c r="BQ217" s="131"/>
      <c r="BR217" s="131"/>
      <c r="BS217" s="131"/>
      <c r="BT217" s="131"/>
      <c r="BU217" s="131">
        <f>SUM(BU218:BU219)</f>
        <v>10927270</v>
      </c>
      <c r="BV217" s="132">
        <f t="shared" si="101"/>
        <v>31836270</v>
      </c>
    </row>
    <row r="218" spans="1:74" ht="57" customHeight="1" x14ac:dyDescent="0.2">
      <c r="A218" s="84">
        <v>147</v>
      </c>
      <c r="B218" s="84">
        <v>3</v>
      </c>
      <c r="C218" s="173"/>
      <c r="D218" s="173"/>
      <c r="E218" s="85">
        <v>28</v>
      </c>
      <c r="F218" s="87" t="s">
        <v>497</v>
      </c>
      <c r="G218" s="402">
        <v>0.5</v>
      </c>
      <c r="H218" s="402">
        <v>1</v>
      </c>
      <c r="I218" s="94">
        <v>147</v>
      </c>
      <c r="J218" s="90" t="s">
        <v>498</v>
      </c>
      <c r="K218" s="346" t="s">
        <v>499</v>
      </c>
      <c r="L218" s="314" t="s">
        <v>432</v>
      </c>
      <c r="M218" s="314">
        <v>2</v>
      </c>
      <c r="N218" s="370" t="s">
        <v>44</v>
      </c>
      <c r="O218" s="95">
        <v>14</v>
      </c>
      <c r="P218" s="95">
        <v>14</v>
      </c>
      <c r="Q218" s="375">
        <v>14</v>
      </c>
      <c r="R218" s="373">
        <v>14</v>
      </c>
      <c r="S218" s="373">
        <v>14</v>
      </c>
      <c r="T218" s="373">
        <v>14</v>
      </c>
      <c r="U218" s="273">
        <f>AP218/AP217</f>
        <v>0.5</v>
      </c>
      <c r="V218" s="95">
        <v>3</v>
      </c>
      <c r="W218" s="92" t="s">
        <v>442</v>
      </c>
      <c r="X218" s="231"/>
      <c r="Y218" s="136"/>
      <c r="Z218" s="231"/>
      <c r="AA218" s="136"/>
      <c r="AB218" s="231"/>
      <c r="AC218" s="136"/>
      <c r="AD218" s="231"/>
      <c r="AE218" s="136"/>
      <c r="AF218" s="231"/>
      <c r="AG218" s="136"/>
      <c r="AH218" s="231"/>
      <c r="AI218" s="136"/>
      <c r="AJ218" s="231"/>
      <c r="AK218" s="136"/>
      <c r="AL218" s="231">
        <v>5000000</v>
      </c>
      <c r="AM218" s="136">
        <v>5000000</v>
      </c>
      <c r="AN218" s="231"/>
      <c r="AO218" s="136"/>
      <c r="AP218" s="99">
        <f>+X218+Z218+AB218+AD218+AF218+AH218+AJ218+AL218+AN218</f>
        <v>5000000</v>
      </c>
      <c r="AQ218" s="100">
        <f>Y218+AA218+AC218+AE218+AG218+AI218+AK218+AM218+AO218</f>
        <v>5000000</v>
      </c>
      <c r="AR218" s="109"/>
      <c r="AS218" s="109"/>
      <c r="AT218" s="109"/>
      <c r="AU218" s="109"/>
      <c r="AV218" s="109"/>
      <c r="AW218" s="109"/>
      <c r="AX218" s="109"/>
      <c r="AY218" s="192">
        <v>5150000</v>
      </c>
      <c r="AZ218" s="109"/>
      <c r="BA218" s="109">
        <f>SUM(AR218:AY218)+AZ218</f>
        <v>5150000</v>
      </c>
      <c r="BB218" s="192"/>
      <c r="BC218" s="192"/>
      <c r="BD218" s="192"/>
      <c r="BE218" s="192"/>
      <c r="BF218" s="192"/>
      <c r="BG218" s="192"/>
      <c r="BH218" s="192"/>
      <c r="BI218" s="192">
        <v>5304500</v>
      </c>
      <c r="BJ218" s="192"/>
      <c r="BK218" s="192">
        <f>SUM(BB218:BJ218)</f>
        <v>5304500</v>
      </c>
      <c r="BL218" s="109"/>
      <c r="BM218" s="109"/>
      <c r="BN218" s="109"/>
      <c r="BO218" s="109"/>
      <c r="BP218" s="109"/>
      <c r="BQ218" s="109"/>
      <c r="BR218" s="109"/>
      <c r="BS218" s="192">
        <v>5500000</v>
      </c>
      <c r="BT218" s="192"/>
      <c r="BU218" s="192">
        <f>SUM(BL218:BS218)</f>
        <v>5500000</v>
      </c>
      <c r="BV218" s="103">
        <f t="shared" si="101"/>
        <v>31909000</v>
      </c>
    </row>
    <row r="219" spans="1:74" ht="71.25" x14ac:dyDescent="0.2">
      <c r="A219" s="105">
        <v>148</v>
      </c>
      <c r="B219" s="84">
        <v>3</v>
      </c>
      <c r="C219" s="173"/>
      <c r="D219" s="173"/>
      <c r="E219" s="110"/>
      <c r="F219" s="115"/>
      <c r="G219" s="403"/>
      <c r="H219" s="403"/>
      <c r="I219" s="94">
        <v>148</v>
      </c>
      <c r="J219" s="90" t="s">
        <v>500</v>
      </c>
      <c r="K219" s="346" t="s">
        <v>501</v>
      </c>
      <c r="L219" s="314" t="s">
        <v>432</v>
      </c>
      <c r="M219" s="314">
        <v>2</v>
      </c>
      <c r="N219" s="404" t="s">
        <v>44</v>
      </c>
      <c r="O219" s="95" t="s">
        <v>39</v>
      </c>
      <c r="P219" s="95">
        <v>11</v>
      </c>
      <c r="Q219" s="377">
        <v>11</v>
      </c>
      <c r="R219" s="376">
        <v>11</v>
      </c>
      <c r="S219" s="376">
        <v>11</v>
      </c>
      <c r="T219" s="376">
        <v>11</v>
      </c>
      <c r="U219" s="273">
        <f>AP219/AP217</f>
        <v>0.5</v>
      </c>
      <c r="V219" s="95">
        <v>3</v>
      </c>
      <c r="W219" s="92" t="s">
        <v>442</v>
      </c>
      <c r="X219" s="231"/>
      <c r="Y219" s="136"/>
      <c r="Z219" s="231"/>
      <c r="AA219" s="136"/>
      <c r="AB219" s="231"/>
      <c r="AC219" s="136"/>
      <c r="AD219" s="231"/>
      <c r="AE219" s="136"/>
      <c r="AF219" s="231"/>
      <c r="AG219" s="136"/>
      <c r="AH219" s="231"/>
      <c r="AI219" s="136"/>
      <c r="AJ219" s="231"/>
      <c r="AK219" s="136"/>
      <c r="AL219" s="231">
        <v>5000000</v>
      </c>
      <c r="AM219" s="136">
        <v>5000000</v>
      </c>
      <c r="AN219" s="231"/>
      <c r="AO219" s="136"/>
      <c r="AP219" s="99">
        <f>+X219+Z219+AB219+AD219+AF219+AH219+AJ219+AL219+AN219</f>
        <v>5000000</v>
      </c>
      <c r="AQ219" s="100">
        <f>Y219+AA219+AC219+AE219+AG219+AI219+AK219+AM219+AO219</f>
        <v>5000000</v>
      </c>
      <c r="AR219" s="109"/>
      <c r="AS219" s="109"/>
      <c r="AT219" s="109"/>
      <c r="AU219" s="109"/>
      <c r="AV219" s="109"/>
      <c r="AW219" s="109"/>
      <c r="AX219" s="109"/>
      <c r="AY219" s="192">
        <v>5150000</v>
      </c>
      <c r="AZ219" s="109"/>
      <c r="BA219" s="109">
        <f>SUM(AR219:AY219)+AZ219</f>
        <v>5150000</v>
      </c>
      <c r="BB219" s="192"/>
      <c r="BC219" s="192"/>
      <c r="BD219" s="192"/>
      <c r="BE219" s="192"/>
      <c r="BF219" s="192"/>
      <c r="BG219" s="192"/>
      <c r="BH219" s="192"/>
      <c r="BI219" s="192">
        <v>5304500</v>
      </c>
      <c r="BJ219" s="192"/>
      <c r="BK219" s="192">
        <f>SUM(BB219:BJ219)</f>
        <v>5304500</v>
      </c>
      <c r="BL219" s="109"/>
      <c r="BM219" s="109"/>
      <c r="BN219" s="109"/>
      <c r="BO219" s="109"/>
      <c r="BP219" s="109"/>
      <c r="BQ219" s="109"/>
      <c r="BR219" s="109"/>
      <c r="BS219" s="192">
        <v>5427270</v>
      </c>
      <c r="BT219" s="192"/>
      <c r="BU219" s="192">
        <f>SUM(BL219:BS219)</f>
        <v>5427270</v>
      </c>
      <c r="BV219" s="103">
        <f t="shared" si="101"/>
        <v>31763540</v>
      </c>
    </row>
    <row r="220" spans="1:74" ht="22.5" customHeight="1" thickBot="1" x14ac:dyDescent="0.25">
      <c r="A220" s="105"/>
      <c r="B220" s="84"/>
      <c r="C220" s="173"/>
      <c r="D220" s="173"/>
      <c r="E220" s="71">
        <v>42</v>
      </c>
      <c r="F220" s="72" t="s">
        <v>502</v>
      </c>
      <c r="G220" s="125"/>
      <c r="H220" s="125"/>
      <c r="I220" s="74"/>
      <c r="J220" s="125"/>
      <c r="K220" s="125"/>
      <c r="L220" s="74"/>
      <c r="M220" s="74"/>
      <c r="N220" s="126"/>
      <c r="O220" s="125"/>
      <c r="P220" s="125"/>
      <c r="Q220" s="127"/>
      <c r="R220" s="125"/>
      <c r="S220" s="125"/>
      <c r="T220" s="74"/>
      <c r="U220" s="128"/>
      <c r="V220" s="74"/>
      <c r="W220" s="74"/>
      <c r="X220" s="129">
        <f t="shared" ref="X220:AO220" si="104">SUM(X221:X222)</f>
        <v>0</v>
      </c>
      <c r="Y220" s="129">
        <f t="shared" si="104"/>
        <v>0</v>
      </c>
      <c r="Z220" s="129">
        <f t="shared" si="104"/>
        <v>0</v>
      </c>
      <c r="AA220" s="129">
        <f t="shared" si="104"/>
        <v>0</v>
      </c>
      <c r="AB220" s="129">
        <f t="shared" si="104"/>
        <v>0</v>
      </c>
      <c r="AC220" s="129">
        <f t="shared" si="104"/>
        <v>0</v>
      </c>
      <c r="AD220" s="129">
        <f t="shared" si="104"/>
        <v>0</v>
      </c>
      <c r="AE220" s="129">
        <f t="shared" si="104"/>
        <v>0</v>
      </c>
      <c r="AF220" s="129">
        <f t="shared" si="104"/>
        <v>0</v>
      </c>
      <c r="AG220" s="129">
        <f t="shared" si="104"/>
        <v>0</v>
      </c>
      <c r="AH220" s="129">
        <f t="shared" si="104"/>
        <v>0</v>
      </c>
      <c r="AI220" s="129">
        <f t="shared" si="104"/>
        <v>0</v>
      </c>
      <c r="AJ220" s="129">
        <f t="shared" si="104"/>
        <v>0</v>
      </c>
      <c r="AK220" s="129">
        <f t="shared" si="104"/>
        <v>0</v>
      </c>
      <c r="AL220" s="129">
        <f t="shared" si="104"/>
        <v>50000000</v>
      </c>
      <c r="AM220" s="129">
        <f t="shared" si="104"/>
        <v>50000000</v>
      </c>
      <c r="AN220" s="129">
        <f t="shared" si="104"/>
        <v>0</v>
      </c>
      <c r="AO220" s="129">
        <f t="shared" si="104"/>
        <v>0</v>
      </c>
      <c r="AP220" s="130">
        <f>SUM(AP221:AP222)</f>
        <v>50000000</v>
      </c>
      <c r="AQ220" s="129">
        <f>SUM(AQ221:AQ222)</f>
        <v>50000000</v>
      </c>
      <c r="AR220" s="131"/>
      <c r="AS220" s="131"/>
      <c r="AT220" s="131"/>
      <c r="AU220" s="131"/>
      <c r="AV220" s="131"/>
      <c r="AW220" s="131"/>
      <c r="AX220" s="131"/>
      <c r="AY220" s="131"/>
      <c r="AZ220" s="131"/>
      <c r="BA220" s="131">
        <f>SUM(BA221:BA222)</f>
        <v>51500000</v>
      </c>
      <c r="BB220" s="131"/>
      <c r="BC220" s="131"/>
      <c r="BD220" s="131"/>
      <c r="BE220" s="131"/>
      <c r="BF220" s="131"/>
      <c r="BG220" s="131"/>
      <c r="BH220" s="131"/>
      <c r="BI220" s="131"/>
      <c r="BJ220" s="131"/>
      <c r="BK220" s="131">
        <f>SUM(BK221:BK222)</f>
        <v>53045000</v>
      </c>
      <c r="BL220" s="131"/>
      <c r="BM220" s="131"/>
      <c r="BN220" s="131"/>
      <c r="BO220" s="131"/>
      <c r="BP220" s="131"/>
      <c r="BQ220" s="131"/>
      <c r="BR220" s="131"/>
      <c r="BS220" s="131"/>
      <c r="BT220" s="131"/>
      <c r="BU220" s="131">
        <f>SUM(BU221:BU222)</f>
        <v>54636350</v>
      </c>
      <c r="BV220" s="132">
        <f t="shared" si="101"/>
        <v>159181350</v>
      </c>
    </row>
    <row r="221" spans="1:74" ht="141" customHeight="1" x14ac:dyDescent="0.2">
      <c r="A221" s="84">
        <v>149</v>
      </c>
      <c r="B221" s="84">
        <v>3</v>
      </c>
      <c r="C221" s="173"/>
      <c r="D221" s="173"/>
      <c r="E221" s="117" t="s">
        <v>503</v>
      </c>
      <c r="F221" s="359" t="s">
        <v>504</v>
      </c>
      <c r="G221" s="94" t="s">
        <v>505</v>
      </c>
      <c r="H221" s="94" t="s">
        <v>506</v>
      </c>
      <c r="I221" s="94">
        <v>149</v>
      </c>
      <c r="J221" s="90" t="s">
        <v>507</v>
      </c>
      <c r="K221" s="346" t="s">
        <v>508</v>
      </c>
      <c r="L221" s="204" t="s">
        <v>432</v>
      </c>
      <c r="M221" s="405">
        <v>2</v>
      </c>
      <c r="N221" s="392" t="s">
        <v>44</v>
      </c>
      <c r="O221" s="95" t="s">
        <v>39</v>
      </c>
      <c r="P221" s="95">
        <v>8</v>
      </c>
      <c r="Q221" s="393">
        <v>8</v>
      </c>
      <c r="R221" s="394">
        <v>8</v>
      </c>
      <c r="S221" s="394">
        <v>8</v>
      </c>
      <c r="T221" s="394">
        <v>8</v>
      </c>
      <c r="U221" s="406">
        <f>AP221/AP220</f>
        <v>0.75</v>
      </c>
      <c r="V221" s="95">
        <v>8</v>
      </c>
      <c r="W221" s="210" t="s">
        <v>121</v>
      </c>
      <c r="X221" s="215"/>
      <c r="Y221" s="142"/>
      <c r="Z221" s="215"/>
      <c r="AA221" s="142"/>
      <c r="AB221" s="215"/>
      <c r="AC221" s="142"/>
      <c r="AD221" s="215"/>
      <c r="AE221" s="142"/>
      <c r="AF221" s="215"/>
      <c r="AG221" s="142"/>
      <c r="AH221" s="215"/>
      <c r="AI221" s="142"/>
      <c r="AJ221" s="215"/>
      <c r="AK221" s="142"/>
      <c r="AL221" s="141">
        <f>10000000+27500000</f>
        <v>37500000</v>
      </c>
      <c r="AM221" s="142">
        <v>37500000</v>
      </c>
      <c r="AN221" s="215"/>
      <c r="AO221" s="142"/>
      <c r="AP221" s="99">
        <f>+X221+Z221+AB221+AD221+AF221+AH221+AJ221+AL221+AN221</f>
        <v>37500000</v>
      </c>
      <c r="AQ221" s="100">
        <f>Y221+AA221+AC221+AE221+AG221+AI221+AK221+AM221+AO221</f>
        <v>37500000</v>
      </c>
      <c r="AR221" s="109"/>
      <c r="AS221" s="109"/>
      <c r="AT221" s="109"/>
      <c r="AU221" s="109"/>
      <c r="AV221" s="109"/>
      <c r="AW221" s="109"/>
      <c r="AX221" s="109"/>
      <c r="AY221" s="192">
        <v>38625000</v>
      </c>
      <c r="AZ221" s="109"/>
      <c r="BA221" s="109">
        <f>SUM(AR221:AY221)+AZ221</f>
        <v>38625000</v>
      </c>
      <c r="BB221" s="192"/>
      <c r="BC221" s="192"/>
      <c r="BD221" s="192"/>
      <c r="BE221" s="192"/>
      <c r="BF221" s="192"/>
      <c r="BG221" s="192"/>
      <c r="BH221" s="192"/>
      <c r="BI221" s="192">
        <v>39783750</v>
      </c>
      <c r="BJ221" s="192"/>
      <c r="BK221" s="192">
        <f>SUM(BB221:BJ221)</f>
        <v>39783750</v>
      </c>
      <c r="BL221" s="109"/>
      <c r="BM221" s="109"/>
      <c r="BN221" s="109"/>
      <c r="BO221" s="109"/>
      <c r="BP221" s="109"/>
      <c r="BQ221" s="109"/>
      <c r="BR221" s="109"/>
      <c r="BS221" s="192">
        <v>40900000</v>
      </c>
      <c r="BT221" s="192"/>
      <c r="BU221" s="109">
        <f>SUM(BL221:BT221)</f>
        <v>40900000</v>
      </c>
      <c r="BV221" s="103">
        <f t="shared" si="101"/>
        <v>238617500</v>
      </c>
    </row>
    <row r="222" spans="1:74" ht="174.75" customHeight="1" x14ac:dyDescent="0.2">
      <c r="A222" s="105">
        <v>150</v>
      </c>
      <c r="B222" s="84">
        <v>3</v>
      </c>
      <c r="C222" s="173"/>
      <c r="D222" s="173"/>
      <c r="E222" s="110">
        <v>28</v>
      </c>
      <c r="F222" s="276" t="s">
        <v>509</v>
      </c>
      <c r="G222" s="383">
        <v>0.5</v>
      </c>
      <c r="H222" s="383">
        <v>1</v>
      </c>
      <c r="I222" s="94">
        <v>150</v>
      </c>
      <c r="J222" s="90" t="s">
        <v>510</v>
      </c>
      <c r="K222" s="346" t="s">
        <v>511</v>
      </c>
      <c r="L222" s="204" t="s">
        <v>432</v>
      </c>
      <c r="M222" s="405">
        <v>2</v>
      </c>
      <c r="N222" s="392" t="s">
        <v>44</v>
      </c>
      <c r="O222" s="95">
        <v>0</v>
      </c>
      <c r="P222" s="95">
        <v>14</v>
      </c>
      <c r="Q222" s="375">
        <v>14</v>
      </c>
      <c r="R222" s="373">
        <v>14</v>
      </c>
      <c r="S222" s="373">
        <v>14</v>
      </c>
      <c r="T222" s="373">
        <v>14</v>
      </c>
      <c r="U222" s="406">
        <f>AP222/AP220</f>
        <v>0.25</v>
      </c>
      <c r="V222" s="95">
        <v>3</v>
      </c>
      <c r="W222" s="210" t="s">
        <v>442</v>
      </c>
      <c r="X222" s="215"/>
      <c r="Y222" s="142"/>
      <c r="Z222" s="215"/>
      <c r="AA222" s="142"/>
      <c r="AB222" s="215"/>
      <c r="AC222" s="142"/>
      <c r="AD222" s="215"/>
      <c r="AE222" s="142"/>
      <c r="AF222" s="215"/>
      <c r="AG222" s="142"/>
      <c r="AH222" s="215"/>
      <c r="AI222" s="142"/>
      <c r="AJ222" s="215"/>
      <c r="AK222" s="142"/>
      <c r="AL222" s="141">
        <v>12500000</v>
      </c>
      <c r="AM222" s="136">
        <v>12500000</v>
      </c>
      <c r="AN222" s="215"/>
      <c r="AO222" s="142"/>
      <c r="AP222" s="99">
        <f>+X222+Z222+AB222+AD222+AF222+AH222+AJ222+AL222+AN222</f>
        <v>12500000</v>
      </c>
      <c r="AQ222" s="100">
        <f>Y222+AA222+AC222+AE222+AG222+AI222+AK222+AM222+AO222</f>
        <v>12500000</v>
      </c>
      <c r="AR222" s="109"/>
      <c r="AS222" s="109"/>
      <c r="AT222" s="109"/>
      <c r="AU222" s="109"/>
      <c r="AV222" s="109"/>
      <c r="AW222" s="109"/>
      <c r="AX222" s="109"/>
      <c r="AY222" s="192">
        <v>12875000</v>
      </c>
      <c r="AZ222" s="109"/>
      <c r="BA222" s="109">
        <f>SUM(AR222:AY222)+AZ222</f>
        <v>12875000</v>
      </c>
      <c r="BB222" s="192"/>
      <c r="BC222" s="192"/>
      <c r="BD222" s="192"/>
      <c r="BE222" s="192"/>
      <c r="BF222" s="192"/>
      <c r="BG222" s="192"/>
      <c r="BH222" s="192"/>
      <c r="BI222" s="192">
        <v>13261250</v>
      </c>
      <c r="BJ222" s="192"/>
      <c r="BK222" s="192">
        <f>SUM(BB222:BJ222)</f>
        <v>13261250</v>
      </c>
      <c r="BL222" s="109"/>
      <c r="BM222" s="109"/>
      <c r="BN222" s="109"/>
      <c r="BO222" s="109"/>
      <c r="BP222" s="109"/>
      <c r="BQ222" s="109"/>
      <c r="BR222" s="109"/>
      <c r="BS222" s="192">
        <v>13736350</v>
      </c>
      <c r="BT222" s="192"/>
      <c r="BU222" s="109">
        <f>SUM(BL222:BT222)</f>
        <v>13736350</v>
      </c>
      <c r="BV222" s="103">
        <f t="shared" si="101"/>
        <v>79745200</v>
      </c>
    </row>
    <row r="223" spans="1:74" ht="22.5" customHeight="1" x14ac:dyDescent="0.2">
      <c r="A223" s="105"/>
      <c r="B223" s="84"/>
      <c r="C223" s="173"/>
      <c r="D223" s="173"/>
      <c r="E223" s="71">
        <v>43</v>
      </c>
      <c r="F223" s="72" t="s">
        <v>512</v>
      </c>
      <c r="G223" s="75"/>
      <c r="H223" s="75"/>
      <c r="I223" s="74"/>
      <c r="J223" s="75"/>
      <c r="K223" s="75"/>
      <c r="L223" s="323"/>
      <c r="M223" s="324"/>
      <c r="N223" s="325"/>
      <c r="O223" s="75"/>
      <c r="P223" s="75"/>
      <c r="Q223" s="326"/>
      <c r="R223" s="310"/>
      <c r="S223" s="310"/>
      <c r="T223" s="324"/>
      <c r="U223" s="174"/>
      <c r="V223" s="76"/>
      <c r="W223" s="76"/>
      <c r="X223" s="80">
        <f t="shared" ref="X223:AO223" si="105">SUM(X224:X226)</f>
        <v>0</v>
      </c>
      <c r="Y223" s="80">
        <f t="shared" si="105"/>
        <v>0</v>
      </c>
      <c r="Z223" s="80">
        <f t="shared" si="105"/>
        <v>1159435758</v>
      </c>
      <c r="AA223" s="80">
        <f t="shared" si="105"/>
        <v>1237889758</v>
      </c>
      <c r="AB223" s="80">
        <f t="shared" si="105"/>
        <v>150000000</v>
      </c>
      <c r="AC223" s="80">
        <f t="shared" si="105"/>
        <v>150000000</v>
      </c>
      <c r="AD223" s="80">
        <f t="shared" si="105"/>
        <v>0</v>
      </c>
      <c r="AE223" s="80">
        <f t="shared" si="105"/>
        <v>0</v>
      </c>
      <c r="AF223" s="80">
        <f t="shared" si="105"/>
        <v>0</v>
      </c>
      <c r="AG223" s="80">
        <f t="shared" si="105"/>
        <v>0</v>
      </c>
      <c r="AH223" s="80">
        <f t="shared" si="105"/>
        <v>0</v>
      </c>
      <c r="AI223" s="80">
        <f t="shared" si="105"/>
        <v>0</v>
      </c>
      <c r="AJ223" s="80">
        <f t="shared" si="105"/>
        <v>0</v>
      </c>
      <c r="AK223" s="80">
        <f t="shared" si="105"/>
        <v>0</v>
      </c>
      <c r="AL223" s="80">
        <f t="shared" si="105"/>
        <v>76771008</v>
      </c>
      <c r="AM223" s="80">
        <f t="shared" si="105"/>
        <v>76771008</v>
      </c>
      <c r="AN223" s="80">
        <f t="shared" si="105"/>
        <v>0</v>
      </c>
      <c r="AO223" s="80">
        <f t="shared" si="105"/>
        <v>0</v>
      </c>
      <c r="AP223" s="81">
        <f>SUM(AP224:AP226)</f>
        <v>1386206766</v>
      </c>
      <c r="AQ223" s="80">
        <f>SUM(AQ224:AQ226)</f>
        <v>1464660766</v>
      </c>
      <c r="AR223" s="82"/>
      <c r="AS223" s="82"/>
      <c r="AT223" s="82"/>
      <c r="AU223" s="82"/>
      <c r="AV223" s="82"/>
      <c r="AW223" s="82"/>
      <c r="AX223" s="82"/>
      <c r="AY223" s="82"/>
      <c r="AZ223" s="82"/>
      <c r="BA223" s="82">
        <f>SUM(BA224:BA226)</f>
        <v>902132923</v>
      </c>
      <c r="BB223" s="82"/>
      <c r="BC223" s="82"/>
      <c r="BD223" s="82"/>
      <c r="BE223" s="82"/>
      <c r="BF223" s="82"/>
      <c r="BG223" s="82"/>
      <c r="BH223" s="82"/>
      <c r="BI223" s="82"/>
      <c r="BJ223" s="82"/>
      <c r="BK223" s="82">
        <f>SUM(BK224:BK226)</f>
        <v>826196910</v>
      </c>
      <c r="BL223" s="131"/>
      <c r="BM223" s="131"/>
      <c r="BN223" s="131"/>
      <c r="BO223" s="131"/>
      <c r="BP223" s="131"/>
      <c r="BQ223" s="131"/>
      <c r="BR223" s="131"/>
      <c r="BS223" s="131"/>
      <c r="BT223" s="131"/>
      <c r="BU223" s="82">
        <f>SUM(BU224:BU226)</f>
        <v>850982817</v>
      </c>
      <c r="BV223" s="83">
        <f t="shared" si="101"/>
        <v>2579312650</v>
      </c>
    </row>
    <row r="224" spans="1:74" ht="337.5" customHeight="1" x14ac:dyDescent="0.2">
      <c r="A224" s="84">
        <v>151</v>
      </c>
      <c r="B224" s="84">
        <v>3</v>
      </c>
      <c r="C224" s="173"/>
      <c r="D224" s="173"/>
      <c r="E224" s="85" t="s">
        <v>513</v>
      </c>
      <c r="F224" s="607" t="s">
        <v>514</v>
      </c>
      <c r="G224" s="651">
        <v>0</v>
      </c>
      <c r="H224" s="651">
        <v>1</v>
      </c>
      <c r="I224" s="94">
        <v>151</v>
      </c>
      <c r="J224" s="90" t="s">
        <v>515</v>
      </c>
      <c r="K224" s="346" t="s">
        <v>516</v>
      </c>
      <c r="L224" s="204" t="s">
        <v>432</v>
      </c>
      <c r="M224" s="405">
        <v>2</v>
      </c>
      <c r="N224" s="373" t="s">
        <v>44</v>
      </c>
      <c r="O224" s="95" t="s">
        <v>39</v>
      </c>
      <c r="P224" s="95">
        <v>12</v>
      </c>
      <c r="Q224" s="375">
        <v>12</v>
      </c>
      <c r="R224" s="373">
        <v>12</v>
      </c>
      <c r="S224" s="373">
        <v>12</v>
      </c>
      <c r="T224" s="373">
        <v>12</v>
      </c>
      <c r="U224" s="406">
        <f>AP224/$AP$223</f>
        <v>0.10820896541490406</v>
      </c>
      <c r="V224" s="95">
        <v>3</v>
      </c>
      <c r="W224" s="210" t="s">
        <v>442</v>
      </c>
      <c r="X224" s="215"/>
      <c r="Y224" s="142"/>
      <c r="Z224" s="215"/>
      <c r="AA224" s="142"/>
      <c r="AB224" s="141">
        <v>150000000</v>
      </c>
      <c r="AC224" s="101">
        <v>150000000</v>
      </c>
      <c r="AD224" s="215"/>
      <c r="AE224" s="142"/>
      <c r="AF224" s="215"/>
      <c r="AG224" s="142"/>
      <c r="AH224" s="215"/>
      <c r="AI224" s="142"/>
      <c r="AJ224" s="215"/>
      <c r="AK224" s="142"/>
      <c r="AL224" s="215"/>
      <c r="AM224" s="142"/>
      <c r="AN224" s="215"/>
      <c r="AO224" s="142"/>
      <c r="AP224" s="99">
        <f>+X224+Z224+AB224+AD224+AF224+AH224+AJ224+AL224+AN224</f>
        <v>150000000</v>
      </c>
      <c r="AQ224" s="100">
        <f>Y224+AA224+AC224+AE224+AG224+AI224+AK224+AM224+AO224</f>
        <v>150000000</v>
      </c>
      <c r="AR224" s="109"/>
      <c r="AS224" s="192"/>
      <c r="AT224" s="192">
        <v>97618870.264553308</v>
      </c>
      <c r="AU224" s="109"/>
      <c r="AV224" s="109"/>
      <c r="AW224" s="109"/>
      <c r="AX224" s="109"/>
      <c r="AY224" s="109"/>
      <c r="AZ224" s="109"/>
      <c r="BA224" s="109">
        <f>SUM(AR224:AY224)+AZ224</f>
        <v>97618870.264553308</v>
      </c>
      <c r="BB224" s="192"/>
      <c r="BC224" s="192">
        <v>48314215.431800008</v>
      </c>
      <c r="BD224" s="192"/>
      <c r="BE224" s="192"/>
      <c r="BF224" s="192"/>
      <c r="BG224" s="192"/>
      <c r="BH224" s="192"/>
      <c r="BI224" s="192">
        <v>41085784.568199992</v>
      </c>
      <c r="BJ224" s="192"/>
      <c r="BK224" s="192">
        <f>SUM(BB224:BJ224)</f>
        <v>89400000</v>
      </c>
      <c r="BL224" s="109"/>
      <c r="BM224" s="146">
        <v>49710642</v>
      </c>
      <c r="BN224" s="109"/>
      <c r="BO224" s="109"/>
      <c r="BP224" s="109"/>
      <c r="BQ224" s="109"/>
      <c r="BR224" s="109"/>
      <c r="BS224" s="109">
        <v>42289358</v>
      </c>
      <c r="BT224" s="109"/>
      <c r="BU224" s="109">
        <f>SUM(BL224:BT224)</f>
        <v>92000000</v>
      </c>
      <c r="BV224" s="103">
        <f t="shared" si="101"/>
        <v>558037740.52910662</v>
      </c>
    </row>
    <row r="225" spans="1:74" ht="237.75" customHeight="1" x14ac:dyDescent="0.2">
      <c r="A225" s="105">
        <v>152</v>
      </c>
      <c r="B225" s="84">
        <v>3</v>
      </c>
      <c r="C225" s="173"/>
      <c r="D225" s="173"/>
      <c r="E225" s="111"/>
      <c r="F225" s="608"/>
      <c r="G225" s="652"/>
      <c r="H225" s="652"/>
      <c r="I225" s="94">
        <v>152</v>
      </c>
      <c r="J225" s="90" t="s">
        <v>517</v>
      </c>
      <c r="K225" s="346" t="s">
        <v>431</v>
      </c>
      <c r="L225" s="204" t="s">
        <v>432</v>
      </c>
      <c r="M225" s="405">
        <v>2</v>
      </c>
      <c r="N225" s="373" t="s">
        <v>44</v>
      </c>
      <c r="O225" s="95" t="s">
        <v>39</v>
      </c>
      <c r="P225" s="95">
        <v>1</v>
      </c>
      <c r="Q225" s="377">
        <v>1</v>
      </c>
      <c r="R225" s="376">
        <v>1</v>
      </c>
      <c r="S225" s="376">
        <v>1</v>
      </c>
      <c r="T225" s="376">
        <v>1</v>
      </c>
      <c r="U225" s="406">
        <f>AP225/$AP$223</f>
        <v>5.5382075663595487E-2</v>
      </c>
      <c r="V225" s="95">
        <v>3</v>
      </c>
      <c r="W225" s="210" t="s">
        <v>442</v>
      </c>
      <c r="X225" s="215"/>
      <c r="Y225" s="142"/>
      <c r="Z225" s="215"/>
      <c r="AA225" s="142"/>
      <c r="AB225" s="215"/>
      <c r="AC225" s="142"/>
      <c r="AD225" s="215"/>
      <c r="AE225" s="142"/>
      <c r="AF225" s="215"/>
      <c r="AG225" s="142"/>
      <c r="AH225" s="215"/>
      <c r="AI225" s="142"/>
      <c r="AJ225" s="215"/>
      <c r="AK225" s="142"/>
      <c r="AL225" s="141">
        <v>76771008</v>
      </c>
      <c r="AM225" s="136">
        <v>76771008</v>
      </c>
      <c r="AN225" s="215"/>
      <c r="AO225" s="142"/>
      <c r="AP225" s="99">
        <f>+X225+Z225+AB225+AD225+AF225+AH225+AJ225+AL225+AN225</f>
        <v>76771008</v>
      </c>
      <c r="AQ225" s="100">
        <f>Y225+AA225+AC225+AE225+AG225+AI225+AK225+AM225+AO225</f>
        <v>76771008</v>
      </c>
      <c r="AR225" s="109"/>
      <c r="AS225" s="192"/>
      <c r="AT225" s="109">
        <f>100000000-AT224</f>
        <v>2381129.7354466915</v>
      </c>
      <c r="AU225" s="109"/>
      <c r="AV225" s="109"/>
      <c r="AW225" s="109"/>
      <c r="AX225" s="109"/>
      <c r="AY225" s="109">
        <v>84258044</v>
      </c>
      <c r="AZ225" s="109"/>
      <c r="BA225" s="109">
        <f>SUM(AR225:AY225)+AZ225</f>
        <v>86639173.735446692</v>
      </c>
      <c r="BB225" s="192"/>
      <c r="BC225" s="407" t="s">
        <v>0</v>
      </c>
      <c r="BD225" s="192"/>
      <c r="BE225" s="192"/>
      <c r="BF225" s="192"/>
      <c r="BG225" s="192"/>
      <c r="BH225" s="192"/>
      <c r="BI225" s="192">
        <v>45700000</v>
      </c>
      <c r="BJ225" s="192"/>
      <c r="BK225" s="192">
        <f>SUM(BB225:BJ225)</f>
        <v>45700000</v>
      </c>
      <c r="BL225" s="109"/>
      <c r="BM225" s="109"/>
      <c r="BN225" s="109"/>
      <c r="BO225" s="109"/>
      <c r="BP225" s="109"/>
      <c r="BQ225" s="109"/>
      <c r="BR225" s="109"/>
      <c r="BS225" s="109">
        <v>47100000</v>
      </c>
      <c r="BT225" s="109"/>
      <c r="BU225" s="109">
        <f>SUM(BL225:BT225)</f>
        <v>47100000</v>
      </c>
      <c r="BV225" s="103">
        <f t="shared" si="101"/>
        <v>358878347.47089338</v>
      </c>
    </row>
    <row r="226" spans="1:74" ht="215.25" customHeight="1" x14ac:dyDescent="0.2">
      <c r="A226" s="84">
        <v>153</v>
      </c>
      <c r="B226" s="84">
        <v>3</v>
      </c>
      <c r="C226" s="173"/>
      <c r="D226" s="173"/>
      <c r="E226" s="110" t="s">
        <v>518</v>
      </c>
      <c r="F226" s="114" t="s">
        <v>519</v>
      </c>
      <c r="G226" s="291">
        <v>0</v>
      </c>
      <c r="H226" s="291">
        <v>1</v>
      </c>
      <c r="I226" s="94">
        <v>153</v>
      </c>
      <c r="J226" s="90" t="s">
        <v>520</v>
      </c>
      <c r="K226" s="346" t="s">
        <v>521</v>
      </c>
      <c r="L226" s="204" t="s">
        <v>432</v>
      </c>
      <c r="M226" s="405">
        <v>2</v>
      </c>
      <c r="N226" s="373" t="s">
        <v>44</v>
      </c>
      <c r="O226" s="95" t="s">
        <v>39</v>
      </c>
      <c r="P226" s="117">
        <v>150</v>
      </c>
      <c r="Q226" s="375">
        <v>150</v>
      </c>
      <c r="R226" s="373">
        <v>150</v>
      </c>
      <c r="S226" s="373">
        <v>150</v>
      </c>
      <c r="T226" s="373">
        <v>150</v>
      </c>
      <c r="U226" s="406">
        <f>AP226/$AP$223</f>
        <v>0.83640895892150047</v>
      </c>
      <c r="V226" s="95">
        <v>3</v>
      </c>
      <c r="W226" s="210" t="s">
        <v>442</v>
      </c>
      <c r="X226" s="215"/>
      <c r="Y226" s="142"/>
      <c r="Z226" s="136">
        <v>1159435758</v>
      </c>
      <c r="AA226" s="136">
        <v>1237889758</v>
      </c>
      <c r="AB226" s="215"/>
      <c r="AC226" s="142"/>
      <c r="AD226" s="215"/>
      <c r="AE226" s="142"/>
      <c r="AF226" s="215"/>
      <c r="AG226" s="142"/>
      <c r="AH226" s="215"/>
      <c r="AI226" s="142"/>
      <c r="AJ226" s="215"/>
      <c r="AK226" s="142"/>
      <c r="AL226" s="215"/>
      <c r="AM226" s="142"/>
      <c r="AN226" s="215"/>
      <c r="AO226" s="142"/>
      <c r="AP226" s="99">
        <f>+X226+Z226+AB226+AD226+AF226+AH226+AJ226+AL226+AN226</f>
        <v>1159435758</v>
      </c>
      <c r="AQ226" s="100">
        <f>Y226+AA226+AC226+AE226+AG226+AI226+AK226+AM226+AO226</f>
        <v>1237889758</v>
      </c>
      <c r="AR226" s="109"/>
      <c r="AS226" s="146">
        <v>717874879</v>
      </c>
      <c r="AT226" s="109"/>
      <c r="AU226" s="109"/>
      <c r="AV226" s="109"/>
      <c r="AW226" s="109"/>
      <c r="AX226" s="109"/>
      <c r="AY226" s="109"/>
      <c r="AZ226" s="109"/>
      <c r="BA226" s="109">
        <f>SUM(AR226:AY226)+AZ226</f>
        <v>717874879</v>
      </c>
      <c r="BB226" s="192"/>
      <c r="BC226" s="192">
        <v>691096910</v>
      </c>
      <c r="BD226" s="192"/>
      <c r="BE226" s="192"/>
      <c r="BF226" s="192"/>
      <c r="BG226" s="192"/>
      <c r="BH226" s="192"/>
      <c r="BI226" s="192"/>
      <c r="BJ226" s="192"/>
      <c r="BK226" s="192">
        <f>SUM(BB226:BJ226)</f>
        <v>691096910</v>
      </c>
      <c r="BL226" s="109"/>
      <c r="BM226" s="109">
        <v>711882817</v>
      </c>
      <c r="BN226" s="109"/>
      <c r="BO226" s="109"/>
      <c r="BP226" s="109"/>
      <c r="BQ226" s="109"/>
      <c r="BR226" s="109"/>
      <c r="BS226" s="109" t="s">
        <v>0</v>
      </c>
      <c r="BT226" s="109"/>
      <c r="BU226" s="109">
        <f>SUM(BL226:BT226)</f>
        <v>711882817</v>
      </c>
      <c r="BV226" s="103">
        <f t="shared" si="101"/>
        <v>4241709212</v>
      </c>
    </row>
    <row r="227" spans="1:74" ht="22.5" customHeight="1" x14ac:dyDescent="0.2">
      <c r="A227" s="84"/>
      <c r="B227" s="84"/>
      <c r="C227" s="173"/>
      <c r="D227" s="173"/>
      <c r="E227" s="71">
        <v>44</v>
      </c>
      <c r="F227" s="72" t="s">
        <v>522</v>
      </c>
      <c r="G227" s="75"/>
      <c r="H227" s="75"/>
      <c r="I227" s="74"/>
      <c r="J227" s="75"/>
      <c r="K227" s="75"/>
      <c r="L227" s="71"/>
      <c r="M227" s="284"/>
      <c r="N227" s="325"/>
      <c r="O227" s="75"/>
      <c r="P227" s="75"/>
      <c r="Q227" s="326"/>
      <c r="R227" s="310"/>
      <c r="S227" s="310"/>
      <c r="T227" s="324"/>
      <c r="U227" s="174"/>
      <c r="V227" s="76"/>
      <c r="W227" s="76"/>
      <c r="X227" s="81">
        <f t="shared" ref="X227:AO227" si="106">SUM(X228:X232)</f>
        <v>0</v>
      </c>
      <c r="Y227" s="81">
        <f t="shared" si="106"/>
        <v>0</v>
      </c>
      <c r="Z227" s="81">
        <f t="shared" si="106"/>
        <v>0</v>
      </c>
      <c r="AA227" s="81">
        <f t="shared" si="106"/>
        <v>0</v>
      </c>
      <c r="AB227" s="81">
        <f t="shared" si="106"/>
        <v>40000000</v>
      </c>
      <c r="AC227" s="81">
        <f t="shared" si="106"/>
        <v>40000000</v>
      </c>
      <c r="AD227" s="81">
        <f t="shared" si="106"/>
        <v>0</v>
      </c>
      <c r="AE227" s="81">
        <f t="shared" si="106"/>
        <v>0</v>
      </c>
      <c r="AF227" s="81">
        <f t="shared" si="106"/>
        <v>0</v>
      </c>
      <c r="AG227" s="81">
        <f t="shared" si="106"/>
        <v>0</v>
      </c>
      <c r="AH227" s="81">
        <f t="shared" si="106"/>
        <v>0</v>
      </c>
      <c r="AI227" s="81">
        <f t="shared" si="106"/>
        <v>0</v>
      </c>
      <c r="AJ227" s="81">
        <f t="shared" si="106"/>
        <v>0</v>
      </c>
      <c r="AK227" s="81">
        <f t="shared" si="106"/>
        <v>0</v>
      </c>
      <c r="AL227" s="81">
        <f t="shared" si="106"/>
        <v>210007383</v>
      </c>
      <c r="AM227" s="81">
        <f t="shared" si="106"/>
        <v>210007383</v>
      </c>
      <c r="AN227" s="81">
        <f t="shared" si="106"/>
        <v>0</v>
      </c>
      <c r="AO227" s="81">
        <f t="shared" si="106"/>
        <v>0</v>
      </c>
      <c r="AP227" s="81">
        <f>SUM(AP228:AP232)</f>
        <v>250007383</v>
      </c>
      <c r="AQ227" s="81">
        <f t="shared" ref="AQ227" si="107">SUM(AQ228:AQ232)</f>
        <v>250007383</v>
      </c>
      <c r="AR227" s="82"/>
      <c r="AS227" s="82"/>
      <c r="AT227" s="82"/>
      <c r="AU227" s="82"/>
      <c r="AV227" s="82"/>
      <c r="AW227" s="82"/>
      <c r="AX227" s="82"/>
      <c r="AY227" s="82"/>
      <c r="AZ227" s="82"/>
      <c r="BA227" s="82">
        <f>SUM(BA228:BA232)</f>
        <v>246307604</v>
      </c>
      <c r="BB227" s="82"/>
      <c r="BC227" s="82"/>
      <c r="BD227" s="82"/>
      <c r="BE227" s="82"/>
      <c r="BF227" s="82"/>
      <c r="BG227" s="82"/>
      <c r="BH227" s="82"/>
      <c r="BI227" s="82"/>
      <c r="BJ227" s="82"/>
      <c r="BK227" s="82">
        <f>SUM(BK228:BK232)</f>
        <v>252796832.99691775</v>
      </c>
      <c r="BL227" s="131"/>
      <c r="BM227" s="131"/>
      <c r="BN227" s="131"/>
      <c r="BO227" s="131"/>
      <c r="BP227" s="131"/>
      <c r="BQ227" s="131"/>
      <c r="BR227" s="131"/>
      <c r="BS227" s="131"/>
      <c r="BT227" s="131"/>
      <c r="BU227" s="82">
        <f>SUM(BU228:BU232)</f>
        <v>249480737.99512923</v>
      </c>
      <c r="BV227" s="83">
        <f t="shared" si="101"/>
        <v>748585174.99204695</v>
      </c>
    </row>
    <row r="228" spans="1:74" ht="312" customHeight="1" x14ac:dyDescent="0.2">
      <c r="A228" s="105">
        <v>154</v>
      </c>
      <c r="B228" s="84">
        <v>3</v>
      </c>
      <c r="C228" s="173"/>
      <c r="D228" s="173"/>
      <c r="E228" s="117">
        <v>37</v>
      </c>
      <c r="F228" s="90" t="s">
        <v>523</v>
      </c>
      <c r="G228" s="94" t="s">
        <v>524</v>
      </c>
      <c r="H228" s="383">
        <v>0.6</v>
      </c>
      <c r="I228" s="94">
        <v>154</v>
      </c>
      <c r="J228" s="90" t="s">
        <v>525</v>
      </c>
      <c r="K228" s="346" t="s">
        <v>526</v>
      </c>
      <c r="L228" s="204" t="s">
        <v>432</v>
      </c>
      <c r="M228" s="405">
        <v>2</v>
      </c>
      <c r="N228" s="373" t="s">
        <v>44</v>
      </c>
      <c r="O228" s="95" t="s">
        <v>39</v>
      </c>
      <c r="P228" s="117">
        <v>5</v>
      </c>
      <c r="Q228" s="375">
        <v>5</v>
      </c>
      <c r="R228" s="373">
        <v>5</v>
      </c>
      <c r="S228" s="373">
        <v>5</v>
      </c>
      <c r="T228" s="373">
        <v>5</v>
      </c>
      <c r="U228" s="406">
        <f>AP228/AP227</f>
        <v>0.11999645626465359</v>
      </c>
      <c r="V228" s="95">
        <v>3</v>
      </c>
      <c r="W228" s="210" t="s">
        <v>442</v>
      </c>
      <c r="X228" s="215"/>
      <c r="Y228" s="142"/>
      <c r="Z228" s="215"/>
      <c r="AA228" s="142"/>
      <c r="AB228" s="215"/>
      <c r="AC228" s="142"/>
      <c r="AD228" s="215"/>
      <c r="AE228" s="142"/>
      <c r="AF228" s="215"/>
      <c r="AG228" s="142"/>
      <c r="AH228" s="215"/>
      <c r="AI228" s="142"/>
      <c r="AJ228" s="215"/>
      <c r="AK228" s="142"/>
      <c r="AL228" s="141">
        <v>30000000</v>
      </c>
      <c r="AM228" s="136">
        <v>30000000</v>
      </c>
      <c r="AN228" s="215"/>
      <c r="AO228" s="142"/>
      <c r="AP228" s="99">
        <f>+X228+Z228+AB228+AD228+AF228+AH228+AJ228+AL228+AN228</f>
        <v>30000000</v>
      </c>
      <c r="AQ228" s="100">
        <f>Y228+AA228+AC228+AE228+AG228+AI228+AK228+AM228+AO228</f>
        <v>30000000</v>
      </c>
      <c r="AR228" s="109"/>
      <c r="AS228" s="109"/>
      <c r="AT228" s="109"/>
      <c r="AU228" s="109"/>
      <c r="AV228" s="109"/>
      <c r="AW228" s="109"/>
      <c r="AX228" s="109"/>
      <c r="AY228" s="192">
        <v>29500000</v>
      </c>
      <c r="AZ228" s="109"/>
      <c r="BA228" s="192">
        <f>SUM(AR228:AY228)+AZ228</f>
        <v>29500000</v>
      </c>
      <c r="BB228" s="192"/>
      <c r="BC228" s="192"/>
      <c r="BD228" s="192"/>
      <c r="BE228" s="192"/>
      <c r="BF228" s="192"/>
      <c r="BG228" s="192"/>
      <c r="BH228" s="192"/>
      <c r="BI228" s="206">
        <v>30300000</v>
      </c>
      <c r="BJ228" s="192"/>
      <c r="BK228" s="206">
        <f>SUM(BB228:BJ228)</f>
        <v>30300000</v>
      </c>
      <c r="BL228" s="109"/>
      <c r="BM228" s="109"/>
      <c r="BN228" s="109"/>
      <c r="BO228" s="109"/>
      <c r="BP228" s="109"/>
      <c r="BQ228" s="109"/>
      <c r="BR228" s="109"/>
      <c r="BS228" s="109">
        <v>29900000</v>
      </c>
      <c r="BT228" s="109"/>
      <c r="BU228" s="109">
        <f>SUM(BL228:BT228)</f>
        <v>29900000</v>
      </c>
      <c r="BV228" s="103">
        <f t="shared" si="101"/>
        <v>179400000</v>
      </c>
    </row>
    <row r="229" spans="1:74" ht="306.75" customHeight="1" x14ac:dyDescent="0.2">
      <c r="A229" s="84">
        <v>155</v>
      </c>
      <c r="B229" s="84">
        <v>3</v>
      </c>
      <c r="C229" s="173"/>
      <c r="D229" s="173"/>
      <c r="E229" s="117">
        <v>13</v>
      </c>
      <c r="F229" s="280" t="s">
        <v>527</v>
      </c>
      <c r="G229" s="258" t="s">
        <v>528</v>
      </c>
      <c r="H229" s="88" t="s">
        <v>529</v>
      </c>
      <c r="I229" s="94">
        <v>155</v>
      </c>
      <c r="J229" s="90" t="s">
        <v>530</v>
      </c>
      <c r="K229" s="346" t="s">
        <v>531</v>
      </c>
      <c r="L229" s="204" t="s">
        <v>432</v>
      </c>
      <c r="M229" s="405">
        <v>2</v>
      </c>
      <c r="N229" s="392" t="s">
        <v>44</v>
      </c>
      <c r="O229" s="95">
        <v>0</v>
      </c>
      <c r="P229" s="117">
        <v>1</v>
      </c>
      <c r="Q229" s="375">
        <v>1</v>
      </c>
      <c r="R229" s="373">
        <v>1</v>
      </c>
      <c r="S229" s="373">
        <v>1</v>
      </c>
      <c r="T229" s="373">
        <v>1</v>
      </c>
      <c r="U229" s="406">
        <f>AP229/AP227</f>
        <v>0.25999232190674942</v>
      </c>
      <c r="V229" s="95">
        <v>16</v>
      </c>
      <c r="W229" s="210" t="s">
        <v>363</v>
      </c>
      <c r="X229" s="215"/>
      <c r="Y229" s="142"/>
      <c r="Z229" s="215"/>
      <c r="AA229" s="142"/>
      <c r="AB229" s="215">
        <v>40000000</v>
      </c>
      <c r="AC229" s="101">
        <v>40000000</v>
      </c>
      <c r="AD229" s="215"/>
      <c r="AE229" s="142"/>
      <c r="AF229" s="215"/>
      <c r="AG229" s="142"/>
      <c r="AH229" s="215"/>
      <c r="AI229" s="142"/>
      <c r="AJ229" s="215"/>
      <c r="AK229" s="142"/>
      <c r="AL229" s="141">
        <v>25000000</v>
      </c>
      <c r="AM229" s="136">
        <v>25000000</v>
      </c>
      <c r="AN229" s="215"/>
      <c r="AO229" s="142"/>
      <c r="AP229" s="99">
        <f>+X229+Z229+AB229+AD229+AF229+AH229+AJ229+AL229+AN229</f>
        <v>65000000</v>
      </c>
      <c r="AQ229" s="100">
        <f>Y229+AA229+AC229+AE229+AG229+AI229+AK229+AM229+AO229</f>
        <v>65000000</v>
      </c>
      <c r="AR229" s="109"/>
      <c r="AS229" s="109"/>
      <c r="AT229" s="109">
        <v>30000000</v>
      </c>
      <c r="AU229" s="109"/>
      <c r="AV229" s="109"/>
      <c r="AW229" s="109"/>
      <c r="AX229" s="109"/>
      <c r="AY229" s="192">
        <v>34000000</v>
      </c>
      <c r="AZ229" s="109"/>
      <c r="BA229" s="192">
        <f>SUM(AR229:AY229)+AZ229</f>
        <v>64000000</v>
      </c>
      <c r="BB229" s="192"/>
      <c r="BC229" s="192"/>
      <c r="BD229" s="192">
        <v>30000000</v>
      </c>
      <c r="BE229" s="192"/>
      <c r="BF229" s="192"/>
      <c r="BG229" s="192"/>
      <c r="BH229" s="192"/>
      <c r="BI229" s="206">
        <v>35700000</v>
      </c>
      <c r="BJ229" s="192"/>
      <c r="BK229" s="206">
        <f>SUM(BB229:BJ229)</f>
        <v>65700000</v>
      </c>
      <c r="BL229" s="109"/>
      <c r="BM229" s="109"/>
      <c r="BN229" s="109">
        <v>20000000</v>
      </c>
      <c r="BO229" s="109"/>
      <c r="BP229" s="109"/>
      <c r="BQ229" s="109"/>
      <c r="BR229" s="109"/>
      <c r="BS229" s="109">
        <v>44800000</v>
      </c>
      <c r="BT229" s="109"/>
      <c r="BU229" s="109">
        <f>SUM(BL229:BT229)</f>
        <v>64800000</v>
      </c>
      <c r="BV229" s="103">
        <f t="shared" si="101"/>
        <v>389000000</v>
      </c>
    </row>
    <row r="230" spans="1:74" ht="56.25" customHeight="1" x14ac:dyDescent="0.2">
      <c r="A230" s="105">
        <v>156</v>
      </c>
      <c r="B230" s="84">
        <v>3</v>
      </c>
      <c r="C230" s="173"/>
      <c r="D230" s="173"/>
      <c r="E230" s="117">
        <v>29</v>
      </c>
      <c r="F230" s="280" t="s">
        <v>532</v>
      </c>
      <c r="G230" s="258" t="s">
        <v>533</v>
      </c>
      <c r="H230" s="361" t="s">
        <v>533</v>
      </c>
      <c r="I230" s="577">
        <v>156</v>
      </c>
      <c r="J230" s="575" t="s">
        <v>534</v>
      </c>
      <c r="K230" s="607" t="s">
        <v>535</v>
      </c>
      <c r="L230" s="577" t="s">
        <v>432</v>
      </c>
      <c r="M230" s="647">
        <v>2</v>
      </c>
      <c r="N230" s="653" t="s">
        <v>44</v>
      </c>
      <c r="O230" s="607">
        <v>12</v>
      </c>
      <c r="P230" s="645">
        <v>12</v>
      </c>
      <c r="Q230" s="660">
        <v>12</v>
      </c>
      <c r="R230" s="653">
        <v>12</v>
      </c>
      <c r="S230" s="653">
        <v>12</v>
      </c>
      <c r="T230" s="653">
        <v>12</v>
      </c>
      <c r="U230" s="658">
        <f>AP230/AP227</f>
        <v>0.48401523806198954</v>
      </c>
      <c r="V230" s="87">
        <v>3</v>
      </c>
      <c r="W230" s="190" t="s">
        <v>442</v>
      </c>
      <c r="X230" s="655"/>
      <c r="Y230" s="657"/>
      <c r="Z230" s="655"/>
      <c r="AA230" s="657"/>
      <c r="AB230" s="655"/>
      <c r="AC230" s="657"/>
      <c r="AD230" s="655"/>
      <c r="AE230" s="657"/>
      <c r="AF230" s="655"/>
      <c r="AG230" s="657"/>
      <c r="AH230" s="655"/>
      <c r="AI230" s="657"/>
      <c r="AJ230" s="655"/>
      <c r="AK230" s="657"/>
      <c r="AL230" s="655">
        <f>17462943+103544440</f>
        <v>121007383</v>
      </c>
      <c r="AM230" s="657">
        <v>121007383</v>
      </c>
      <c r="AN230" s="655"/>
      <c r="AO230" s="657"/>
      <c r="AP230" s="640">
        <f>+X230+Z230+AB230+AD230+AF230+AH230+AJ230+AL230+AN230</f>
        <v>121007383</v>
      </c>
      <c r="AQ230" s="640">
        <f>Y230+AA230+AC230+AE230+AG230+AI230+AK230+AM230+AO230</f>
        <v>121007383</v>
      </c>
      <c r="AR230" s="118"/>
      <c r="AS230" s="118"/>
      <c r="AT230" s="118"/>
      <c r="AU230" s="118"/>
      <c r="AV230" s="118"/>
      <c r="AW230" s="118"/>
      <c r="AX230" s="118"/>
      <c r="AY230" s="609">
        <v>119200000</v>
      </c>
      <c r="AZ230" s="118"/>
      <c r="BA230" s="609">
        <f>SUM(AR230:AY230)+AZ230</f>
        <v>119200000</v>
      </c>
      <c r="BB230" s="380"/>
      <c r="BC230" s="380"/>
      <c r="BD230" s="380"/>
      <c r="BE230" s="380"/>
      <c r="BF230" s="380"/>
      <c r="BG230" s="380"/>
      <c r="BH230" s="380"/>
      <c r="BI230" s="649">
        <v>122300000</v>
      </c>
      <c r="BJ230" s="380"/>
      <c r="BK230" s="649">
        <f>SUM(BB230:BJ230)</f>
        <v>122300000</v>
      </c>
      <c r="BL230" s="119"/>
      <c r="BM230" s="119"/>
      <c r="BN230" s="119"/>
      <c r="BO230" s="119"/>
      <c r="BP230" s="119"/>
      <c r="BQ230" s="119"/>
      <c r="BR230" s="119"/>
      <c r="BS230" s="662">
        <v>120750000</v>
      </c>
      <c r="BT230" s="119"/>
      <c r="BU230" s="662">
        <f>SUM(BL230:BT230)</f>
        <v>120750000</v>
      </c>
      <c r="BV230" s="103">
        <f t="shared" si="101"/>
        <v>724500000</v>
      </c>
    </row>
    <row r="231" spans="1:74" ht="57" x14ac:dyDescent="0.2">
      <c r="A231" s="105"/>
      <c r="B231" s="84"/>
      <c r="C231" s="173"/>
      <c r="D231" s="173"/>
      <c r="E231" s="117">
        <v>30</v>
      </c>
      <c r="F231" s="280" t="s">
        <v>536</v>
      </c>
      <c r="G231" s="408" t="s">
        <v>537</v>
      </c>
      <c r="H231" s="361" t="s">
        <v>538</v>
      </c>
      <c r="I231" s="578"/>
      <c r="J231" s="576"/>
      <c r="K231" s="608"/>
      <c r="L231" s="578"/>
      <c r="M231" s="648"/>
      <c r="N231" s="654"/>
      <c r="O231" s="608"/>
      <c r="P231" s="646"/>
      <c r="Q231" s="661"/>
      <c r="R231" s="654"/>
      <c r="S231" s="654"/>
      <c r="T231" s="654"/>
      <c r="U231" s="659"/>
      <c r="V231" s="115"/>
      <c r="W231" s="210"/>
      <c r="X231" s="656"/>
      <c r="Y231" s="657"/>
      <c r="Z231" s="656"/>
      <c r="AA231" s="657"/>
      <c r="AB231" s="656"/>
      <c r="AC231" s="657"/>
      <c r="AD231" s="656"/>
      <c r="AE231" s="657"/>
      <c r="AF231" s="656"/>
      <c r="AG231" s="657"/>
      <c r="AH231" s="656"/>
      <c r="AI231" s="657"/>
      <c r="AJ231" s="656"/>
      <c r="AK231" s="657"/>
      <c r="AL231" s="656"/>
      <c r="AM231" s="657"/>
      <c r="AN231" s="656"/>
      <c r="AO231" s="657"/>
      <c r="AP231" s="642"/>
      <c r="AQ231" s="642"/>
      <c r="AR231" s="121"/>
      <c r="AS231" s="121"/>
      <c r="AT231" s="121"/>
      <c r="AU231" s="121"/>
      <c r="AV231" s="121"/>
      <c r="AW231" s="121"/>
      <c r="AX231" s="121"/>
      <c r="AY231" s="610"/>
      <c r="AZ231" s="121"/>
      <c r="BA231" s="610">
        <f>SUM(AR231:AY231)+AZ231</f>
        <v>0</v>
      </c>
      <c r="BB231" s="409"/>
      <c r="BC231" s="409"/>
      <c r="BD231" s="409"/>
      <c r="BE231" s="409"/>
      <c r="BF231" s="409"/>
      <c r="BG231" s="409"/>
      <c r="BH231" s="409"/>
      <c r="BI231" s="650"/>
      <c r="BJ231" s="409"/>
      <c r="BK231" s="650">
        <f>SUM(BB231:BJ231)</f>
        <v>0</v>
      </c>
      <c r="BL231" s="122"/>
      <c r="BM231" s="122"/>
      <c r="BN231" s="122"/>
      <c r="BO231" s="122"/>
      <c r="BP231" s="122"/>
      <c r="BQ231" s="122"/>
      <c r="BR231" s="122"/>
      <c r="BS231" s="663"/>
      <c r="BT231" s="122"/>
      <c r="BU231" s="663">
        <f>SUM(BL231:BT231)</f>
        <v>0</v>
      </c>
      <c r="BV231" s="103">
        <f t="shared" si="101"/>
        <v>0</v>
      </c>
    </row>
    <row r="232" spans="1:74" ht="340.5" customHeight="1" x14ac:dyDescent="0.2">
      <c r="A232" s="84">
        <v>157</v>
      </c>
      <c r="B232" s="84">
        <v>3</v>
      </c>
      <c r="C232" s="173"/>
      <c r="D232" s="173"/>
      <c r="E232" s="110">
        <v>34</v>
      </c>
      <c r="F232" s="410" t="s">
        <v>539</v>
      </c>
      <c r="G232" s="347" t="s">
        <v>39</v>
      </c>
      <c r="H232" s="338">
        <v>0.4</v>
      </c>
      <c r="I232" s="94">
        <v>157</v>
      </c>
      <c r="J232" s="90" t="s">
        <v>540</v>
      </c>
      <c r="K232" s="346" t="s">
        <v>541</v>
      </c>
      <c r="L232" s="204" t="s">
        <v>432</v>
      </c>
      <c r="M232" s="405">
        <v>2</v>
      </c>
      <c r="N232" s="392" t="s">
        <v>44</v>
      </c>
      <c r="O232" s="95">
        <v>12</v>
      </c>
      <c r="P232" s="117">
        <v>12</v>
      </c>
      <c r="Q232" s="375">
        <v>12</v>
      </c>
      <c r="R232" s="373">
        <v>12</v>
      </c>
      <c r="S232" s="373">
        <v>12</v>
      </c>
      <c r="T232" s="373">
        <v>12</v>
      </c>
      <c r="U232" s="406">
        <f>AP232/AP227</f>
        <v>0.1359959837666074</v>
      </c>
      <c r="V232" s="95">
        <v>10</v>
      </c>
      <c r="W232" s="210" t="s">
        <v>376</v>
      </c>
      <c r="X232" s="215"/>
      <c r="Y232" s="142"/>
      <c r="Z232" s="215"/>
      <c r="AA232" s="142"/>
      <c r="AB232" s="215"/>
      <c r="AC232" s="142"/>
      <c r="AD232" s="215"/>
      <c r="AE232" s="142"/>
      <c r="AF232" s="215"/>
      <c r="AG232" s="142"/>
      <c r="AH232" s="215"/>
      <c r="AI232" s="142"/>
      <c r="AJ232" s="215"/>
      <c r="AK232" s="142"/>
      <c r="AL232" s="141">
        <v>34000000</v>
      </c>
      <c r="AM232" s="136">
        <v>34000000</v>
      </c>
      <c r="AN232" s="215"/>
      <c r="AO232" s="142"/>
      <c r="AP232" s="99">
        <f>+X232+Z232+AB232+AD232+AF232+AH232+AJ232+AL232+AN232</f>
        <v>34000000</v>
      </c>
      <c r="AQ232" s="100">
        <f>Y232+AA232+AC232+AE232+AG232+AI232+AK232+AM232+AO232</f>
        <v>34000000</v>
      </c>
      <c r="AR232" s="109"/>
      <c r="AS232" s="109"/>
      <c r="AT232" s="109"/>
      <c r="AU232" s="109"/>
      <c r="AV232" s="109"/>
      <c r="AW232" s="109"/>
      <c r="AX232" s="109"/>
      <c r="AY232" s="192">
        <v>33607604</v>
      </c>
      <c r="AZ232" s="109"/>
      <c r="BA232" s="192">
        <f>SUM(AR232:AY232)+AZ232</f>
        <v>33607604</v>
      </c>
      <c r="BB232" s="192"/>
      <c r="BC232" s="192"/>
      <c r="BD232" s="192"/>
      <c r="BE232" s="192"/>
      <c r="BF232" s="192"/>
      <c r="BG232" s="192"/>
      <c r="BH232" s="192"/>
      <c r="BI232" s="206">
        <v>34496832.996917762</v>
      </c>
      <c r="BJ232" s="192"/>
      <c r="BK232" s="206">
        <f>SUM(BB232:BJ232)</f>
        <v>34496832.996917762</v>
      </c>
      <c r="BL232" s="109"/>
      <c r="BM232" s="109"/>
      <c r="BN232" s="109"/>
      <c r="BO232" s="109"/>
      <c r="BP232" s="109"/>
      <c r="BQ232" s="109"/>
      <c r="BR232" s="109"/>
      <c r="BS232" s="109">
        <v>34030737.995129235</v>
      </c>
      <c r="BT232" s="109"/>
      <c r="BU232" s="109">
        <f>SUM(BL232:BT232)</f>
        <v>34030737.995129235</v>
      </c>
      <c r="BV232" s="103">
        <f t="shared" si="101"/>
        <v>204270349.98409396</v>
      </c>
    </row>
    <row r="233" spans="1:74" ht="22.5" customHeight="1" x14ac:dyDescent="0.2">
      <c r="A233" s="84"/>
      <c r="B233" s="84"/>
      <c r="C233" s="173"/>
      <c r="D233" s="173"/>
      <c r="E233" s="71">
        <v>45</v>
      </c>
      <c r="F233" s="72" t="s">
        <v>542</v>
      </c>
      <c r="G233" s="75"/>
      <c r="H233" s="75"/>
      <c r="I233" s="74"/>
      <c r="J233" s="75"/>
      <c r="K233" s="75"/>
      <c r="L233" s="74"/>
      <c r="M233" s="76"/>
      <c r="N233" s="77"/>
      <c r="O233" s="75"/>
      <c r="P233" s="75"/>
      <c r="Q233" s="78"/>
      <c r="R233" s="75"/>
      <c r="S233" s="75"/>
      <c r="T233" s="76"/>
      <c r="U233" s="174"/>
      <c r="V233" s="76"/>
      <c r="W233" s="76"/>
      <c r="X233" s="80">
        <f t="shared" ref="X233:AO233" si="108">SUM(X234:X235)</f>
        <v>0</v>
      </c>
      <c r="Y233" s="80">
        <f t="shared" si="108"/>
        <v>0</v>
      </c>
      <c r="Z233" s="80">
        <f t="shared" si="108"/>
        <v>0</v>
      </c>
      <c r="AA233" s="80">
        <f t="shared" si="108"/>
        <v>0</v>
      </c>
      <c r="AB233" s="80">
        <f t="shared" si="108"/>
        <v>0</v>
      </c>
      <c r="AC233" s="80">
        <f t="shared" si="108"/>
        <v>0</v>
      </c>
      <c r="AD233" s="80">
        <f t="shared" si="108"/>
        <v>0</v>
      </c>
      <c r="AE233" s="80">
        <f t="shared" si="108"/>
        <v>0</v>
      </c>
      <c r="AF233" s="80">
        <f t="shared" si="108"/>
        <v>0</v>
      </c>
      <c r="AG233" s="80">
        <f t="shared" si="108"/>
        <v>0</v>
      </c>
      <c r="AH233" s="80">
        <f t="shared" si="108"/>
        <v>0</v>
      </c>
      <c r="AI233" s="80">
        <f t="shared" si="108"/>
        <v>0</v>
      </c>
      <c r="AJ233" s="80">
        <f t="shared" si="108"/>
        <v>0</v>
      </c>
      <c r="AK233" s="80">
        <f t="shared" si="108"/>
        <v>0</v>
      </c>
      <c r="AL233" s="80">
        <f t="shared" si="108"/>
        <v>1023348969</v>
      </c>
      <c r="AM233" s="80">
        <f t="shared" si="108"/>
        <v>1023444242</v>
      </c>
      <c r="AN233" s="80">
        <f t="shared" si="108"/>
        <v>0</v>
      </c>
      <c r="AO233" s="80">
        <f t="shared" si="108"/>
        <v>0</v>
      </c>
      <c r="AP233" s="81">
        <f>SUM(AP234:AP235)</f>
        <v>1023348969</v>
      </c>
      <c r="AQ233" s="80">
        <f>SUM(AQ234:AQ235)</f>
        <v>1023444242</v>
      </c>
      <c r="AR233" s="82"/>
      <c r="AS233" s="82"/>
      <c r="AT233" s="82"/>
      <c r="AU233" s="82"/>
      <c r="AV233" s="82"/>
      <c r="AW233" s="82"/>
      <c r="AX233" s="82"/>
      <c r="AY233" s="82"/>
      <c r="AZ233" s="82"/>
      <c r="BA233" s="82">
        <f>SUM(BA234:BA235)</f>
        <v>1054049438</v>
      </c>
      <c r="BB233" s="82"/>
      <c r="BC233" s="82"/>
      <c r="BD233" s="82"/>
      <c r="BE233" s="82"/>
      <c r="BF233" s="82"/>
      <c r="BG233" s="82"/>
      <c r="BH233" s="82"/>
      <c r="BI233" s="82"/>
      <c r="BJ233" s="82"/>
      <c r="BK233" s="82">
        <f>SUM(BK234:BK235)</f>
        <v>1085670921</v>
      </c>
      <c r="BL233" s="131"/>
      <c r="BM233" s="131"/>
      <c r="BN233" s="131"/>
      <c r="BO233" s="131"/>
      <c r="BP233" s="131"/>
      <c r="BQ233" s="131"/>
      <c r="BR233" s="131"/>
      <c r="BS233" s="131"/>
      <c r="BT233" s="131"/>
      <c r="BU233" s="82">
        <f>SUM(BU234:BU235)</f>
        <v>1118241049</v>
      </c>
      <c r="BV233" s="83">
        <f t="shared" si="101"/>
        <v>3257961408</v>
      </c>
    </row>
    <row r="234" spans="1:74" ht="199.5" customHeight="1" x14ac:dyDescent="0.2">
      <c r="A234" s="105">
        <v>158</v>
      </c>
      <c r="B234" s="84">
        <v>3</v>
      </c>
      <c r="C234" s="173"/>
      <c r="D234" s="173"/>
      <c r="E234" s="85">
        <v>24</v>
      </c>
      <c r="F234" s="577" t="s">
        <v>543</v>
      </c>
      <c r="G234" s="577" t="s">
        <v>544</v>
      </c>
      <c r="H234" s="577" t="s">
        <v>545</v>
      </c>
      <c r="I234" s="94">
        <v>158</v>
      </c>
      <c r="J234" s="90" t="s">
        <v>546</v>
      </c>
      <c r="K234" s="346" t="s">
        <v>547</v>
      </c>
      <c r="L234" s="91" t="s">
        <v>432</v>
      </c>
      <c r="M234" s="308">
        <v>2</v>
      </c>
      <c r="N234" s="370" t="s">
        <v>44</v>
      </c>
      <c r="O234" s="117" t="s">
        <v>39</v>
      </c>
      <c r="P234" s="95">
        <v>11</v>
      </c>
      <c r="Q234" s="375">
        <v>11</v>
      </c>
      <c r="R234" s="373">
        <v>11</v>
      </c>
      <c r="S234" s="373">
        <v>11</v>
      </c>
      <c r="T234" s="373">
        <v>11</v>
      </c>
      <c r="U234" s="273">
        <f>AP234/AP233</f>
        <v>1</v>
      </c>
      <c r="V234" s="94">
        <v>3</v>
      </c>
      <c r="W234" s="91" t="s">
        <v>442</v>
      </c>
      <c r="X234" s="231"/>
      <c r="Y234" s="136"/>
      <c r="Z234" s="231"/>
      <c r="AA234" s="136"/>
      <c r="AB234" s="231"/>
      <c r="AC234" s="136"/>
      <c r="AD234" s="231"/>
      <c r="AE234" s="136"/>
      <c r="AF234" s="231"/>
      <c r="AG234" s="136"/>
      <c r="AH234" s="231"/>
      <c r="AI234" s="136"/>
      <c r="AJ234" s="231"/>
      <c r="AK234" s="136"/>
      <c r="AL234" s="141">
        <v>1023348969</v>
      </c>
      <c r="AM234" s="136">
        <v>1023444242</v>
      </c>
      <c r="AN234" s="141"/>
      <c r="AO234" s="142"/>
      <c r="AP234" s="99">
        <f>+X234+Z234+AB234+AD234+AF234+AH234+AJ234+AL234+AN234</f>
        <v>1023348969</v>
      </c>
      <c r="AQ234" s="100">
        <f>Y234+AA234+AC234+AE234+AG234+AI234+AK234+AM234+AO234</f>
        <v>1023444242</v>
      </c>
      <c r="AR234" s="109"/>
      <c r="AS234" s="109"/>
      <c r="AT234" s="109"/>
      <c r="AU234" s="109"/>
      <c r="AV234" s="109"/>
      <c r="AW234" s="109"/>
      <c r="AX234" s="109"/>
      <c r="AY234" s="192">
        <v>1054049438</v>
      </c>
      <c r="AZ234" s="109"/>
      <c r="BA234" s="109">
        <f>SUM(AR234:AY234)+AZ234</f>
        <v>1054049438</v>
      </c>
      <c r="BB234" s="192"/>
      <c r="BC234" s="192"/>
      <c r="BD234" s="192"/>
      <c r="BE234" s="192"/>
      <c r="BF234" s="192"/>
      <c r="BG234" s="192"/>
      <c r="BH234" s="192"/>
      <c r="BI234" s="192">
        <v>1085670921</v>
      </c>
      <c r="BJ234" s="192"/>
      <c r="BK234" s="192">
        <f>SUM(BB234:BJ234)</f>
        <v>1085670921</v>
      </c>
      <c r="BL234" s="109"/>
      <c r="BM234" s="109"/>
      <c r="BN234" s="109"/>
      <c r="BO234" s="109"/>
      <c r="BP234" s="109"/>
      <c r="BQ234" s="109"/>
      <c r="BR234" s="109"/>
      <c r="BS234" s="109">
        <v>1118241049</v>
      </c>
      <c r="BT234" s="109"/>
      <c r="BU234" s="109">
        <f>SUM(BL234:BT234)</f>
        <v>1118241049</v>
      </c>
      <c r="BV234" s="103">
        <f t="shared" si="101"/>
        <v>6515922816</v>
      </c>
    </row>
    <row r="235" spans="1:74" ht="138.75" customHeight="1" x14ac:dyDescent="0.2">
      <c r="A235" s="84">
        <v>159</v>
      </c>
      <c r="B235" s="84">
        <v>3</v>
      </c>
      <c r="C235" s="173"/>
      <c r="D235" s="173"/>
      <c r="E235" s="115" t="s">
        <v>548</v>
      </c>
      <c r="F235" s="578"/>
      <c r="G235" s="578"/>
      <c r="H235" s="578"/>
      <c r="I235" s="94">
        <v>159</v>
      </c>
      <c r="J235" s="90" t="s">
        <v>549</v>
      </c>
      <c r="K235" s="346" t="s">
        <v>550</v>
      </c>
      <c r="L235" s="91" t="s">
        <v>432</v>
      </c>
      <c r="M235" s="308">
        <v>2</v>
      </c>
      <c r="N235" s="370" t="s">
        <v>44</v>
      </c>
      <c r="O235" s="117" t="s">
        <v>39</v>
      </c>
      <c r="P235" s="95">
        <v>8</v>
      </c>
      <c r="Q235" s="375">
        <v>8</v>
      </c>
      <c r="R235" s="373">
        <v>8</v>
      </c>
      <c r="S235" s="373">
        <v>8</v>
      </c>
      <c r="T235" s="373">
        <v>8</v>
      </c>
      <c r="U235" s="273">
        <v>0</v>
      </c>
      <c r="V235" s="94">
        <v>3</v>
      </c>
      <c r="W235" s="91" t="s">
        <v>442</v>
      </c>
      <c r="X235" s="231"/>
      <c r="Y235" s="136"/>
      <c r="Z235" s="231"/>
      <c r="AA235" s="136"/>
      <c r="AB235" s="231"/>
      <c r="AC235" s="136"/>
      <c r="AD235" s="231"/>
      <c r="AE235" s="136"/>
      <c r="AF235" s="231"/>
      <c r="AG235" s="136"/>
      <c r="AH235" s="231"/>
      <c r="AI235" s="136"/>
      <c r="AJ235" s="231"/>
      <c r="AK235" s="136"/>
      <c r="AL235" s="231"/>
      <c r="AM235" s="136"/>
      <c r="AN235" s="231"/>
      <c r="AO235" s="136"/>
      <c r="AP235" s="99">
        <f>+X235+Z235+AB235+AD235+AF235+AH235+AJ235+AL235+AN235</f>
        <v>0</v>
      </c>
      <c r="AQ235" s="100">
        <f>Y235+AA235+AC235+AE235+AG235+AI235+AK235+AM235+AO235</f>
        <v>0</v>
      </c>
      <c r="AR235" s="109"/>
      <c r="AS235" s="109"/>
      <c r="AT235" s="109"/>
      <c r="AU235" s="109"/>
      <c r="AV235" s="109"/>
      <c r="AW235" s="109"/>
      <c r="AX235" s="109"/>
      <c r="AY235" s="109"/>
      <c r="AZ235" s="109"/>
      <c r="BA235" s="109">
        <f>SUM(AR235:AY235)+AZ235</f>
        <v>0</v>
      </c>
      <c r="BB235" s="192"/>
      <c r="BC235" s="192"/>
      <c r="BD235" s="192"/>
      <c r="BE235" s="192"/>
      <c r="BF235" s="192"/>
      <c r="BG235" s="192"/>
      <c r="BH235" s="192"/>
      <c r="BI235" s="192"/>
      <c r="BJ235" s="192"/>
      <c r="BK235" s="192">
        <f>SUM(BB235:BJ235)</f>
        <v>0</v>
      </c>
      <c r="BL235" s="109"/>
      <c r="BM235" s="109"/>
      <c r="BN235" s="109"/>
      <c r="BO235" s="109"/>
      <c r="BP235" s="109"/>
      <c r="BQ235" s="109"/>
      <c r="BR235" s="109"/>
      <c r="BS235" s="109"/>
      <c r="BT235" s="109"/>
      <c r="BU235" s="109">
        <f>SUM(BL235:BT235)</f>
        <v>0</v>
      </c>
      <c r="BV235" s="103">
        <f t="shared" si="101"/>
        <v>0</v>
      </c>
    </row>
    <row r="236" spans="1:74" ht="22.5" customHeight="1" x14ac:dyDescent="0.2">
      <c r="A236" s="84"/>
      <c r="B236" s="84"/>
      <c r="C236" s="173"/>
      <c r="D236" s="173"/>
      <c r="E236" s="71">
        <v>46</v>
      </c>
      <c r="F236" s="72" t="s">
        <v>551</v>
      </c>
      <c r="G236" s="75"/>
      <c r="H236" s="75"/>
      <c r="I236" s="74"/>
      <c r="J236" s="75"/>
      <c r="K236" s="75"/>
      <c r="L236" s="74"/>
      <c r="M236" s="76"/>
      <c r="N236" s="77"/>
      <c r="O236" s="75"/>
      <c r="P236" s="75"/>
      <c r="Q236" s="326"/>
      <c r="R236" s="310"/>
      <c r="S236" s="310"/>
      <c r="T236" s="324"/>
      <c r="U236" s="174"/>
      <c r="V236" s="76"/>
      <c r="W236" s="76"/>
      <c r="X236" s="81">
        <f t="shared" ref="X236:AP236" si="109">SUM(X237:X239)</f>
        <v>0</v>
      </c>
      <c r="Y236" s="81">
        <f t="shared" si="109"/>
        <v>0</v>
      </c>
      <c r="Z236" s="81">
        <f t="shared" si="109"/>
        <v>0</v>
      </c>
      <c r="AA236" s="81">
        <f t="shared" si="109"/>
        <v>0</v>
      </c>
      <c r="AB236" s="81">
        <f t="shared" si="109"/>
        <v>0</v>
      </c>
      <c r="AC236" s="81">
        <f t="shared" si="109"/>
        <v>0</v>
      </c>
      <c r="AD236" s="81">
        <f t="shared" si="109"/>
        <v>0</v>
      </c>
      <c r="AE236" s="81">
        <f t="shared" si="109"/>
        <v>0</v>
      </c>
      <c r="AF236" s="81">
        <f t="shared" si="109"/>
        <v>0</v>
      </c>
      <c r="AG236" s="81">
        <f t="shared" si="109"/>
        <v>0</v>
      </c>
      <c r="AH236" s="81">
        <f t="shared" si="109"/>
        <v>0</v>
      </c>
      <c r="AI236" s="81">
        <f t="shared" si="109"/>
        <v>0</v>
      </c>
      <c r="AJ236" s="81">
        <f t="shared" si="109"/>
        <v>0</v>
      </c>
      <c r="AK236" s="81">
        <f t="shared" si="109"/>
        <v>0</v>
      </c>
      <c r="AL236" s="81">
        <f t="shared" si="109"/>
        <v>1205340214</v>
      </c>
      <c r="AM236" s="81">
        <f t="shared" si="109"/>
        <v>1222162518</v>
      </c>
      <c r="AN236" s="81">
        <f t="shared" si="109"/>
        <v>0</v>
      </c>
      <c r="AO236" s="81">
        <f t="shared" si="109"/>
        <v>0</v>
      </c>
      <c r="AP236" s="81">
        <f t="shared" si="109"/>
        <v>1205340214</v>
      </c>
      <c r="AQ236" s="81">
        <f>SUM(AQ237:AQ239)</f>
        <v>1222162518</v>
      </c>
      <c r="AR236" s="82"/>
      <c r="AS236" s="82"/>
      <c r="AT236" s="82"/>
      <c r="AU236" s="82"/>
      <c r="AV236" s="82"/>
      <c r="AW236" s="82"/>
      <c r="AX236" s="82"/>
      <c r="AY236" s="82"/>
      <c r="AZ236" s="82"/>
      <c r="BA236" s="82">
        <f>SUM(BA237:BA239)</f>
        <v>1241500420.4200001</v>
      </c>
      <c r="BB236" s="82"/>
      <c r="BC236" s="82"/>
      <c r="BD236" s="82"/>
      <c r="BE236" s="82"/>
      <c r="BF236" s="82"/>
      <c r="BG236" s="82"/>
      <c r="BH236" s="82"/>
      <c r="BI236" s="82"/>
      <c r="BJ236" s="82"/>
      <c r="BK236" s="82">
        <f>SUM(BK237:BK239)</f>
        <v>1278745433.03</v>
      </c>
      <c r="BL236" s="131"/>
      <c r="BM236" s="131"/>
      <c r="BN236" s="131"/>
      <c r="BO236" s="131"/>
      <c r="BP236" s="131"/>
      <c r="BQ236" s="131"/>
      <c r="BR236" s="131"/>
      <c r="BS236" s="131"/>
      <c r="BT236" s="131"/>
      <c r="BU236" s="82">
        <f>SUM(BU237:BU239)</f>
        <v>1317107796.0278702</v>
      </c>
      <c r="BV236" s="83">
        <f t="shared" si="101"/>
        <v>3837353649.47787</v>
      </c>
    </row>
    <row r="237" spans="1:74" ht="125.25" customHeight="1" x14ac:dyDescent="0.2">
      <c r="A237" s="105">
        <v>160</v>
      </c>
      <c r="B237" s="84">
        <v>3</v>
      </c>
      <c r="C237" s="173"/>
      <c r="D237" s="173"/>
      <c r="E237" s="117">
        <v>26</v>
      </c>
      <c r="F237" s="397" t="s">
        <v>552</v>
      </c>
      <c r="G237" s="203" t="s">
        <v>553</v>
      </c>
      <c r="H237" s="203" t="s">
        <v>554</v>
      </c>
      <c r="I237" s="94">
        <v>160</v>
      </c>
      <c r="J237" s="247" t="s">
        <v>555</v>
      </c>
      <c r="K237" s="346" t="s">
        <v>556</v>
      </c>
      <c r="L237" s="94" t="s">
        <v>432</v>
      </c>
      <c r="M237" s="248">
        <v>2</v>
      </c>
      <c r="N237" s="373" t="s">
        <v>44</v>
      </c>
      <c r="O237" s="95">
        <v>250</v>
      </c>
      <c r="P237" s="95">
        <v>300</v>
      </c>
      <c r="Q237" s="375">
        <v>300</v>
      </c>
      <c r="R237" s="373">
        <v>300</v>
      </c>
      <c r="S237" s="373">
        <v>300</v>
      </c>
      <c r="T237" s="373">
        <v>300</v>
      </c>
      <c r="U237" s="411">
        <f>AP237/$AP$236</f>
        <v>0.77759987853520662</v>
      </c>
      <c r="V237" s="95">
        <v>3</v>
      </c>
      <c r="W237" s="95" t="s">
        <v>442</v>
      </c>
      <c r="X237" s="142"/>
      <c r="Y237" s="142"/>
      <c r="Z237" s="142"/>
      <c r="AA237" s="142"/>
      <c r="AB237" s="142"/>
      <c r="AC237" s="142"/>
      <c r="AD237" s="142"/>
      <c r="AE237" s="142"/>
      <c r="AF237" s="142"/>
      <c r="AG237" s="142"/>
      <c r="AH237" s="142"/>
      <c r="AI237" s="142"/>
      <c r="AJ237" s="142"/>
      <c r="AK237" s="142"/>
      <c r="AL237" s="141">
        <v>937272404</v>
      </c>
      <c r="AM237" s="136">
        <v>937272404</v>
      </c>
      <c r="AN237" s="141"/>
      <c r="AO237" s="142"/>
      <c r="AP237" s="99">
        <f>+X237+Z237+AB237+AD237+AF237+AH237+AJ237+AL237+AN237</f>
        <v>937272404</v>
      </c>
      <c r="AQ237" s="100">
        <f>Y237+AA237+AC237+AE237+AG237+AI237+AK237+AM237+AO237</f>
        <v>937272404</v>
      </c>
      <c r="AR237" s="109"/>
      <c r="AS237" s="109"/>
      <c r="AT237" s="109"/>
      <c r="AU237" s="109"/>
      <c r="AV237" s="109"/>
      <c r="AW237" s="109"/>
      <c r="AX237" s="109"/>
      <c r="AY237" s="192">
        <v>965390576.12</v>
      </c>
      <c r="AZ237" s="109"/>
      <c r="BA237" s="109">
        <f>SUM(AR237:AY237)+AZ237</f>
        <v>965390576.12</v>
      </c>
      <c r="BB237" s="192"/>
      <c r="BC237" s="192"/>
      <c r="BD237" s="192"/>
      <c r="BE237" s="192"/>
      <c r="BF237" s="192"/>
      <c r="BG237" s="192"/>
      <c r="BH237" s="192"/>
      <c r="BI237" s="192">
        <v>994350000</v>
      </c>
      <c r="BJ237" s="192"/>
      <c r="BK237" s="192">
        <f>SUM(BB237:BJ237)</f>
        <v>994350000</v>
      </c>
      <c r="BL237" s="109"/>
      <c r="BM237" s="109"/>
      <c r="BN237" s="109"/>
      <c r="BO237" s="109"/>
      <c r="BP237" s="109"/>
      <c r="BQ237" s="109"/>
      <c r="BR237" s="109"/>
      <c r="BS237" s="109">
        <v>1024000000</v>
      </c>
      <c r="BT237" s="109"/>
      <c r="BU237" s="109">
        <f>SUM(BL237:BT237)</f>
        <v>1024000000</v>
      </c>
      <c r="BV237" s="103">
        <f t="shared" si="101"/>
        <v>5967481152.2399998</v>
      </c>
    </row>
    <row r="238" spans="1:74" ht="303" customHeight="1" x14ac:dyDescent="0.2">
      <c r="A238" s="84">
        <v>161</v>
      </c>
      <c r="B238" s="84">
        <v>3</v>
      </c>
      <c r="C238" s="173"/>
      <c r="D238" s="173"/>
      <c r="E238" s="87" t="s">
        <v>557</v>
      </c>
      <c r="F238" s="412" t="s">
        <v>558</v>
      </c>
      <c r="G238" s="314" t="s">
        <v>559</v>
      </c>
      <c r="H238" s="314" t="s">
        <v>560</v>
      </c>
      <c r="I238" s="94">
        <v>161</v>
      </c>
      <c r="J238" s="90" t="s">
        <v>561</v>
      </c>
      <c r="K238" s="346" t="s">
        <v>562</v>
      </c>
      <c r="L238" s="94" t="s">
        <v>432</v>
      </c>
      <c r="M238" s="248">
        <v>2</v>
      </c>
      <c r="N238" s="373" t="s">
        <v>44</v>
      </c>
      <c r="O238" s="95">
        <v>90</v>
      </c>
      <c r="P238" s="95">
        <v>100</v>
      </c>
      <c r="Q238" s="375">
        <v>100</v>
      </c>
      <c r="R238" s="373">
        <v>100</v>
      </c>
      <c r="S238" s="373">
        <v>100</v>
      </c>
      <c r="T238" s="373">
        <v>100</v>
      </c>
      <c r="U238" s="411">
        <f>AP238/$AP$236</f>
        <v>4.9778476900630482E-2</v>
      </c>
      <c r="V238" s="95">
        <v>3</v>
      </c>
      <c r="W238" s="95" t="s">
        <v>442</v>
      </c>
      <c r="X238" s="142"/>
      <c r="Y238" s="142"/>
      <c r="Z238" s="142"/>
      <c r="AA238" s="142"/>
      <c r="AB238" s="142"/>
      <c r="AC238" s="142"/>
      <c r="AD238" s="142"/>
      <c r="AE238" s="142"/>
      <c r="AF238" s="142"/>
      <c r="AG238" s="142"/>
      <c r="AH238" s="142"/>
      <c r="AI238" s="142"/>
      <c r="AJ238" s="142"/>
      <c r="AK238" s="142"/>
      <c r="AL238" s="141">
        <v>60000000</v>
      </c>
      <c r="AM238" s="142">
        <v>60000000</v>
      </c>
      <c r="AN238" s="141"/>
      <c r="AO238" s="142"/>
      <c r="AP238" s="99">
        <f>+X238+Z238+AB238+AD238+AF238+AH238+AJ238+AL238+AN238</f>
        <v>60000000</v>
      </c>
      <c r="AQ238" s="100">
        <f>Y238+AA238+AC238+AE238+AG238+AI238+AK238+AM238+AO238</f>
        <v>60000000</v>
      </c>
      <c r="AR238" s="109"/>
      <c r="AS238" s="109"/>
      <c r="AT238" s="109"/>
      <c r="AU238" s="109"/>
      <c r="AV238" s="109"/>
      <c r="AW238" s="109"/>
      <c r="AX238" s="109"/>
      <c r="AY238" s="192">
        <v>61800000.000000007</v>
      </c>
      <c r="AZ238" s="109"/>
      <c r="BA238" s="109">
        <f>SUM(AR238:AY238)+AZ238</f>
        <v>61800000.000000007</v>
      </c>
      <c r="BB238" s="192"/>
      <c r="BC238" s="192"/>
      <c r="BD238" s="192"/>
      <c r="BE238" s="192"/>
      <c r="BF238" s="192"/>
      <c r="BG238" s="192"/>
      <c r="BH238" s="192"/>
      <c r="BI238" s="192">
        <v>63650000</v>
      </c>
      <c r="BJ238" s="192"/>
      <c r="BK238" s="192">
        <f>SUM(BB238:BJ238)</f>
        <v>63650000</v>
      </c>
      <c r="BL238" s="109"/>
      <c r="BM238" s="109"/>
      <c r="BN238" s="109"/>
      <c r="BO238" s="109"/>
      <c r="BP238" s="109"/>
      <c r="BQ238" s="109"/>
      <c r="BR238" s="109"/>
      <c r="BS238" s="109">
        <v>65500000</v>
      </c>
      <c r="BT238" s="109"/>
      <c r="BU238" s="109">
        <f>SUM(BL238:BT238)</f>
        <v>65500000</v>
      </c>
      <c r="BV238" s="103">
        <f t="shared" si="101"/>
        <v>381900000</v>
      </c>
    </row>
    <row r="239" spans="1:74" ht="112.5" customHeight="1" x14ac:dyDescent="0.2">
      <c r="A239" s="105">
        <v>162</v>
      </c>
      <c r="B239" s="84">
        <v>3</v>
      </c>
      <c r="C239" s="173"/>
      <c r="D239" s="341"/>
      <c r="E239" s="179"/>
      <c r="F239" s="413"/>
      <c r="G239" s="413"/>
      <c r="H239" s="413"/>
      <c r="I239" s="94">
        <v>162</v>
      </c>
      <c r="J239" s="90" t="s">
        <v>563</v>
      </c>
      <c r="K239" s="334" t="s">
        <v>564</v>
      </c>
      <c r="L239" s="383" t="s">
        <v>432</v>
      </c>
      <c r="M239" s="363">
        <v>2</v>
      </c>
      <c r="N239" s="373" t="s">
        <v>44</v>
      </c>
      <c r="O239" s="95">
        <v>83</v>
      </c>
      <c r="P239" s="95">
        <v>83</v>
      </c>
      <c r="Q239" s="375">
        <v>83</v>
      </c>
      <c r="R239" s="373">
        <v>83</v>
      </c>
      <c r="S239" s="373">
        <v>83</v>
      </c>
      <c r="T239" s="373">
        <v>83</v>
      </c>
      <c r="U239" s="411">
        <f>AP239/$AP$236</f>
        <v>0.17262164456416287</v>
      </c>
      <c r="V239" s="95">
        <v>3</v>
      </c>
      <c r="W239" s="95" t="s">
        <v>442</v>
      </c>
      <c r="X239" s="142"/>
      <c r="Y239" s="142"/>
      <c r="Z239" s="142"/>
      <c r="AA239" s="244"/>
      <c r="AB239" s="142"/>
      <c r="AC239" s="142"/>
      <c r="AD239" s="142"/>
      <c r="AE239" s="142"/>
      <c r="AF239" s="142"/>
      <c r="AG239" s="244"/>
      <c r="AH239" s="142"/>
      <c r="AI239" s="142"/>
      <c r="AJ239" s="142"/>
      <c r="AK239" s="142"/>
      <c r="AL239" s="141">
        <v>208067810</v>
      </c>
      <c r="AM239" s="100">
        <v>224890114</v>
      </c>
      <c r="AN239" s="141"/>
      <c r="AO239" s="142"/>
      <c r="AP239" s="99">
        <f>+X239+Z239+AB239+AD239+AF239+AH239+AJ239+AL239+AN239</f>
        <v>208067810</v>
      </c>
      <c r="AQ239" s="100">
        <f>Y239+AA239+AC239+AE239+AG239+AI239+AK239+AM239+AO239</f>
        <v>224890114</v>
      </c>
      <c r="AR239" s="109"/>
      <c r="AS239" s="109"/>
      <c r="AT239" s="109"/>
      <c r="AU239" s="109"/>
      <c r="AV239" s="109"/>
      <c r="AW239" s="109"/>
      <c r="AX239" s="109"/>
      <c r="AY239" s="192">
        <v>214309844.30000004</v>
      </c>
      <c r="AZ239" s="109"/>
      <c r="BA239" s="109">
        <f>SUM(AR239:AY239)+AZ239</f>
        <v>214309844.30000004</v>
      </c>
      <c r="BB239" s="192"/>
      <c r="BC239" s="192"/>
      <c r="BD239" s="192"/>
      <c r="BE239" s="192"/>
      <c r="BF239" s="192"/>
      <c r="BG239" s="192"/>
      <c r="BH239" s="192"/>
      <c r="BI239" s="192">
        <v>220745433.03</v>
      </c>
      <c r="BJ239" s="192"/>
      <c r="BK239" s="192">
        <f>SUM(BB239:BJ239)</f>
        <v>220745433.03</v>
      </c>
      <c r="BL239" s="109"/>
      <c r="BM239" s="109"/>
      <c r="BN239" s="109"/>
      <c r="BO239" s="109"/>
      <c r="BP239" s="109"/>
      <c r="BQ239" s="109"/>
      <c r="BR239" s="109"/>
      <c r="BS239" s="109">
        <v>227607796.02787006</v>
      </c>
      <c r="BT239" s="109"/>
      <c r="BU239" s="109">
        <f>SUM(BL239:BT239)</f>
        <v>227607796.02787006</v>
      </c>
      <c r="BV239" s="103">
        <f t="shared" si="101"/>
        <v>1325326146.7157402</v>
      </c>
    </row>
    <row r="240" spans="1:74" ht="20.25" customHeight="1" x14ac:dyDescent="0.2">
      <c r="A240" s="105"/>
      <c r="B240" s="84"/>
      <c r="C240" s="173"/>
      <c r="D240" s="56">
        <v>13</v>
      </c>
      <c r="E240" s="342" t="s">
        <v>565</v>
      </c>
      <c r="F240" s="343"/>
      <c r="G240" s="343"/>
      <c r="H240" s="343"/>
      <c r="I240" s="60"/>
      <c r="J240" s="61"/>
      <c r="K240" s="61"/>
      <c r="L240" s="62"/>
      <c r="M240" s="60"/>
      <c r="N240" s="63"/>
      <c r="O240" s="61"/>
      <c r="P240" s="61"/>
      <c r="Q240" s="64"/>
      <c r="R240" s="61"/>
      <c r="S240" s="61"/>
      <c r="T240" s="60"/>
      <c r="U240" s="171"/>
      <c r="V240" s="60"/>
      <c r="W240" s="60"/>
      <c r="X240" s="66">
        <f t="shared" ref="X240:AO240" si="110">X241+X243+X245</f>
        <v>0</v>
      </c>
      <c r="Y240" s="66">
        <f t="shared" si="110"/>
        <v>0</v>
      </c>
      <c r="Z240" s="66">
        <f t="shared" si="110"/>
        <v>19181808428</v>
      </c>
      <c r="AA240" s="66">
        <f t="shared" si="110"/>
        <v>19181808428</v>
      </c>
      <c r="AB240" s="66">
        <f t="shared" si="110"/>
        <v>0</v>
      </c>
      <c r="AC240" s="66">
        <f t="shared" si="110"/>
        <v>0</v>
      </c>
      <c r="AD240" s="66">
        <f t="shared" si="110"/>
        <v>295920</v>
      </c>
      <c r="AE240" s="66">
        <f t="shared" si="110"/>
        <v>124458172</v>
      </c>
      <c r="AF240" s="66">
        <f t="shared" si="110"/>
        <v>0</v>
      </c>
      <c r="AG240" s="66">
        <f t="shared" si="110"/>
        <v>0</v>
      </c>
      <c r="AH240" s="66">
        <f t="shared" si="110"/>
        <v>0</v>
      </c>
      <c r="AI240" s="66">
        <f t="shared" si="110"/>
        <v>0</v>
      </c>
      <c r="AJ240" s="66">
        <f t="shared" si="110"/>
        <v>0</v>
      </c>
      <c r="AK240" s="66">
        <f t="shared" si="110"/>
        <v>0</v>
      </c>
      <c r="AL240" s="66">
        <f t="shared" si="110"/>
        <v>0</v>
      </c>
      <c r="AM240" s="66">
        <f t="shared" si="110"/>
        <v>0</v>
      </c>
      <c r="AN240" s="66">
        <f t="shared" si="110"/>
        <v>0</v>
      </c>
      <c r="AO240" s="66">
        <f t="shared" si="110"/>
        <v>0</v>
      </c>
      <c r="AP240" s="67">
        <f>AP241+AP243+AP245</f>
        <v>19182104348</v>
      </c>
      <c r="AQ240" s="66">
        <f>AQ241+AQ243+AQ245</f>
        <v>19306266600</v>
      </c>
      <c r="AR240" s="68"/>
      <c r="AS240" s="68"/>
      <c r="AT240" s="68"/>
      <c r="AU240" s="68"/>
      <c r="AV240" s="68"/>
      <c r="AW240" s="68"/>
      <c r="AX240" s="68"/>
      <c r="AY240" s="68"/>
      <c r="AZ240" s="68"/>
      <c r="BA240" s="68">
        <f>BA241+BA243+BA245</f>
        <v>14820887397.66</v>
      </c>
      <c r="BB240" s="68"/>
      <c r="BC240" s="68"/>
      <c r="BD240" s="68"/>
      <c r="BE240" s="68"/>
      <c r="BF240" s="68"/>
      <c r="BG240" s="68"/>
      <c r="BH240" s="68"/>
      <c r="BI240" s="68"/>
      <c r="BJ240" s="68"/>
      <c r="BK240" s="68">
        <f>BK241+BK243+BK245</f>
        <v>15265514018.5298</v>
      </c>
      <c r="BL240" s="68"/>
      <c r="BM240" s="68"/>
      <c r="BN240" s="68"/>
      <c r="BO240" s="68"/>
      <c r="BP240" s="68"/>
      <c r="BQ240" s="68"/>
      <c r="BR240" s="68"/>
      <c r="BS240" s="68"/>
      <c r="BT240" s="68"/>
      <c r="BU240" s="68">
        <f>BU241+BU243+BU245</f>
        <v>15723479438.675694</v>
      </c>
      <c r="BV240" s="172">
        <f t="shared" si="101"/>
        <v>45809880854.865494</v>
      </c>
    </row>
    <row r="241" spans="1:74" ht="20.25" customHeight="1" x14ac:dyDescent="0.2">
      <c r="A241" s="105"/>
      <c r="B241" s="84"/>
      <c r="C241" s="173"/>
      <c r="D241" s="169"/>
      <c r="E241" s="71">
        <v>47</v>
      </c>
      <c r="F241" s="72" t="s">
        <v>566</v>
      </c>
      <c r="G241" s="75"/>
      <c r="H241" s="75"/>
      <c r="I241" s="71"/>
      <c r="J241" s="72"/>
      <c r="K241" s="75"/>
      <c r="L241" s="74"/>
      <c r="M241" s="76"/>
      <c r="N241" s="77"/>
      <c r="O241" s="75"/>
      <c r="P241" s="75"/>
      <c r="Q241" s="78"/>
      <c r="R241" s="75"/>
      <c r="S241" s="75"/>
      <c r="T241" s="76"/>
      <c r="U241" s="174"/>
      <c r="V241" s="76"/>
      <c r="W241" s="76"/>
      <c r="X241" s="80">
        <f t="shared" ref="X241:AO241" si="111">SUM(X242)</f>
        <v>0</v>
      </c>
      <c r="Y241" s="80">
        <f t="shared" si="111"/>
        <v>0</v>
      </c>
      <c r="Z241" s="80">
        <f t="shared" si="111"/>
        <v>150228531</v>
      </c>
      <c r="AA241" s="80">
        <f t="shared" si="111"/>
        <v>28200000</v>
      </c>
      <c r="AB241" s="80">
        <f t="shared" si="111"/>
        <v>0</v>
      </c>
      <c r="AC241" s="80">
        <f t="shared" si="111"/>
        <v>0</v>
      </c>
      <c r="AD241" s="80">
        <f t="shared" si="111"/>
        <v>0</v>
      </c>
      <c r="AE241" s="80">
        <f t="shared" si="111"/>
        <v>0</v>
      </c>
      <c r="AF241" s="80">
        <f t="shared" si="111"/>
        <v>0</v>
      </c>
      <c r="AG241" s="80">
        <f t="shared" si="111"/>
        <v>0</v>
      </c>
      <c r="AH241" s="80">
        <f t="shared" si="111"/>
        <v>0</v>
      </c>
      <c r="AI241" s="80">
        <f t="shared" si="111"/>
        <v>0</v>
      </c>
      <c r="AJ241" s="80">
        <f t="shared" si="111"/>
        <v>0</v>
      </c>
      <c r="AK241" s="80">
        <f t="shared" si="111"/>
        <v>0</v>
      </c>
      <c r="AL241" s="80">
        <f t="shared" si="111"/>
        <v>0</v>
      </c>
      <c r="AM241" s="80">
        <f t="shared" si="111"/>
        <v>0</v>
      </c>
      <c r="AN241" s="80">
        <f t="shared" si="111"/>
        <v>0</v>
      </c>
      <c r="AO241" s="80">
        <f t="shared" si="111"/>
        <v>0</v>
      </c>
      <c r="AP241" s="81">
        <f>SUM(AP242)</f>
        <v>150228531</v>
      </c>
      <c r="AQ241" s="80">
        <f>SUM(AQ242)</f>
        <v>28200000</v>
      </c>
      <c r="AR241" s="82"/>
      <c r="AS241" s="82"/>
      <c r="AT241" s="82"/>
      <c r="AU241" s="82"/>
      <c r="AV241" s="82"/>
      <c r="AW241" s="82"/>
      <c r="AX241" s="82"/>
      <c r="AY241" s="82"/>
      <c r="AZ241" s="82"/>
      <c r="BA241" s="82">
        <f>SUM(BA242)</f>
        <v>29046000</v>
      </c>
      <c r="BB241" s="82"/>
      <c r="BC241" s="82"/>
      <c r="BD241" s="82"/>
      <c r="BE241" s="82"/>
      <c r="BF241" s="82"/>
      <c r="BG241" s="82"/>
      <c r="BH241" s="82"/>
      <c r="BI241" s="82"/>
      <c r="BJ241" s="82"/>
      <c r="BK241" s="82">
        <f>SUM(BK242)</f>
        <v>29917380</v>
      </c>
      <c r="BL241" s="82"/>
      <c r="BM241" s="82"/>
      <c r="BN241" s="82"/>
      <c r="BO241" s="82"/>
      <c r="BP241" s="82"/>
      <c r="BQ241" s="82"/>
      <c r="BR241" s="82"/>
      <c r="BS241" s="82"/>
      <c r="BT241" s="82"/>
      <c r="BU241" s="82">
        <f>SUM(BU242)</f>
        <v>30814901.400000002</v>
      </c>
      <c r="BV241" s="83">
        <f t="shared" si="101"/>
        <v>89778281.400000006</v>
      </c>
    </row>
    <row r="242" spans="1:74" ht="123.75" customHeight="1" x14ac:dyDescent="0.2">
      <c r="A242" s="84">
        <v>163</v>
      </c>
      <c r="B242" s="84">
        <v>3</v>
      </c>
      <c r="C242" s="173"/>
      <c r="D242" s="173"/>
      <c r="E242" s="85">
        <v>27</v>
      </c>
      <c r="F242" s="112" t="s">
        <v>567</v>
      </c>
      <c r="G242" s="88" t="s">
        <v>568</v>
      </c>
      <c r="H242" s="257">
        <v>0.92</v>
      </c>
      <c r="I242" s="94">
        <v>163</v>
      </c>
      <c r="J242" s="90" t="s">
        <v>569</v>
      </c>
      <c r="K242" s="334" t="s">
        <v>570</v>
      </c>
      <c r="L242" s="414" t="s">
        <v>432</v>
      </c>
      <c r="M242" s="363">
        <v>2</v>
      </c>
      <c r="N242" s="370" t="s">
        <v>44</v>
      </c>
      <c r="O242" s="95">
        <v>12</v>
      </c>
      <c r="P242" s="95">
        <v>12</v>
      </c>
      <c r="Q242" s="375">
        <v>12</v>
      </c>
      <c r="R242" s="373">
        <v>12</v>
      </c>
      <c r="S242" s="373">
        <v>12</v>
      </c>
      <c r="T242" s="373">
        <v>12</v>
      </c>
      <c r="U242" s="415">
        <f>AP242/AP241</f>
        <v>1</v>
      </c>
      <c r="V242" s="95">
        <v>3</v>
      </c>
      <c r="W242" s="181" t="s">
        <v>442</v>
      </c>
      <c r="X242" s="416"/>
      <c r="Y242" s="142"/>
      <c r="Z242" s="141">
        <f>28200000+122028531</f>
        <v>150228531</v>
      </c>
      <c r="AA242" s="142">
        <v>28200000</v>
      </c>
      <c r="AB242" s="416"/>
      <c r="AC242" s="142"/>
      <c r="AD242" s="416"/>
      <c r="AE242" s="142"/>
      <c r="AF242" s="416"/>
      <c r="AG242" s="142"/>
      <c r="AH242" s="416"/>
      <c r="AI242" s="142"/>
      <c r="AJ242" s="416"/>
      <c r="AK242" s="142"/>
      <c r="AL242" s="416"/>
      <c r="AM242" s="142"/>
      <c r="AN242" s="416"/>
      <c r="AO242" s="142"/>
      <c r="AP242" s="99">
        <f>+X242+Z242+AB242+AD242+AF242+AH242+AJ242+AL242+AN242</f>
        <v>150228531</v>
      </c>
      <c r="AQ242" s="100">
        <f>Y242+AA242+AC242+AE242+AG242+AI242+AK242+AM242+AO242</f>
        <v>28200000</v>
      </c>
      <c r="AR242" s="109"/>
      <c r="AS242" s="192">
        <v>29046000</v>
      </c>
      <c r="AT242" s="109"/>
      <c r="AU242" s="109"/>
      <c r="AV242" s="109"/>
      <c r="AW242" s="109"/>
      <c r="AX242" s="109"/>
      <c r="AY242" s="109"/>
      <c r="AZ242" s="109"/>
      <c r="BA242" s="109">
        <f>SUM(AR242:AY242)+AZ242</f>
        <v>29046000</v>
      </c>
      <c r="BB242" s="192"/>
      <c r="BC242" s="192">
        <v>29917380</v>
      </c>
      <c r="BD242" s="192"/>
      <c r="BE242" s="192"/>
      <c r="BF242" s="192"/>
      <c r="BG242" s="192"/>
      <c r="BH242" s="192"/>
      <c r="BI242" s="192"/>
      <c r="BJ242" s="192"/>
      <c r="BK242" s="192">
        <f>SUM(BB242:BJ242)</f>
        <v>29917380</v>
      </c>
      <c r="BL242" s="109"/>
      <c r="BM242" s="109">
        <v>30814901.400000002</v>
      </c>
      <c r="BN242" s="109"/>
      <c r="BO242" s="109"/>
      <c r="BP242" s="109"/>
      <c r="BQ242" s="109"/>
      <c r="BR242" s="109"/>
      <c r="BS242" s="109"/>
      <c r="BT242" s="109"/>
      <c r="BU242" s="109">
        <f>SUM(BL242:BT242)</f>
        <v>30814901.400000002</v>
      </c>
      <c r="BV242" s="103">
        <f t="shared" si="101"/>
        <v>179556562.80000001</v>
      </c>
    </row>
    <row r="243" spans="1:74" ht="22.5" customHeight="1" x14ac:dyDescent="0.2">
      <c r="A243" s="84"/>
      <c r="B243" s="84"/>
      <c r="C243" s="173"/>
      <c r="D243" s="173"/>
      <c r="E243" s="71">
        <v>48</v>
      </c>
      <c r="F243" s="72" t="s">
        <v>571</v>
      </c>
      <c r="G243" s="75"/>
      <c r="H243" s="75"/>
      <c r="I243" s="71"/>
      <c r="J243" s="72"/>
      <c r="K243" s="75"/>
      <c r="L243" s="74"/>
      <c r="M243" s="76"/>
      <c r="N243" s="76"/>
      <c r="O243" s="75"/>
      <c r="P243" s="75"/>
      <c r="Q243" s="75"/>
      <c r="R243" s="75"/>
      <c r="S243" s="75"/>
      <c r="T243" s="76"/>
      <c r="U243" s="174"/>
      <c r="V243" s="76"/>
      <c r="W243" s="76"/>
      <c r="X243" s="80">
        <f t="shared" ref="X243:AO243" si="112">SUM(X244)</f>
        <v>0</v>
      </c>
      <c r="Y243" s="80">
        <f t="shared" si="112"/>
        <v>0</v>
      </c>
      <c r="Z243" s="80">
        <f t="shared" si="112"/>
        <v>19011275897</v>
      </c>
      <c r="AA243" s="80">
        <f t="shared" si="112"/>
        <v>19133304428</v>
      </c>
      <c r="AB243" s="80">
        <f t="shared" si="112"/>
        <v>0</v>
      </c>
      <c r="AC243" s="80">
        <f t="shared" si="112"/>
        <v>0</v>
      </c>
      <c r="AD243" s="80">
        <f t="shared" si="112"/>
        <v>295920</v>
      </c>
      <c r="AE243" s="80">
        <f t="shared" si="112"/>
        <v>124458172</v>
      </c>
      <c r="AF243" s="80">
        <f t="shared" si="112"/>
        <v>0</v>
      </c>
      <c r="AG243" s="80">
        <f t="shared" si="112"/>
        <v>0</v>
      </c>
      <c r="AH243" s="80">
        <f t="shared" si="112"/>
        <v>0</v>
      </c>
      <c r="AI243" s="80">
        <f t="shared" si="112"/>
        <v>0</v>
      </c>
      <c r="AJ243" s="80">
        <f t="shared" si="112"/>
        <v>0</v>
      </c>
      <c r="AK243" s="80">
        <f t="shared" si="112"/>
        <v>0</v>
      </c>
      <c r="AL243" s="80">
        <f t="shared" si="112"/>
        <v>0</v>
      </c>
      <c r="AM243" s="80">
        <f t="shared" si="112"/>
        <v>0</v>
      </c>
      <c r="AN243" s="80">
        <f t="shared" si="112"/>
        <v>0</v>
      </c>
      <c r="AO243" s="80">
        <f t="shared" si="112"/>
        <v>0</v>
      </c>
      <c r="AP243" s="81">
        <f>SUM(AP244)</f>
        <v>19011571817</v>
      </c>
      <c r="AQ243" s="80">
        <f>SUM(AQ244)</f>
        <v>19257762600</v>
      </c>
      <c r="AR243" s="82"/>
      <c r="AS243" s="82"/>
      <c r="AT243" s="82"/>
      <c r="AU243" s="82"/>
      <c r="AV243" s="82"/>
      <c r="AW243" s="82"/>
      <c r="AX243" s="82"/>
      <c r="AY243" s="82"/>
      <c r="AZ243" s="82"/>
      <c r="BA243" s="82">
        <f>SUM(BA244)</f>
        <v>14770928277.66</v>
      </c>
      <c r="BB243" s="82"/>
      <c r="BC243" s="82"/>
      <c r="BD243" s="82"/>
      <c r="BE243" s="82"/>
      <c r="BF243" s="82"/>
      <c r="BG243" s="82"/>
      <c r="BH243" s="82"/>
      <c r="BI243" s="82"/>
      <c r="BJ243" s="82"/>
      <c r="BK243" s="82">
        <f>SUM(BK244)</f>
        <v>15214056124.9298</v>
      </c>
      <c r="BL243" s="82"/>
      <c r="BM243" s="82"/>
      <c r="BN243" s="82"/>
      <c r="BO243" s="82"/>
      <c r="BP243" s="82"/>
      <c r="BQ243" s="82"/>
      <c r="BR243" s="82"/>
      <c r="BS243" s="82"/>
      <c r="BT243" s="82"/>
      <c r="BU243" s="82">
        <f>SUM(BU244)</f>
        <v>15670477808.267694</v>
      </c>
      <c r="BV243" s="83">
        <f t="shared" si="101"/>
        <v>45655462210.857491</v>
      </c>
    </row>
    <row r="244" spans="1:74" ht="145.5" customHeight="1" x14ac:dyDescent="0.2">
      <c r="A244" s="105">
        <v>164</v>
      </c>
      <c r="B244" s="84">
        <v>3</v>
      </c>
      <c r="C244" s="173"/>
      <c r="D244" s="173"/>
      <c r="E244" s="111">
        <v>27</v>
      </c>
      <c r="F244" s="112" t="s">
        <v>567</v>
      </c>
      <c r="G244" s="117" t="s">
        <v>568</v>
      </c>
      <c r="H244" s="417">
        <v>0.92</v>
      </c>
      <c r="I244" s="94">
        <v>164</v>
      </c>
      <c r="J244" s="86" t="s">
        <v>572</v>
      </c>
      <c r="K244" s="334" t="s">
        <v>573</v>
      </c>
      <c r="L244" s="418" t="s">
        <v>432</v>
      </c>
      <c r="M244" s="364">
        <v>2</v>
      </c>
      <c r="N244" s="370" t="s">
        <v>44</v>
      </c>
      <c r="O244" s="95">
        <v>12</v>
      </c>
      <c r="P244" s="95">
        <v>12</v>
      </c>
      <c r="Q244" s="375">
        <v>12</v>
      </c>
      <c r="R244" s="373">
        <v>12</v>
      </c>
      <c r="S244" s="373">
        <v>12</v>
      </c>
      <c r="T244" s="373">
        <v>12</v>
      </c>
      <c r="U244" s="415">
        <f>AP244/AP243</f>
        <v>1</v>
      </c>
      <c r="V244" s="95">
        <v>3</v>
      </c>
      <c r="W244" s="181" t="s">
        <v>442</v>
      </c>
      <c r="X244" s="416">
        <v>0</v>
      </c>
      <c r="Y244" s="142"/>
      <c r="Z244" s="141">
        <v>19011275897</v>
      </c>
      <c r="AA244" s="142">
        <v>19133304428</v>
      </c>
      <c r="AB244" s="416">
        <v>0</v>
      </c>
      <c r="AC244" s="142"/>
      <c r="AD244" s="231">
        <v>295920</v>
      </c>
      <c r="AE244" s="136">
        <v>124458172</v>
      </c>
      <c r="AF244" s="416">
        <v>0</v>
      </c>
      <c r="AG244" s="142"/>
      <c r="AH244" s="416">
        <v>0</v>
      </c>
      <c r="AI244" s="142"/>
      <c r="AJ244" s="416">
        <v>0</v>
      </c>
      <c r="AK244" s="142"/>
      <c r="AL244" s="416">
        <v>0</v>
      </c>
      <c r="AM244" s="142"/>
      <c r="AN244" s="416">
        <v>0</v>
      </c>
      <c r="AO244" s="142"/>
      <c r="AP244" s="99">
        <f>+X244+Z244+AB244+AD244+AF244+AH244+AJ244+AL244+AN244</f>
        <v>19011571817</v>
      </c>
      <c r="AQ244" s="100">
        <f>Y244+AA244+AC244+AE244+AG244+AI244+AK244+AM244+AO244</f>
        <v>19257762600</v>
      </c>
      <c r="AR244" s="109"/>
      <c r="AS244" s="192">
        <v>14770928277.66</v>
      </c>
      <c r="AT244" s="109"/>
      <c r="AU244" s="109"/>
      <c r="AV244" s="109"/>
      <c r="AW244" s="109"/>
      <c r="AX244" s="109"/>
      <c r="AY244" s="109"/>
      <c r="AZ244" s="109"/>
      <c r="BA244" s="192">
        <f>SUM(AR244:AZ244)</f>
        <v>14770928277.66</v>
      </c>
      <c r="BB244" s="192"/>
      <c r="BC244" s="192">
        <v>15214056124.9298</v>
      </c>
      <c r="BD244" s="192"/>
      <c r="BE244" s="192"/>
      <c r="BF244" s="192"/>
      <c r="BG244" s="192"/>
      <c r="BH244" s="192"/>
      <c r="BI244" s="192"/>
      <c r="BJ244" s="192"/>
      <c r="BK244" s="192">
        <f>SUM(BB244:BJ244)</f>
        <v>15214056124.9298</v>
      </c>
      <c r="BL244" s="109"/>
      <c r="BM244" s="109">
        <v>15670477808.267694</v>
      </c>
      <c r="BN244" s="109"/>
      <c r="BO244" s="109"/>
      <c r="BP244" s="109"/>
      <c r="BQ244" s="109"/>
      <c r="BR244" s="109"/>
      <c r="BS244" s="109"/>
      <c r="BT244" s="109"/>
      <c r="BU244" s="109">
        <f>SUM(BL244:BT244)</f>
        <v>15670477808.267694</v>
      </c>
      <c r="BV244" s="103">
        <f t="shared" si="101"/>
        <v>91310924421.714996</v>
      </c>
    </row>
    <row r="245" spans="1:74" ht="22.5" customHeight="1" x14ac:dyDescent="0.2">
      <c r="A245" s="105"/>
      <c r="B245" s="84"/>
      <c r="C245" s="173"/>
      <c r="D245" s="173"/>
      <c r="E245" s="71">
        <v>49</v>
      </c>
      <c r="F245" s="72" t="s">
        <v>574</v>
      </c>
      <c r="G245" s="75"/>
      <c r="H245" s="75"/>
      <c r="I245" s="71"/>
      <c r="J245" s="72"/>
      <c r="K245" s="75"/>
      <c r="L245" s="74"/>
      <c r="M245" s="76"/>
      <c r="N245" s="77"/>
      <c r="O245" s="75"/>
      <c r="P245" s="75"/>
      <c r="Q245" s="78"/>
      <c r="R245" s="75"/>
      <c r="S245" s="75"/>
      <c r="T245" s="76"/>
      <c r="U245" s="174"/>
      <c r="V245" s="76"/>
      <c r="W245" s="76"/>
      <c r="X245" s="80">
        <f t="shared" ref="X245:AO245" si="113">SUM(X246)</f>
        <v>0</v>
      </c>
      <c r="Y245" s="80">
        <f t="shared" si="113"/>
        <v>0</v>
      </c>
      <c r="Z245" s="80">
        <f t="shared" si="113"/>
        <v>20304000</v>
      </c>
      <c r="AA245" s="80">
        <f t="shared" si="113"/>
        <v>20304000</v>
      </c>
      <c r="AB245" s="80">
        <f t="shared" si="113"/>
        <v>0</v>
      </c>
      <c r="AC245" s="80">
        <f t="shared" si="113"/>
        <v>0</v>
      </c>
      <c r="AD245" s="80">
        <f t="shared" si="113"/>
        <v>0</v>
      </c>
      <c r="AE245" s="80">
        <f t="shared" si="113"/>
        <v>0</v>
      </c>
      <c r="AF245" s="80">
        <f t="shared" si="113"/>
        <v>0</v>
      </c>
      <c r="AG245" s="80">
        <f t="shared" si="113"/>
        <v>0</v>
      </c>
      <c r="AH245" s="80">
        <f t="shared" si="113"/>
        <v>0</v>
      </c>
      <c r="AI245" s="80">
        <f t="shared" si="113"/>
        <v>0</v>
      </c>
      <c r="AJ245" s="80">
        <f t="shared" si="113"/>
        <v>0</v>
      </c>
      <c r="AK245" s="80">
        <f t="shared" si="113"/>
        <v>0</v>
      </c>
      <c r="AL245" s="80">
        <f t="shared" si="113"/>
        <v>0</v>
      </c>
      <c r="AM245" s="80">
        <f t="shared" si="113"/>
        <v>0</v>
      </c>
      <c r="AN245" s="80">
        <f t="shared" si="113"/>
        <v>0</v>
      </c>
      <c r="AO245" s="80">
        <f t="shared" si="113"/>
        <v>0</v>
      </c>
      <c r="AP245" s="81">
        <f>SUM(AP246)</f>
        <v>20304000</v>
      </c>
      <c r="AQ245" s="80">
        <f>SUM(AQ246)</f>
        <v>20304000</v>
      </c>
      <c r="AR245" s="82"/>
      <c r="AS245" s="82"/>
      <c r="AT245" s="82"/>
      <c r="AU245" s="82"/>
      <c r="AV245" s="82"/>
      <c r="AW245" s="82"/>
      <c r="AX245" s="82"/>
      <c r="AY245" s="82"/>
      <c r="AZ245" s="82"/>
      <c r="BA245" s="82">
        <f>SUM(BA246)</f>
        <v>20913120</v>
      </c>
      <c r="BB245" s="82"/>
      <c r="BC245" s="82"/>
      <c r="BD245" s="82"/>
      <c r="BE245" s="82"/>
      <c r="BF245" s="82"/>
      <c r="BG245" s="82"/>
      <c r="BH245" s="82"/>
      <c r="BI245" s="82"/>
      <c r="BJ245" s="82"/>
      <c r="BK245" s="82">
        <f>SUM(BK246)</f>
        <v>21540513.600000001</v>
      </c>
      <c r="BL245" s="82"/>
      <c r="BM245" s="82"/>
      <c r="BN245" s="82"/>
      <c r="BO245" s="82"/>
      <c r="BP245" s="82"/>
      <c r="BQ245" s="82"/>
      <c r="BR245" s="82"/>
      <c r="BS245" s="82"/>
      <c r="BT245" s="82"/>
      <c r="BU245" s="82">
        <f>SUM(BU246)</f>
        <v>22186729.008000001</v>
      </c>
      <c r="BV245" s="83">
        <f t="shared" si="101"/>
        <v>64640362.608000003</v>
      </c>
    </row>
    <row r="246" spans="1:74" ht="100.5" customHeight="1" x14ac:dyDescent="0.2">
      <c r="A246" s="84">
        <v>165</v>
      </c>
      <c r="B246" s="84">
        <v>3</v>
      </c>
      <c r="C246" s="173"/>
      <c r="D246" s="237"/>
      <c r="E246" s="110">
        <v>27</v>
      </c>
      <c r="F246" s="133" t="s">
        <v>567</v>
      </c>
      <c r="G246" s="88" t="s">
        <v>568</v>
      </c>
      <c r="H246" s="257">
        <v>0.92</v>
      </c>
      <c r="I246" s="94">
        <v>165</v>
      </c>
      <c r="J246" s="90" t="s">
        <v>575</v>
      </c>
      <c r="K246" s="334" t="s">
        <v>576</v>
      </c>
      <c r="L246" s="414" t="s">
        <v>432</v>
      </c>
      <c r="M246" s="363">
        <v>2</v>
      </c>
      <c r="N246" s="370" t="s">
        <v>44</v>
      </c>
      <c r="O246" s="419">
        <v>12</v>
      </c>
      <c r="P246" s="419">
        <v>12</v>
      </c>
      <c r="Q246" s="375">
        <v>12</v>
      </c>
      <c r="R246" s="373">
        <v>12</v>
      </c>
      <c r="S246" s="373">
        <v>12</v>
      </c>
      <c r="T246" s="373">
        <v>12</v>
      </c>
      <c r="U246" s="415">
        <f>AP246/AP245</f>
        <v>1</v>
      </c>
      <c r="V246" s="95">
        <v>3</v>
      </c>
      <c r="W246" s="181" t="s">
        <v>442</v>
      </c>
      <c r="X246" s="416"/>
      <c r="Y246" s="142"/>
      <c r="Z246" s="141">
        <v>20304000</v>
      </c>
      <c r="AA246" s="101">
        <v>20304000</v>
      </c>
      <c r="AB246" s="416"/>
      <c r="AC246" s="142"/>
      <c r="AD246" s="416"/>
      <c r="AE246" s="142"/>
      <c r="AF246" s="416"/>
      <c r="AG246" s="142"/>
      <c r="AH246" s="416"/>
      <c r="AI246" s="142"/>
      <c r="AJ246" s="416"/>
      <c r="AK246" s="142"/>
      <c r="AL246" s="416"/>
      <c r="AM246" s="142"/>
      <c r="AN246" s="416"/>
      <c r="AO246" s="142"/>
      <c r="AP246" s="99">
        <f>+X246+Z246+AB246+AD246+AF246+AH246+AJ246+AL246+AN246</f>
        <v>20304000</v>
      </c>
      <c r="AQ246" s="100">
        <f>Y246+AA246+AC246+AE246+AG246+AI246+AK246+AM246+AO246</f>
        <v>20304000</v>
      </c>
      <c r="AR246" s="109"/>
      <c r="AS246" s="192">
        <v>20913120</v>
      </c>
      <c r="AT246" s="109"/>
      <c r="AU246" s="109"/>
      <c r="AV246" s="109"/>
      <c r="AW246" s="109"/>
      <c r="AX246" s="109"/>
      <c r="AY246" s="109"/>
      <c r="AZ246" s="109"/>
      <c r="BA246" s="109">
        <f>SUM(AR246:AY246)+AZ246</f>
        <v>20913120</v>
      </c>
      <c r="BB246" s="192"/>
      <c r="BC246" s="192">
        <v>21540513.600000001</v>
      </c>
      <c r="BD246" s="192"/>
      <c r="BE246" s="192"/>
      <c r="BF246" s="192"/>
      <c r="BG246" s="192"/>
      <c r="BH246" s="192"/>
      <c r="BI246" s="192"/>
      <c r="BJ246" s="192"/>
      <c r="BK246" s="192">
        <f>SUM(BB246:BJ246)</f>
        <v>21540513.600000001</v>
      </c>
      <c r="BL246" s="109"/>
      <c r="BM246" s="109">
        <v>22186729.008000001</v>
      </c>
      <c r="BN246" s="109"/>
      <c r="BO246" s="109"/>
      <c r="BP246" s="109"/>
      <c r="BQ246" s="109"/>
      <c r="BR246" s="109"/>
      <c r="BS246" s="109"/>
      <c r="BT246" s="109"/>
      <c r="BU246" s="109">
        <f>SUM(BL246:BT246)</f>
        <v>22186729.008000001</v>
      </c>
      <c r="BV246" s="103">
        <f t="shared" si="101"/>
        <v>129280725.21600001</v>
      </c>
    </row>
    <row r="247" spans="1:74" ht="22.5" customHeight="1" x14ac:dyDescent="0.2">
      <c r="A247" s="84"/>
      <c r="B247" s="84"/>
      <c r="C247" s="173"/>
      <c r="D247" s="420">
        <v>14</v>
      </c>
      <c r="E247" s="170" t="s">
        <v>577</v>
      </c>
      <c r="F247" s="421"/>
      <c r="G247" s="421"/>
      <c r="H247" s="421"/>
      <c r="I247" s="358"/>
      <c r="J247" s="61"/>
      <c r="K247" s="61"/>
      <c r="L247" s="62"/>
      <c r="M247" s="60"/>
      <c r="N247" s="63"/>
      <c r="O247" s="61"/>
      <c r="P247" s="61"/>
      <c r="Q247" s="64"/>
      <c r="R247" s="61"/>
      <c r="S247" s="61"/>
      <c r="T247" s="60"/>
      <c r="U247" s="171"/>
      <c r="V247" s="60"/>
      <c r="W247" s="60"/>
      <c r="X247" s="66">
        <f t="shared" ref="X247:AO247" si="114">X248+X252+X254+X258+X261</f>
        <v>0</v>
      </c>
      <c r="Y247" s="66">
        <f t="shared" si="114"/>
        <v>0</v>
      </c>
      <c r="Z247" s="66">
        <f t="shared" si="114"/>
        <v>6087090859</v>
      </c>
      <c r="AA247" s="66">
        <f t="shared" si="114"/>
        <v>6456847097</v>
      </c>
      <c r="AB247" s="66">
        <f t="shared" si="114"/>
        <v>310000000</v>
      </c>
      <c r="AC247" s="66">
        <f t="shared" si="114"/>
        <v>310000000</v>
      </c>
      <c r="AD247" s="66">
        <f t="shared" si="114"/>
        <v>1418763856</v>
      </c>
      <c r="AE247" s="66">
        <f t="shared" si="114"/>
        <v>1420369214</v>
      </c>
      <c r="AF247" s="66">
        <f t="shared" si="114"/>
        <v>0</v>
      </c>
      <c r="AG247" s="66">
        <f t="shared" si="114"/>
        <v>0</v>
      </c>
      <c r="AH247" s="66">
        <f t="shared" si="114"/>
        <v>0</v>
      </c>
      <c r="AI247" s="66">
        <f t="shared" si="114"/>
        <v>0</v>
      </c>
      <c r="AJ247" s="66">
        <f t="shared" si="114"/>
        <v>0</v>
      </c>
      <c r="AK247" s="66">
        <f t="shared" si="114"/>
        <v>0</v>
      </c>
      <c r="AL247" s="66">
        <f t="shared" si="114"/>
        <v>10755597576</v>
      </c>
      <c r="AM247" s="66">
        <f t="shared" si="114"/>
        <v>10609236816</v>
      </c>
      <c r="AN247" s="66">
        <f t="shared" si="114"/>
        <v>0</v>
      </c>
      <c r="AO247" s="66">
        <f t="shared" si="114"/>
        <v>0</v>
      </c>
      <c r="AP247" s="67">
        <f>AP248+AP252+AP254+AP258+AP261</f>
        <v>18571452291</v>
      </c>
      <c r="AQ247" s="66">
        <f>AQ248+AQ252+AQ254+AQ258+AQ261</f>
        <v>18796453127</v>
      </c>
      <c r="AR247" s="68"/>
      <c r="AS247" s="68"/>
      <c r="AT247" s="68"/>
      <c r="AU247" s="68"/>
      <c r="AV247" s="68"/>
      <c r="AW247" s="68"/>
      <c r="AX247" s="68"/>
      <c r="AY247" s="68"/>
      <c r="AZ247" s="68"/>
      <c r="BA247" s="68">
        <f>BA248+BA252+BA254+BA258+BA261</f>
        <v>11769666528.780001</v>
      </c>
      <c r="BB247" s="68"/>
      <c r="BC247" s="68"/>
      <c r="BD247" s="68"/>
      <c r="BE247" s="68"/>
      <c r="BF247" s="68"/>
      <c r="BG247" s="68"/>
      <c r="BH247" s="68"/>
      <c r="BI247" s="68"/>
      <c r="BJ247" s="68"/>
      <c r="BK247" s="68">
        <f>BK248+BK252+BK254+BK258+BK261</f>
        <v>11963756525.653402</v>
      </c>
      <c r="BL247" s="68"/>
      <c r="BM247" s="68"/>
      <c r="BN247" s="68"/>
      <c r="BO247" s="68"/>
      <c r="BP247" s="68"/>
      <c r="BQ247" s="68"/>
      <c r="BR247" s="68"/>
      <c r="BS247" s="68"/>
      <c r="BT247" s="68"/>
      <c r="BU247" s="68">
        <f>BU248+BU252+BU254+BU258+BU261</f>
        <v>12218169220.415003</v>
      </c>
      <c r="BV247" s="172">
        <f t="shared" si="101"/>
        <v>35951592274.848404</v>
      </c>
    </row>
    <row r="248" spans="1:74" ht="22.5" customHeight="1" x14ac:dyDescent="0.2">
      <c r="A248" s="84"/>
      <c r="B248" s="84"/>
      <c r="C248" s="173"/>
      <c r="D248" s="169"/>
      <c r="E248" s="71">
        <v>50</v>
      </c>
      <c r="F248" s="72" t="s">
        <v>578</v>
      </c>
      <c r="G248" s="75"/>
      <c r="H248" s="75"/>
      <c r="I248" s="71"/>
      <c r="J248" s="72"/>
      <c r="K248" s="75"/>
      <c r="L248" s="74"/>
      <c r="M248" s="76"/>
      <c r="N248" s="77"/>
      <c r="O248" s="75"/>
      <c r="P248" s="75"/>
      <c r="Q248" s="78"/>
      <c r="R248" s="75"/>
      <c r="S248" s="75"/>
      <c r="T248" s="76"/>
      <c r="U248" s="174"/>
      <c r="V248" s="76"/>
      <c r="W248" s="76"/>
      <c r="X248" s="80">
        <f t="shared" ref="X248:AO248" si="115">SUM(X249:X251)</f>
        <v>0</v>
      </c>
      <c r="Y248" s="80">
        <f t="shared" si="115"/>
        <v>0</v>
      </c>
      <c r="Z248" s="80">
        <f t="shared" si="115"/>
        <v>5635916899</v>
      </c>
      <c r="AA248" s="80">
        <f t="shared" si="115"/>
        <v>6005673137</v>
      </c>
      <c r="AB248" s="80">
        <f t="shared" si="115"/>
        <v>0</v>
      </c>
      <c r="AC248" s="80">
        <f t="shared" si="115"/>
        <v>0</v>
      </c>
      <c r="AD248" s="80">
        <f t="shared" si="115"/>
        <v>1418763856</v>
      </c>
      <c r="AE248" s="80">
        <f t="shared" si="115"/>
        <v>1420369214</v>
      </c>
      <c r="AF248" s="80">
        <f t="shared" si="115"/>
        <v>0</v>
      </c>
      <c r="AG248" s="80">
        <f t="shared" si="115"/>
        <v>0</v>
      </c>
      <c r="AH248" s="80">
        <f t="shared" si="115"/>
        <v>0</v>
      </c>
      <c r="AI248" s="80">
        <f t="shared" si="115"/>
        <v>0</v>
      </c>
      <c r="AJ248" s="80">
        <f t="shared" si="115"/>
        <v>0</v>
      </c>
      <c r="AK248" s="80">
        <f t="shared" si="115"/>
        <v>0</v>
      </c>
      <c r="AL248" s="80">
        <f t="shared" si="115"/>
        <v>10755597576</v>
      </c>
      <c r="AM248" s="80">
        <f t="shared" si="115"/>
        <v>10609236816</v>
      </c>
      <c r="AN248" s="80">
        <f t="shared" si="115"/>
        <v>0</v>
      </c>
      <c r="AO248" s="80">
        <f t="shared" si="115"/>
        <v>0</v>
      </c>
      <c r="AP248" s="81">
        <f>SUM(AP249:AP251)</f>
        <v>17810278331</v>
      </c>
      <c r="AQ248" s="80">
        <f>SUM(AQ249:AQ251)</f>
        <v>18035279167</v>
      </c>
      <c r="AR248" s="82"/>
      <c r="AS248" s="82"/>
      <c r="AT248" s="82"/>
      <c r="AU248" s="82"/>
      <c r="AV248" s="82"/>
      <c r="AW248" s="82"/>
      <c r="AX248" s="82"/>
      <c r="AY248" s="82"/>
      <c r="AZ248" s="82"/>
      <c r="BA248" s="82">
        <f>SUM(BA249:BA251)</f>
        <v>11222062768.780001</v>
      </c>
      <c r="BB248" s="82"/>
      <c r="BC248" s="82"/>
      <c r="BD248" s="82"/>
      <c r="BE248" s="82"/>
      <c r="BF248" s="82"/>
      <c r="BG248" s="82"/>
      <c r="BH248" s="82"/>
      <c r="BI248" s="82"/>
      <c r="BJ248" s="82"/>
      <c r="BK248" s="82">
        <f>SUM(BK249:BK251)</f>
        <v>11558724652.853401</v>
      </c>
      <c r="BL248" s="82"/>
      <c r="BM248" s="82"/>
      <c r="BN248" s="82"/>
      <c r="BO248" s="82"/>
      <c r="BP248" s="82"/>
      <c r="BQ248" s="82"/>
      <c r="BR248" s="82"/>
      <c r="BS248" s="82"/>
      <c r="BT248" s="82"/>
      <c r="BU248" s="82">
        <f>SUM(BU249:BU251)</f>
        <v>11905486391.579002</v>
      </c>
      <c r="BV248" s="83">
        <f t="shared" si="101"/>
        <v>34686273813.212402</v>
      </c>
    </row>
    <row r="249" spans="1:74" ht="85.5" x14ac:dyDescent="0.2">
      <c r="A249" s="105">
        <v>166</v>
      </c>
      <c r="B249" s="84">
        <v>3</v>
      </c>
      <c r="C249" s="173"/>
      <c r="D249" s="173"/>
      <c r="E249" s="85">
        <v>28</v>
      </c>
      <c r="F249" s="422" t="s">
        <v>579</v>
      </c>
      <c r="G249" s="177">
        <v>0.5</v>
      </c>
      <c r="H249" s="177">
        <v>1</v>
      </c>
      <c r="I249" s="94">
        <v>166</v>
      </c>
      <c r="J249" s="90" t="s">
        <v>580</v>
      </c>
      <c r="K249" s="334" t="s">
        <v>581</v>
      </c>
      <c r="L249" s="414" t="s">
        <v>432</v>
      </c>
      <c r="M249" s="363">
        <v>2</v>
      </c>
      <c r="N249" s="370" t="s">
        <v>44</v>
      </c>
      <c r="O249" s="419">
        <v>1</v>
      </c>
      <c r="P249" s="419">
        <v>0.8</v>
      </c>
      <c r="Q249" s="375">
        <v>1</v>
      </c>
      <c r="R249" s="373">
        <v>1</v>
      </c>
      <c r="S249" s="373">
        <v>1</v>
      </c>
      <c r="T249" s="373">
        <v>1</v>
      </c>
      <c r="U249" s="423"/>
      <c r="V249" s="94">
        <v>3</v>
      </c>
      <c r="W249" s="91" t="s">
        <v>442</v>
      </c>
      <c r="X249" s="141"/>
      <c r="Y249" s="142"/>
      <c r="Z249" s="141"/>
      <c r="AA249" s="142"/>
      <c r="AB249" s="141"/>
      <c r="AC249" s="142"/>
      <c r="AD249" s="141"/>
      <c r="AE249" s="142"/>
      <c r="AF249" s="141"/>
      <c r="AG249" s="142"/>
      <c r="AH249" s="141"/>
      <c r="AI249" s="142"/>
      <c r="AJ249" s="141"/>
      <c r="AK249" s="142"/>
      <c r="AL249" s="141"/>
      <c r="AM249" s="142"/>
      <c r="AN249" s="141"/>
      <c r="AO249" s="142"/>
      <c r="AP249" s="99">
        <f>+X249+Z249+AB249+AD249+AF249+AH249+AJ249+AL249+AN249</f>
        <v>0</v>
      </c>
      <c r="AQ249" s="100">
        <f>Y249+AA249+AC249+AE249+AG249+AI249+AK249+AM249+AO249</f>
        <v>0</v>
      </c>
      <c r="AR249" s="109"/>
      <c r="AS249" s="109"/>
      <c r="AT249" s="109"/>
      <c r="AU249" s="109"/>
      <c r="AV249" s="109"/>
      <c r="AW249" s="109"/>
      <c r="AX249" s="109"/>
      <c r="AY249" s="109"/>
      <c r="AZ249" s="109"/>
      <c r="BA249" s="109"/>
      <c r="BB249" s="192"/>
      <c r="BC249" s="192"/>
      <c r="BD249" s="192"/>
      <c r="BE249" s="192"/>
      <c r="BF249" s="192"/>
      <c r="BG249" s="192"/>
      <c r="BH249" s="192"/>
      <c r="BI249" s="192"/>
      <c r="BJ249" s="192"/>
      <c r="BK249" s="192"/>
      <c r="BL249" s="109"/>
      <c r="BM249" s="109"/>
      <c r="BN249" s="109"/>
      <c r="BO249" s="109"/>
      <c r="BP249" s="109"/>
      <c r="BQ249" s="109"/>
      <c r="BR249" s="109"/>
      <c r="BS249" s="109"/>
      <c r="BT249" s="109"/>
      <c r="BU249" s="109"/>
      <c r="BV249" s="103">
        <f t="shared" si="101"/>
        <v>0</v>
      </c>
    </row>
    <row r="250" spans="1:74" s="104" customFormat="1" ht="84" customHeight="1" x14ac:dyDescent="0.25">
      <c r="A250" s="84">
        <v>167</v>
      </c>
      <c r="B250" s="84">
        <v>3</v>
      </c>
      <c r="C250" s="173"/>
      <c r="D250" s="173"/>
      <c r="E250" s="111"/>
      <c r="F250" s="424"/>
      <c r="G250" s="218"/>
      <c r="H250" s="218"/>
      <c r="I250" s="94">
        <v>167</v>
      </c>
      <c r="J250" s="90" t="s">
        <v>582</v>
      </c>
      <c r="K250" s="334" t="s">
        <v>583</v>
      </c>
      <c r="L250" s="414" t="s">
        <v>432</v>
      </c>
      <c r="M250" s="363">
        <v>2</v>
      </c>
      <c r="N250" s="370" t="s">
        <v>44</v>
      </c>
      <c r="O250" s="419">
        <v>15</v>
      </c>
      <c r="P250" s="419">
        <v>15</v>
      </c>
      <c r="Q250" s="375">
        <v>15</v>
      </c>
      <c r="R250" s="373">
        <v>15</v>
      </c>
      <c r="S250" s="373">
        <v>15</v>
      </c>
      <c r="T250" s="373">
        <v>15</v>
      </c>
      <c r="U250" s="340">
        <f>AP250/AP248</f>
        <v>1</v>
      </c>
      <c r="V250" s="94">
        <v>3</v>
      </c>
      <c r="W250" s="91" t="s">
        <v>442</v>
      </c>
      <c r="X250" s="141"/>
      <c r="Y250" s="142"/>
      <c r="Z250" s="425">
        <v>5635916899</v>
      </c>
      <c r="AA250" s="101">
        <v>6005673137</v>
      </c>
      <c r="AB250" s="141"/>
      <c r="AC250" s="142"/>
      <c r="AD250" s="231">
        <f>68256639+34500717+423437500+633752000+258817000</f>
        <v>1418763856</v>
      </c>
      <c r="AE250" s="136">
        <v>1420369214</v>
      </c>
      <c r="AF250" s="231"/>
      <c r="AG250" s="136"/>
      <c r="AH250" s="141"/>
      <c r="AI250" s="142"/>
      <c r="AJ250" s="141"/>
      <c r="AK250" s="142"/>
      <c r="AL250" s="136">
        <v>10755597576</v>
      </c>
      <c r="AM250" s="136">
        <v>10609236816</v>
      </c>
      <c r="AN250" s="141"/>
      <c r="AO250" s="142"/>
      <c r="AP250" s="99">
        <f>+X250+Z250+AB250+AD250+AF250+AH250+AJ250+AL250+AN250</f>
        <v>17810278331</v>
      </c>
      <c r="AQ250" s="100">
        <f>Y250+AA250+AC250+AE250+AG250+AI250+AK250+AM250+AO250</f>
        <v>18035279167</v>
      </c>
      <c r="AR250" s="109"/>
      <c r="AS250" s="109">
        <v>3887271835.7800002</v>
      </c>
      <c r="AT250" s="109"/>
      <c r="AU250" s="109"/>
      <c r="AV250" s="109"/>
      <c r="AW250" s="109"/>
      <c r="AX250" s="109"/>
      <c r="AY250" s="109">
        <v>7334790933</v>
      </c>
      <c r="AZ250" s="109"/>
      <c r="BA250" s="109">
        <f>SUM(AR250:AY250)+AZ250</f>
        <v>11222062768.780001</v>
      </c>
      <c r="BB250" s="192"/>
      <c r="BC250" s="426">
        <v>4003889990.8534002</v>
      </c>
      <c r="BD250" s="192"/>
      <c r="BE250" s="192"/>
      <c r="BF250" s="192"/>
      <c r="BG250" s="192"/>
      <c r="BH250" s="192"/>
      <c r="BI250" s="192">
        <v>7554834662</v>
      </c>
      <c r="BJ250" s="192"/>
      <c r="BK250" s="192">
        <f>SUM(BB250:BJ250)</f>
        <v>11558724652.853401</v>
      </c>
      <c r="BL250" s="192"/>
      <c r="BM250" s="146">
        <v>4124006690.5790024</v>
      </c>
      <c r="BN250" s="109"/>
      <c r="BO250" s="109"/>
      <c r="BP250" s="109"/>
      <c r="BQ250" s="109"/>
      <c r="BR250" s="109"/>
      <c r="BS250" s="426">
        <v>7781479701</v>
      </c>
      <c r="BT250" s="109"/>
      <c r="BU250" s="109">
        <f>SUM(BL250:BT250)</f>
        <v>11905486391.579002</v>
      </c>
      <c r="BV250" s="103">
        <f t="shared" si="101"/>
        <v>69372547626.424805</v>
      </c>
    </row>
    <row r="251" spans="1:74" ht="85.5" x14ac:dyDescent="0.2">
      <c r="A251" s="105">
        <v>168</v>
      </c>
      <c r="B251" s="84">
        <v>3</v>
      </c>
      <c r="C251" s="173"/>
      <c r="D251" s="173"/>
      <c r="E251" s="110"/>
      <c r="F251" s="427"/>
      <c r="G251" s="250"/>
      <c r="H251" s="250"/>
      <c r="I251" s="94">
        <v>168</v>
      </c>
      <c r="J251" s="90" t="s">
        <v>584</v>
      </c>
      <c r="K251" s="334" t="s">
        <v>585</v>
      </c>
      <c r="L251" s="414" t="s">
        <v>432</v>
      </c>
      <c r="M251" s="363">
        <v>2</v>
      </c>
      <c r="N251" s="370" t="s">
        <v>44</v>
      </c>
      <c r="O251" s="419">
        <v>7</v>
      </c>
      <c r="P251" s="419">
        <v>14</v>
      </c>
      <c r="Q251" s="375">
        <v>14</v>
      </c>
      <c r="R251" s="373">
        <v>14</v>
      </c>
      <c r="S251" s="373">
        <v>14</v>
      </c>
      <c r="T251" s="373">
        <v>14</v>
      </c>
      <c r="U251" s="423"/>
      <c r="V251" s="94">
        <v>3</v>
      </c>
      <c r="W251" s="91" t="s">
        <v>442</v>
      </c>
      <c r="X251" s="141"/>
      <c r="Y251" s="142"/>
      <c r="Z251" s="141"/>
      <c r="AA251" s="142"/>
      <c r="AB251" s="141"/>
      <c r="AC251" s="142"/>
      <c r="AD251" s="141"/>
      <c r="AE251" s="142"/>
      <c r="AF251" s="141"/>
      <c r="AG251" s="142"/>
      <c r="AH251" s="141"/>
      <c r="AI251" s="142"/>
      <c r="AJ251" s="141"/>
      <c r="AK251" s="142"/>
      <c r="AL251" s="141"/>
      <c r="AM251" s="142"/>
      <c r="AN251" s="141"/>
      <c r="AO251" s="142"/>
      <c r="AP251" s="99">
        <f>+X251+Z251+AB251+AD251+AF251+AH251+AJ251+AL251+AN251</f>
        <v>0</v>
      </c>
      <c r="AQ251" s="100">
        <f>Y251+AA251+AC251+AE251+AG251+AI251+AK251+AM251+AO251</f>
        <v>0</v>
      </c>
      <c r="AR251" s="109"/>
      <c r="AS251" s="109"/>
      <c r="AT251" s="109"/>
      <c r="AU251" s="109"/>
      <c r="AV251" s="109"/>
      <c r="AW251" s="109"/>
      <c r="AX251" s="109"/>
      <c r="AY251" s="109"/>
      <c r="AZ251" s="109"/>
      <c r="BA251" s="109"/>
      <c r="BB251" s="192"/>
      <c r="BC251" s="192"/>
      <c r="BD251" s="192"/>
      <c r="BE251" s="192"/>
      <c r="BF251" s="192"/>
      <c r="BG251" s="192"/>
      <c r="BH251" s="192"/>
      <c r="BI251" s="192"/>
      <c r="BJ251" s="192"/>
      <c r="BK251" s="192"/>
      <c r="BL251" s="109"/>
      <c r="BM251" s="109"/>
      <c r="BN251" s="109"/>
      <c r="BO251" s="109"/>
      <c r="BP251" s="109"/>
      <c r="BQ251" s="109"/>
      <c r="BR251" s="109"/>
      <c r="BS251" s="109"/>
      <c r="BT251" s="109"/>
      <c r="BU251" s="109"/>
      <c r="BV251" s="103">
        <f t="shared" si="101"/>
        <v>0</v>
      </c>
    </row>
    <row r="252" spans="1:74" ht="27.75" customHeight="1" x14ac:dyDescent="0.2">
      <c r="A252" s="105"/>
      <c r="B252" s="84"/>
      <c r="C252" s="173"/>
      <c r="D252" s="173"/>
      <c r="E252" s="71">
        <v>51</v>
      </c>
      <c r="F252" s="72" t="s">
        <v>586</v>
      </c>
      <c r="G252" s="75"/>
      <c r="H252" s="75"/>
      <c r="I252" s="74"/>
      <c r="J252" s="75"/>
      <c r="K252" s="75"/>
      <c r="L252" s="74"/>
      <c r="M252" s="76"/>
      <c r="N252" s="77"/>
      <c r="O252" s="75"/>
      <c r="P252" s="75"/>
      <c r="Q252" s="78"/>
      <c r="R252" s="75"/>
      <c r="S252" s="75"/>
      <c r="T252" s="76"/>
      <c r="U252" s="174"/>
      <c r="V252" s="76"/>
      <c r="W252" s="76"/>
      <c r="X252" s="80">
        <f t="shared" ref="X252:AO252" si="116">SUM(X253)</f>
        <v>0</v>
      </c>
      <c r="Y252" s="80">
        <f t="shared" si="116"/>
        <v>0</v>
      </c>
      <c r="Z252" s="80">
        <f t="shared" si="116"/>
        <v>53645960</v>
      </c>
      <c r="AA252" s="80">
        <f t="shared" si="116"/>
        <v>53645960</v>
      </c>
      <c r="AB252" s="80">
        <f t="shared" si="116"/>
        <v>0</v>
      </c>
      <c r="AC252" s="80">
        <f t="shared" si="116"/>
        <v>0</v>
      </c>
      <c r="AD252" s="80">
        <f t="shared" si="116"/>
        <v>0</v>
      </c>
      <c r="AE252" s="80">
        <f t="shared" si="116"/>
        <v>0</v>
      </c>
      <c r="AF252" s="80">
        <f t="shared" si="116"/>
        <v>0</v>
      </c>
      <c r="AG252" s="80">
        <f t="shared" si="116"/>
        <v>0</v>
      </c>
      <c r="AH252" s="80">
        <f t="shared" si="116"/>
        <v>0</v>
      </c>
      <c r="AI252" s="80">
        <f t="shared" si="116"/>
        <v>0</v>
      </c>
      <c r="AJ252" s="80">
        <f t="shared" si="116"/>
        <v>0</v>
      </c>
      <c r="AK252" s="80">
        <f t="shared" si="116"/>
        <v>0</v>
      </c>
      <c r="AL252" s="80">
        <f t="shared" si="116"/>
        <v>0</v>
      </c>
      <c r="AM252" s="80">
        <f t="shared" si="116"/>
        <v>0</v>
      </c>
      <c r="AN252" s="80">
        <f t="shared" si="116"/>
        <v>0</v>
      </c>
      <c r="AO252" s="80">
        <f t="shared" si="116"/>
        <v>0</v>
      </c>
      <c r="AP252" s="81">
        <f>SUM(AP253)</f>
        <v>53645960</v>
      </c>
      <c r="AQ252" s="80">
        <f>SUM(AQ253)</f>
        <v>53645960</v>
      </c>
      <c r="AR252" s="82"/>
      <c r="AS252" s="82"/>
      <c r="AT252" s="82"/>
      <c r="AU252" s="82"/>
      <c r="AV252" s="82"/>
      <c r="AW252" s="82"/>
      <c r="AX252" s="82"/>
      <c r="AY252" s="82"/>
      <c r="AZ252" s="82"/>
      <c r="BA252" s="82">
        <f>SUM(BA253)</f>
        <v>44149920</v>
      </c>
      <c r="BB252" s="82"/>
      <c r="BC252" s="82"/>
      <c r="BD252" s="82"/>
      <c r="BE252" s="82"/>
      <c r="BF252" s="82"/>
      <c r="BG252" s="82"/>
      <c r="BH252" s="82"/>
      <c r="BI252" s="82"/>
      <c r="BJ252" s="82"/>
      <c r="BK252" s="82">
        <f>SUM(BK253)</f>
        <v>45474417.600000001</v>
      </c>
      <c r="BL252" s="82"/>
      <c r="BM252" s="82"/>
      <c r="BN252" s="82"/>
      <c r="BO252" s="82"/>
      <c r="BP252" s="82"/>
      <c r="BQ252" s="82"/>
      <c r="BR252" s="82"/>
      <c r="BS252" s="82"/>
      <c r="BT252" s="82"/>
      <c r="BU252" s="82">
        <f>SUM(BU253)</f>
        <v>46838650.128000006</v>
      </c>
      <c r="BV252" s="83">
        <f t="shared" si="101"/>
        <v>136462987.72799999</v>
      </c>
    </row>
    <row r="253" spans="1:74" ht="89.25" customHeight="1" x14ac:dyDescent="0.2">
      <c r="A253" s="84">
        <v>169</v>
      </c>
      <c r="B253" s="84">
        <v>3</v>
      </c>
      <c r="C253" s="173"/>
      <c r="D253" s="173"/>
      <c r="E253" s="117" t="s">
        <v>587</v>
      </c>
      <c r="F253" s="114" t="s">
        <v>588</v>
      </c>
      <c r="G253" s="428">
        <v>0.6</v>
      </c>
      <c r="H253" s="428">
        <v>1</v>
      </c>
      <c r="I253" s="94">
        <v>169</v>
      </c>
      <c r="J253" s="90" t="s">
        <v>589</v>
      </c>
      <c r="K253" s="334" t="s">
        <v>590</v>
      </c>
      <c r="L253" s="414" t="s">
        <v>432</v>
      </c>
      <c r="M253" s="363">
        <v>2</v>
      </c>
      <c r="N253" s="370" t="s">
        <v>44</v>
      </c>
      <c r="O253" s="419">
        <v>8</v>
      </c>
      <c r="P253" s="419">
        <v>12</v>
      </c>
      <c r="Q253" s="375">
        <v>12</v>
      </c>
      <c r="R253" s="373">
        <v>12</v>
      </c>
      <c r="S253" s="373">
        <v>12</v>
      </c>
      <c r="T253" s="373">
        <v>12</v>
      </c>
      <c r="U253" s="273">
        <f>AP253/AP252</f>
        <v>1</v>
      </c>
      <c r="V253" s="94">
        <v>3</v>
      </c>
      <c r="W253" s="91" t="s">
        <v>442</v>
      </c>
      <c r="X253" s="231"/>
      <c r="Y253" s="136"/>
      <c r="Z253" s="101">
        <f>42864000+10781960</f>
        <v>53645960</v>
      </c>
      <c r="AA253" s="101">
        <v>53645960</v>
      </c>
      <c r="AB253" s="231"/>
      <c r="AC253" s="136"/>
      <c r="AD253" s="231"/>
      <c r="AE253" s="136"/>
      <c r="AF253" s="231"/>
      <c r="AG253" s="136"/>
      <c r="AH253" s="231"/>
      <c r="AI253" s="136"/>
      <c r="AJ253" s="231"/>
      <c r="AK253" s="136"/>
      <c r="AL253" s="231"/>
      <c r="AM253" s="136"/>
      <c r="AN253" s="231"/>
      <c r="AO253" s="136"/>
      <c r="AP253" s="99">
        <f>+X253+Z253+AB253+AD253+AF253+AH253+AJ253+AL253+AN253</f>
        <v>53645960</v>
      </c>
      <c r="AQ253" s="100">
        <f>Y253+AA253+AC253+AE253+AG253+AI253+AK253+AM253+AO253</f>
        <v>53645960</v>
      </c>
      <c r="AR253" s="109"/>
      <c r="AS253" s="192">
        <v>44149920</v>
      </c>
      <c r="AT253" s="109"/>
      <c r="AU253" s="109"/>
      <c r="AV253" s="109"/>
      <c r="AW253" s="109"/>
      <c r="AX253" s="109"/>
      <c r="AY253" s="109"/>
      <c r="AZ253" s="109"/>
      <c r="BA253" s="109">
        <f>SUM(AR253:AY253)+AZ253</f>
        <v>44149920</v>
      </c>
      <c r="BB253" s="192"/>
      <c r="BC253" s="192">
        <v>45474417.600000001</v>
      </c>
      <c r="BD253" s="192"/>
      <c r="BE253" s="192"/>
      <c r="BF253" s="192"/>
      <c r="BG253" s="192"/>
      <c r="BH253" s="192"/>
      <c r="BI253" s="192"/>
      <c r="BJ253" s="192"/>
      <c r="BK253" s="192">
        <f>SUM(BC253:BJ253)+BB253</f>
        <v>45474417.600000001</v>
      </c>
      <c r="BL253" s="109"/>
      <c r="BM253" s="109">
        <v>46838650.128000006</v>
      </c>
      <c r="BN253" s="109"/>
      <c r="BO253" s="109"/>
      <c r="BP253" s="109"/>
      <c r="BQ253" s="109"/>
      <c r="BR253" s="109"/>
      <c r="BS253" s="109"/>
      <c r="BT253" s="109"/>
      <c r="BU253" s="109">
        <f>SUM(BM253:BT253)+BL253</f>
        <v>46838650.128000006</v>
      </c>
      <c r="BV253" s="103">
        <f t="shared" si="101"/>
        <v>272925975.45600003</v>
      </c>
    </row>
    <row r="254" spans="1:74" ht="26.25" customHeight="1" x14ac:dyDescent="0.2">
      <c r="A254" s="84"/>
      <c r="B254" s="84"/>
      <c r="C254" s="173"/>
      <c r="D254" s="173"/>
      <c r="E254" s="71">
        <v>52</v>
      </c>
      <c r="F254" s="72" t="s">
        <v>591</v>
      </c>
      <c r="G254" s="125"/>
      <c r="H254" s="125"/>
      <c r="I254" s="74"/>
      <c r="J254" s="75"/>
      <c r="K254" s="125"/>
      <c r="L254" s="74"/>
      <c r="M254" s="74"/>
      <c r="N254" s="126"/>
      <c r="O254" s="125"/>
      <c r="P254" s="125"/>
      <c r="Q254" s="127"/>
      <c r="R254" s="125"/>
      <c r="S254" s="125"/>
      <c r="T254" s="74"/>
      <c r="U254" s="128"/>
      <c r="V254" s="74"/>
      <c r="W254" s="74"/>
      <c r="X254" s="129">
        <f t="shared" ref="X254:AO254" si="117">SUM(X255:X257)</f>
        <v>0</v>
      </c>
      <c r="Y254" s="129">
        <f t="shared" si="117"/>
        <v>0</v>
      </c>
      <c r="Z254" s="129">
        <f t="shared" si="117"/>
        <v>140000000</v>
      </c>
      <c r="AA254" s="129">
        <f t="shared" si="117"/>
        <v>140000000</v>
      </c>
      <c r="AB254" s="129">
        <f t="shared" si="117"/>
        <v>310000000</v>
      </c>
      <c r="AC254" s="129">
        <f t="shared" si="117"/>
        <v>310000000</v>
      </c>
      <c r="AD254" s="129">
        <f t="shared" si="117"/>
        <v>0</v>
      </c>
      <c r="AE254" s="129">
        <f t="shared" si="117"/>
        <v>0</v>
      </c>
      <c r="AF254" s="129">
        <f t="shared" si="117"/>
        <v>0</v>
      </c>
      <c r="AG254" s="129">
        <f t="shared" si="117"/>
        <v>0</v>
      </c>
      <c r="AH254" s="129">
        <f t="shared" si="117"/>
        <v>0</v>
      </c>
      <c r="AI254" s="129">
        <f t="shared" si="117"/>
        <v>0</v>
      </c>
      <c r="AJ254" s="129">
        <f t="shared" si="117"/>
        <v>0</v>
      </c>
      <c r="AK254" s="129">
        <f t="shared" si="117"/>
        <v>0</v>
      </c>
      <c r="AL254" s="129">
        <f t="shared" si="117"/>
        <v>0</v>
      </c>
      <c r="AM254" s="129">
        <f t="shared" si="117"/>
        <v>0</v>
      </c>
      <c r="AN254" s="129">
        <f t="shared" si="117"/>
        <v>0</v>
      </c>
      <c r="AO254" s="129">
        <f t="shared" si="117"/>
        <v>0</v>
      </c>
      <c r="AP254" s="130">
        <f>SUM(AP255:AP257)</f>
        <v>450000000</v>
      </c>
      <c r="AQ254" s="129">
        <f>SUM(AQ255:AQ257)</f>
        <v>450000000</v>
      </c>
      <c r="AR254" s="131"/>
      <c r="AS254" s="131"/>
      <c r="AT254" s="131"/>
      <c r="AU254" s="131"/>
      <c r="AV254" s="131"/>
      <c r="AW254" s="131"/>
      <c r="AX254" s="131"/>
      <c r="AY254" s="131"/>
      <c r="AZ254" s="131"/>
      <c r="BA254" s="131">
        <f>SUM(BA255:BA257)</f>
        <v>444199999.99999952</v>
      </c>
      <c r="BB254" s="131"/>
      <c r="BC254" s="131"/>
      <c r="BD254" s="131"/>
      <c r="BE254" s="131"/>
      <c r="BF254" s="131"/>
      <c r="BG254" s="131"/>
      <c r="BH254" s="131"/>
      <c r="BI254" s="131"/>
      <c r="BJ254" s="131"/>
      <c r="BK254" s="131">
        <f>SUM(BK255:BK257)</f>
        <v>298526000</v>
      </c>
      <c r="BL254" s="131"/>
      <c r="BM254" s="131"/>
      <c r="BN254" s="131"/>
      <c r="BO254" s="131"/>
      <c r="BP254" s="131"/>
      <c r="BQ254" s="131"/>
      <c r="BR254" s="131"/>
      <c r="BS254" s="131"/>
      <c r="BT254" s="131"/>
      <c r="BU254" s="131">
        <f>SUM(BU255:BU257)</f>
        <v>202981780</v>
      </c>
      <c r="BV254" s="132">
        <f t="shared" si="101"/>
        <v>945707779.99999952</v>
      </c>
    </row>
    <row r="255" spans="1:74" ht="71.25" x14ac:dyDescent="0.2">
      <c r="A255" s="105">
        <v>170</v>
      </c>
      <c r="B255" s="84">
        <v>3</v>
      </c>
      <c r="C255" s="173"/>
      <c r="D255" s="173"/>
      <c r="E255" s="85">
        <v>28</v>
      </c>
      <c r="F255" s="422" t="s">
        <v>579</v>
      </c>
      <c r="G255" s="177">
        <v>0.5</v>
      </c>
      <c r="H255" s="177">
        <v>1</v>
      </c>
      <c r="I255" s="94">
        <v>170</v>
      </c>
      <c r="J255" s="90" t="s">
        <v>592</v>
      </c>
      <c r="K255" s="429" t="s">
        <v>593</v>
      </c>
      <c r="L255" s="414" t="s">
        <v>432</v>
      </c>
      <c r="M255" s="363">
        <v>2</v>
      </c>
      <c r="N255" s="370" t="s">
        <v>44</v>
      </c>
      <c r="O255" s="387">
        <v>14</v>
      </c>
      <c r="P255" s="387">
        <v>14</v>
      </c>
      <c r="Q255" s="375">
        <v>14</v>
      </c>
      <c r="R255" s="373">
        <v>14</v>
      </c>
      <c r="S255" s="373">
        <v>14</v>
      </c>
      <c r="T255" s="373">
        <v>14</v>
      </c>
      <c r="U255" s="340">
        <f>AP255/$AP$254</f>
        <v>8.8888888888888892E-2</v>
      </c>
      <c r="V255" s="95">
        <v>3</v>
      </c>
      <c r="W255" s="92" t="s">
        <v>442</v>
      </c>
      <c r="X255" s="141"/>
      <c r="Y255" s="142"/>
      <c r="Z255" s="142">
        <v>40000000</v>
      </c>
      <c r="AA255" s="101">
        <v>40000000</v>
      </c>
      <c r="AB255" s="136"/>
      <c r="AC255" s="136"/>
      <c r="AD255" s="231"/>
      <c r="AE255" s="136"/>
      <c r="AF255" s="141"/>
      <c r="AG255" s="142"/>
      <c r="AH255" s="141"/>
      <c r="AI255" s="142"/>
      <c r="AJ255" s="141"/>
      <c r="AK255" s="142"/>
      <c r="AL255" s="141"/>
      <c r="AM255" s="142"/>
      <c r="AN255" s="141"/>
      <c r="AO255" s="142"/>
      <c r="AP255" s="99">
        <f>+X255+Z255+AB255+AD255+AF255+AH255+AJ255+AL255+AN255</f>
        <v>40000000</v>
      </c>
      <c r="AQ255" s="100">
        <f>Y255+AA255+AC255+AE255+AG255+AI255+AK255+AM255+AO255</f>
        <v>40000000</v>
      </c>
      <c r="AR255" s="109"/>
      <c r="AS255" s="192">
        <v>39484444.444444448</v>
      </c>
      <c r="AT255" s="109"/>
      <c r="AU255" s="109"/>
      <c r="AV255" s="109"/>
      <c r="AW255" s="109"/>
      <c r="AX255" s="109"/>
      <c r="AY255" s="109"/>
      <c r="AZ255" s="109"/>
      <c r="BA255" s="109">
        <f>SUM(AR255:AY255)+AZ255</f>
        <v>39484444.444444448</v>
      </c>
      <c r="BB255" s="192"/>
      <c r="BC255" s="192">
        <v>26500000</v>
      </c>
      <c r="BD255" s="192"/>
      <c r="BE255" s="192"/>
      <c r="BF255" s="192"/>
      <c r="BG255" s="192"/>
      <c r="BH255" s="192"/>
      <c r="BI255" s="192"/>
      <c r="BJ255" s="192"/>
      <c r="BK255" s="192">
        <f>SUM(BB255:BJ255)</f>
        <v>26500000</v>
      </c>
      <c r="BL255" s="109"/>
      <c r="BM255" s="109">
        <v>30781780</v>
      </c>
      <c r="BN255" s="109"/>
      <c r="BO255" s="109"/>
      <c r="BP255" s="109"/>
      <c r="BQ255" s="109"/>
      <c r="BR255" s="109"/>
      <c r="BS255" s="109"/>
      <c r="BT255" s="109"/>
      <c r="BU255" s="109">
        <f>SUM(BL255:BT255)</f>
        <v>30781780</v>
      </c>
      <c r="BV255" s="103">
        <f t="shared" si="101"/>
        <v>193532448.8888889</v>
      </c>
    </row>
    <row r="256" spans="1:74" ht="98.25" customHeight="1" x14ac:dyDescent="0.2">
      <c r="A256" s="84">
        <v>171</v>
      </c>
      <c r="B256" s="84">
        <v>3</v>
      </c>
      <c r="C256" s="173"/>
      <c r="D256" s="173"/>
      <c r="E256" s="111"/>
      <c r="F256" s="424"/>
      <c r="G256" s="218"/>
      <c r="H256" s="218"/>
      <c r="I256" s="94">
        <v>171</v>
      </c>
      <c r="J256" s="90" t="s">
        <v>594</v>
      </c>
      <c r="K256" s="429" t="s">
        <v>595</v>
      </c>
      <c r="L256" s="414" t="s">
        <v>432</v>
      </c>
      <c r="M256" s="363">
        <v>2</v>
      </c>
      <c r="N256" s="370" t="s">
        <v>44</v>
      </c>
      <c r="O256" s="387">
        <v>1</v>
      </c>
      <c r="P256" s="387">
        <v>1</v>
      </c>
      <c r="Q256" s="375">
        <v>1</v>
      </c>
      <c r="R256" s="373">
        <v>1</v>
      </c>
      <c r="S256" s="373">
        <v>1</v>
      </c>
      <c r="T256" s="373">
        <v>1</v>
      </c>
      <c r="U256" s="340">
        <f>AP256/$AP$254</f>
        <v>0.22222222222222221</v>
      </c>
      <c r="V256" s="95">
        <v>3</v>
      </c>
      <c r="W256" s="92" t="s">
        <v>442</v>
      </c>
      <c r="X256" s="141"/>
      <c r="Y256" s="142"/>
      <c r="Z256" s="142">
        <v>100000000</v>
      </c>
      <c r="AA256" s="101">
        <v>100000000</v>
      </c>
      <c r="AB256" s="136"/>
      <c r="AC256" s="136"/>
      <c r="AD256" s="231"/>
      <c r="AE256" s="136"/>
      <c r="AF256" s="141"/>
      <c r="AG256" s="142"/>
      <c r="AH256" s="141"/>
      <c r="AI256" s="142"/>
      <c r="AJ256" s="141"/>
      <c r="AK256" s="142"/>
      <c r="AL256" s="141"/>
      <c r="AM256" s="142"/>
      <c r="AN256" s="141"/>
      <c r="AO256" s="142"/>
      <c r="AP256" s="99">
        <f>+X256+Z256+AB256+AD256+AF256+AH256+AJ256+AL256+AN256</f>
        <v>100000000</v>
      </c>
      <c r="AQ256" s="100">
        <f>Y256+AA256+AC256+AE256+AG256+AI256+AK256+AM256+AO256</f>
        <v>100000000</v>
      </c>
      <c r="AR256" s="109"/>
      <c r="AS256" s="192">
        <v>98711111.111111104</v>
      </c>
      <c r="AT256" s="109"/>
      <c r="AU256" s="109"/>
      <c r="AV256" s="109"/>
      <c r="AW256" s="109"/>
      <c r="AX256" s="109"/>
      <c r="AY256" s="109"/>
      <c r="AZ256" s="109"/>
      <c r="BA256" s="109">
        <f>SUM(AR256:AY256)+AZ256</f>
        <v>98711111.111111104</v>
      </c>
      <c r="BB256" s="192"/>
      <c r="BC256" s="192">
        <v>66300000</v>
      </c>
      <c r="BD256" s="192"/>
      <c r="BE256" s="192"/>
      <c r="BF256" s="192"/>
      <c r="BG256" s="192"/>
      <c r="BH256" s="192"/>
      <c r="BI256" s="192"/>
      <c r="BJ256" s="192"/>
      <c r="BK256" s="192">
        <f>SUM(BB256:BJ256)</f>
        <v>66300000</v>
      </c>
      <c r="BL256" s="109"/>
      <c r="BM256" s="109">
        <v>68000000</v>
      </c>
      <c r="BN256" s="109"/>
      <c r="BO256" s="109"/>
      <c r="BP256" s="109"/>
      <c r="BQ256" s="109"/>
      <c r="BR256" s="109"/>
      <c r="BS256" s="109"/>
      <c r="BT256" s="109"/>
      <c r="BU256" s="109">
        <f>SUM(BL256:BT256)</f>
        <v>68000000</v>
      </c>
      <c r="BV256" s="103">
        <f t="shared" si="101"/>
        <v>466022222.22222221</v>
      </c>
    </row>
    <row r="257" spans="1:74" ht="85.5" x14ac:dyDescent="0.2">
      <c r="A257" s="105">
        <v>172</v>
      </c>
      <c r="B257" s="84">
        <v>3</v>
      </c>
      <c r="C257" s="173"/>
      <c r="D257" s="173"/>
      <c r="E257" s="110"/>
      <c r="F257" s="427"/>
      <c r="G257" s="250"/>
      <c r="H257" s="250"/>
      <c r="I257" s="94">
        <v>172</v>
      </c>
      <c r="J257" s="90" t="s">
        <v>596</v>
      </c>
      <c r="K257" s="334" t="s">
        <v>597</v>
      </c>
      <c r="L257" s="414" t="s">
        <v>432</v>
      </c>
      <c r="M257" s="363">
        <v>2</v>
      </c>
      <c r="N257" s="370" t="s">
        <v>44</v>
      </c>
      <c r="O257" s="419">
        <v>12</v>
      </c>
      <c r="P257" s="419">
        <v>12</v>
      </c>
      <c r="Q257" s="375">
        <v>12</v>
      </c>
      <c r="R257" s="373">
        <v>12</v>
      </c>
      <c r="S257" s="373">
        <v>12</v>
      </c>
      <c r="T257" s="373">
        <v>12</v>
      </c>
      <c r="U257" s="340">
        <f>AP257/$AP$254</f>
        <v>0.68888888888888888</v>
      </c>
      <c r="V257" s="95">
        <v>3</v>
      </c>
      <c r="W257" s="92" t="s">
        <v>442</v>
      </c>
      <c r="X257" s="141"/>
      <c r="Y257" s="142"/>
      <c r="Z257" s="136"/>
      <c r="AA257" s="136"/>
      <c r="AB257" s="142">
        <v>310000000</v>
      </c>
      <c r="AC257" s="101">
        <v>310000000</v>
      </c>
      <c r="AD257" s="141"/>
      <c r="AE257" s="142"/>
      <c r="AF257" s="141"/>
      <c r="AG257" s="142"/>
      <c r="AH257" s="141"/>
      <c r="AI257" s="142"/>
      <c r="AJ257" s="141"/>
      <c r="AK257" s="142"/>
      <c r="AL257" s="141"/>
      <c r="AM257" s="142"/>
      <c r="AN257" s="141"/>
      <c r="AO257" s="142"/>
      <c r="AP257" s="99">
        <f>+X257+Z257+AB257+AD257+AF257+AH257+AJ257+AL257+AN257</f>
        <v>310000000</v>
      </c>
      <c r="AQ257" s="100">
        <f>Y257+AA257+AC257+AE257+AG257+AI257+AK257+AM257+AO257</f>
        <v>310000000</v>
      </c>
      <c r="AR257" s="109"/>
      <c r="AS257" s="192">
        <v>6004444.4444439998</v>
      </c>
      <c r="AT257" s="109">
        <v>300000000</v>
      </c>
      <c r="AU257" s="109"/>
      <c r="AV257" s="109"/>
      <c r="AW257" s="109"/>
      <c r="AX257" s="109"/>
      <c r="AY257" s="109"/>
      <c r="AZ257" s="109"/>
      <c r="BA257" s="109">
        <f>SUM(AR257:AY257)+AZ257</f>
        <v>306004444.444444</v>
      </c>
      <c r="BB257" s="192"/>
      <c r="BC257" s="192">
        <v>55726000</v>
      </c>
      <c r="BD257" s="192">
        <v>150000000</v>
      </c>
      <c r="BE257" s="192"/>
      <c r="BF257" s="192"/>
      <c r="BG257" s="192"/>
      <c r="BH257" s="192"/>
      <c r="BI257" s="192"/>
      <c r="BJ257" s="192"/>
      <c r="BK257" s="192">
        <f>SUM(BB257:BJ257)</f>
        <v>205726000</v>
      </c>
      <c r="BL257" s="109"/>
      <c r="BM257" s="109">
        <v>54200000</v>
      </c>
      <c r="BN257" s="109">
        <v>50000000</v>
      </c>
      <c r="BO257" s="109"/>
      <c r="BP257" s="109"/>
      <c r="BQ257" s="109"/>
      <c r="BR257" s="109"/>
      <c r="BS257" s="109"/>
      <c r="BT257" s="109"/>
      <c r="BU257" s="109">
        <f>SUM(BL257:BT257)</f>
        <v>104200000</v>
      </c>
      <c r="BV257" s="103">
        <f t="shared" si="101"/>
        <v>1231860888.8888879</v>
      </c>
    </row>
    <row r="258" spans="1:74" ht="22.5" customHeight="1" x14ac:dyDescent="0.2">
      <c r="A258" s="105"/>
      <c r="B258" s="84"/>
      <c r="C258" s="173"/>
      <c r="D258" s="173"/>
      <c r="E258" s="71">
        <v>53</v>
      </c>
      <c r="F258" s="72" t="s">
        <v>598</v>
      </c>
      <c r="G258" s="75"/>
      <c r="H258" s="75"/>
      <c r="I258" s="71"/>
      <c r="J258" s="72"/>
      <c r="K258" s="75"/>
      <c r="L258" s="74"/>
      <c r="M258" s="76"/>
      <c r="N258" s="77"/>
      <c r="O258" s="75"/>
      <c r="P258" s="75"/>
      <c r="Q258" s="78"/>
      <c r="R258" s="75"/>
      <c r="S258" s="75"/>
      <c r="T258" s="76"/>
      <c r="U258" s="174"/>
      <c r="V258" s="76"/>
      <c r="W258" s="76"/>
      <c r="X258" s="80">
        <f t="shared" ref="X258:AO258" si="118">SUM(X259:X260)</f>
        <v>0</v>
      </c>
      <c r="Y258" s="80">
        <f t="shared" si="118"/>
        <v>0</v>
      </c>
      <c r="Z258" s="80">
        <f t="shared" si="118"/>
        <v>34404000</v>
      </c>
      <c r="AA258" s="80">
        <f t="shared" si="118"/>
        <v>34404000</v>
      </c>
      <c r="AB258" s="80">
        <f t="shared" si="118"/>
        <v>0</v>
      </c>
      <c r="AC258" s="80">
        <f t="shared" si="118"/>
        <v>0</v>
      </c>
      <c r="AD258" s="80">
        <f t="shared" si="118"/>
        <v>0</v>
      </c>
      <c r="AE258" s="80">
        <f t="shared" si="118"/>
        <v>0</v>
      </c>
      <c r="AF258" s="80">
        <f t="shared" si="118"/>
        <v>0</v>
      </c>
      <c r="AG258" s="80">
        <f t="shared" si="118"/>
        <v>0</v>
      </c>
      <c r="AH258" s="80">
        <f t="shared" si="118"/>
        <v>0</v>
      </c>
      <c r="AI258" s="80">
        <f t="shared" si="118"/>
        <v>0</v>
      </c>
      <c r="AJ258" s="80">
        <f t="shared" si="118"/>
        <v>0</v>
      </c>
      <c r="AK258" s="80">
        <f t="shared" si="118"/>
        <v>0</v>
      </c>
      <c r="AL258" s="80">
        <f t="shared" si="118"/>
        <v>0</v>
      </c>
      <c r="AM258" s="80">
        <f t="shared" si="118"/>
        <v>0</v>
      </c>
      <c r="AN258" s="80">
        <f t="shared" si="118"/>
        <v>0</v>
      </c>
      <c r="AO258" s="80">
        <f t="shared" si="118"/>
        <v>0</v>
      </c>
      <c r="AP258" s="81">
        <f>SUM(AP259:AP260)</f>
        <v>34404000</v>
      </c>
      <c r="AQ258" s="80">
        <f>SUM(AQ259:AQ260)</f>
        <v>34404000</v>
      </c>
      <c r="AR258" s="82"/>
      <c r="AS258" s="82"/>
      <c r="AT258" s="82"/>
      <c r="AU258" s="82"/>
      <c r="AV258" s="82"/>
      <c r="AW258" s="82"/>
      <c r="AX258" s="82"/>
      <c r="AY258" s="82"/>
      <c r="AZ258" s="82"/>
      <c r="BA258" s="82">
        <f>SUM(BA259:BA260)</f>
        <v>35436120</v>
      </c>
      <c r="BB258" s="82"/>
      <c r="BC258" s="82"/>
      <c r="BD258" s="82"/>
      <c r="BE258" s="82"/>
      <c r="BF258" s="82"/>
      <c r="BG258" s="82"/>
      <c r="BH258" s="82"/>
      <c r="BI258" s="82"/>
      <c r="BJ258" s="82"/>
      <c r="BK258" s="82">
        <f>SUM(BK259:BK260)</f>
        <v>36499203.600000001</v>
      </c>
      <c r="BL258" s="82"/>
      <c r="BM258" s="82"/>
      <c r="BN258" s="82"/>
      <c r="BO258" s="82"/>
      <c r="BP258" s="82"/>
      <c r="BQ258" s="82"/>
      <c r="BR258" s="82"/>
      <c r="BS258" s="82"/>
      <c r="BT258" s="82"/>
      <c r="BU258" s="82">
        <f>SUM(BU259:BU260)</f>
        <v>37594179.708000004</v>
      </c>
      <c r="BV258" s="83">
        <f t="shared" si="101"/>
        <v>109529503.308</v>
      </c>
    </row>
    <row r="259" spans="1:74" ht="99.75" x14ac:dyDescent="0.2">
      <c r="A259" s="84">
        <v>173</v>
      </c>
      <c r="B259" s="84">
        <v>3</v>
      </c>
      <c r="C259" s="173"/>
      <c r="D259" s="173"/>
      <c r="E259" s="85">
        <v>28</v>
      </c>
      <c r="F259" s="112" t="s">
        <v>579</v>
      </c>
      <c r="G259" s="402">
        <v>0.5</v>
      </c>
      <c r="H259" s="402">
        <v>1</v>
      </c>
      <c r="I259" s="94">
        <v>173</v>
      </c>
      <c r="J259" s="90" t="s">
        <v>599</v>
      </c>
      <c r="K259" s="334" t="s">
        <v>600</v>
      </c>
      <c r="L259" s="414" t="s">
        <v>432</v>
      </c>
      <c r="M259" s="363">
        <v>2</v>
      </c>
      <c r="N259" s="370" t="s">
        <v>44</v>
      </c>
      <c r="O259" s="387" t="s">
        <v>39</v>
      </c>
      <c r="P259" s="387">
        <v>7</v>
      </c>
      <c r="Q259" s="375">
        <v>7</v>
      </c>
      <c r="R259" s="373">
        <v>7</v>
      </c>
      <c r="S259" s="373">
        <v>7</v>
      </c>
      <c r="T259" s="373">
        <v>7</v>
      </c>
      <c r="U259" s="340">
        <f>AP259/AP258</f>
        <v>1</v>
      </c>
      <c r="V259" s="94">
        <v>3</v>
      </c>
      <c r="W259" s="91" t="s">
        <v>442</v>
      </c>
      <c r="X259" s="141"/>
      <c r="Y259" s="142"/>
      <c r="Z259" s="141">
        <v>34404000</v>
      </c>
      <c r="AA259" s="101">
        <v>34404000</v>
      </c>
      <c r="AB259" s="141"/>
      <c r="AC259" s="142"/>
      <c r="AD259" s="141"/>
      <c r="AE259" s="142"/>
      <c r="AF259" s="141"/>
      <c r="AG259" s="142"/>
      <c r="AH259" s="141"/>
      <c r="AI259" s="142"/>
      <c r="AJ259" s="141"/>
      <c r="AK259" s="142"/>
      <c r="AL259" s="141"/>
      <c r="AM259" s="142"/>
      <c r="AN259" s="141"/>
      <c r="AO259" s="142"/>
      <c r="AP259" s="99">
        <f>+X259+Z259+AB259+AD259+AF259+AH259+AJ259+AL259+AN259</f>
        <v>34404000</v>
      </c>
      <c r="AQ259" s="100">
        <f>Y259+AA259+AC259+AE259+AG259+AI259+AK259+AM259+AO259</f>
        <v>34404000</v>
      </c>
      <c r="AR259" s="109"/>
      <c r="AS259" s="192">
        <v>35436120</v>
      </c>
      <c r="AT259" s="109"/>
      <c r="AU259" s="109"/>
      <c r="AV259" s="109"/>
      <c r="AW259" s="109"/>
      <c r="AX259" s="109"/>
      <c r="AY259" s="109"/>
      <c r="AZ259" s="109"/>
      <c r="BA259" s="109">
        <f>SUM(AR259:AY259)+AZ259</f>
        <v>35436120</v>
      </c>
      <c r="BB259" s="192"/>
      <c r="BC259" s="192">
        <v>36499203.600000001</v>
      </c>
      <c r="BD259" s="192"/>
      <c r="BE259" s="192"/>
      <c r="BF259" s="192"/>
      <c r="BG259" s="192"/>
      <c r="BH259" s="192"/>
      <c r="BI259" s="192"/>
      <c r="BJ259" s="192"/>
      <c r="BK259" s="192">
        <f>SUM(BB259:BJ259)</f>
        <v>36499203.600000001</v>
      </c>
      <c r="BL259" s="109"/>
      <c r="BM259" s="109">
        <v>37594179.708000004</v>
      </c>
      <c r="BN259" s="109"/>
      <c r="BO259" s="109"/>
      <c r="BP259" s="109"/>
      <c r="BQ259" s="109"/>
      <c r="BR259" s="109"/>
      <c r="BS259" s="109"/>
      <c r="BT259" s="109"/>
      <c r="BU259" s="109">
        <f>SUM(BL259:BT259)</f>
        <v>37594179.708000004</v>
      </c>
      <c r="BV259" s="103">
        <f t="shared" si="101"/>
        <v>219059006.616</v>
      </c>
    </row>
    <row r="260" spans="1:74" ht="57" x14ac:dyDescent="0.2">
      <c r="A260" s="105">
        <v>174</v>
      </c>
      <c r="B260" s="84">
        <v>3</v>
      </c>
      <c r="C260" s="173"/>
      <c r="D260" s="173"/>
      <c r="E260" s="110"/>
      <c r="F260" s="114"/>
      <c r="G260" s="403"/>
      <c r="H260" s="403"/>
      <c r="I260" s="94">
        <v>174</v>
      </c>
      <c r="J260" s="90" t="s">
        <v>601</v>
      </c>
      <c r="K260" s="334" t="s">
        <v>602</v>
      </c>
      <c r="L260" s="414" t="s">
        <v>432</v>
      </c>
      <c r="M260" s="363">
        <v>2</v>
      </c>
      <c r="N260" s="370" t="s">
        <v>44</v>
      </c>
      <c r="O260" s="95">
        <v>100</v>
      </c>
      <c r="P260" s="95">
        <v>150</v>
      </c>
      <c r="Q260" s="375">
        <v>150</v>
      </c>
      <c r="R260" s="373">
        <v>150</v>
      </c>
      <c r="S260" s="373">
        <v>150</v>
      </c>
      <c r="T260" s="373">
        <v>150</v>
      </c>
      <c r="U260" s="423">
        <f>AP260/AP258</f>
        <v>0</v>
      </c>
      <c r="V260" s="94">
        <v>3</v>
      </c>
      <c r="W260" s="91" t="s">
        <v>442</v>
      </c>
      <c r="X260" s="141"/>
      <c r="Y260" s="142"/>
      <c r="Z260" s="141"/>
      <c r="AA260" s="142"/>
      <c r="AB260" s="141"/>
      <c r="AC260" s="142"/>
      <c r="AD260" s="141"/>
      <c r="AE260" s="142"/>
      <c r="AF260" s="141"/>
      <c r="AG260" s="142"/>
      <c r="AH260" s="141"/>
      <c r="AI260" s="142"/>
      <c r="AJ260" s="141"/>
      <c r="AK260" s="142"/>
      <c r="AL260" s="141"/>
      <c r="AM260" s="142"/>
      <c r="AN260" s="141"/>
      <c r="AO260" s="142"/>
      <c r="AP260" s="99">
        <f>+X260+Z260+AB260+AD260+AF260+AH260+AJ260+AL260+AN260</f>
        <v>0</v>
      </c>
      <c r="AQ260" s="100">
        <f>Y260+AA260+AC260+AE260+AG260+AI260+AK260+AM260+AO260</f>
        <v>0</v>
      </c>
      <c r="AR260" s="109"/>
      <c r="AS260" s="109"/>
      <c r="AT260" s="109"/>
      <c r="AU260" s="109"/>
      <c r="AV260" s="109"/>
      <c r="AW260" s="109"/>
      <c r="AX260" s="109"/>
      <c r="AY260" s="109"/>
      <c r="AZ260" s="109"/>
      <c r="BA260" s="109">
        <f>SUM(AR260:AY260)+AZ260</f>
        <v>0</v>
      </c>
      <c r="BB260" s="192"/>
      <c r="BC260" s="192"/>
      <c r="BD260" s="192"/>
      <c r="BE260" s="192"/>
      <c r="BF260" s="192"/>
      <c r="BG260" s="192"/>
      <c r="BH260" s="192"/>
      <c r="BI260" s="192"/>
      <c r="BJ260" s="192"/>
      <c r="BK260" s="192">
        <f>SUM(BB260:BJ260)</f>
        <v>0</v>
      </c>
      <c r="BL260" s="109"/>
      <c r="BM260" s="109"/>
      <c r="BN260" s="109"/>
      <c r="BO260" s="109"/>
      <c r="BP260" s="109"/>
      <c r="BQ260" s="109"/>
      <c r="BR260" s="109"/>
      <c r="BS260" s="109"/>
      <c r="BT260" s="109"/>
      <c r="BU260" s="109">
        <f>SUM(BL260:BT260)</f>
        <v>0</v>
      </c>
      <c r="BV260" s="103">
        <f t="shared" si="101"/>
        <v>0</v>
      </c>
    </row>
    <row r="261" spans="1:74" ht="24" customHeight="1" x14ac:dyDescent="0.2">
      <c r="A261" s="105"/>
      <c r="B261" s="84"/>
      <c r="C261" s="173"/>
      <c r="D261" s="173"/>
      <c r="E261" s="71">
        <v>54</v>
      </c>
      <c r="F261" s="72" t="s">
        <v>603</v>
      </c>
      <c r="G261" s="75"/>
      <c r="H261" s="75"/>
      <c r="I261" s="74"/>
      <c r="J261" s="75"/>
      <c r="K261" s="75"/>
      <c r="L261" s="74"/>
      <c r="M261" s="76"/>
      <c r="N261" s="77"/>
      <c r="O261" s="75"/>
      <c r="P261" s="75"/>
      <c r="Q261" s="78"/>
      <c r="R261" s="75"/>
      <c r="S261" s="75"/>
      <c r="T261" s="76"/>
      <c r="U261" s="174"/>
      <c r="V261" s="76"/>
      <c r="W261" s="76"/>
      <c r="X261" s="80">
        <f t="shared" ref="X261:AO261" si="119">SUM(X262:X263)</f>
        <v>0</v>
      </c>
      <c r="Y261" s="80">
        <f t="shared" si="119"/>
        <v>0</v>
      </c>
      <c r="Z261" s="80">
        <f t="shared" si="119"/>
        <v>223124000</v>
      </c>
      <c r="AA261" s="80">
        <f t="shared" si="119"/>
        <v>223124000</v>
      </c>
      <c r="AB261" s="80">
        <f t="shared" si="119"/>
        <v>0</v>
      </c>
      <c r="AC261" s="80">
        <f t="shared" si="119"/>
        <v>0</v>
      </c>
      <c r="AD261" s="80">
        <f t="shared" si="119"/>
        <v>0</v>
      </c>
      <c r="AE261" s="80">
        <f t="shared" si="119"/>
        <v>0</v>
      </c>
      <c r="AF261" s="80">
        <f t="shared" si="119"/>
        <v>0</v>
      </c>
      <c r="AG261" s="80">
        <f t="shared" si="119"/>
        <v>0</v>
      </c>
      <c r="AH261" s="80">
        <f t="shared" si="119"/>
        <v>0</v>
      </c>
      <c r="AI261" s="80">
        <f t="shared" si="119"/>
        <v>0</v>
      </c>
      <c r="AJ261" s="80">
        <f t="shared" si="119"/>
        <v>0</v>
      </c>
      <c r="AK261" s="80">
        <f t="shared" si="119"/>
        <v>0</v>
      </c>
      <c r="AL261" s="80">
        <f t="shared" si="119"/>
        <v>0</v>
      </c>
      <c r="AM261" s="80">
        <f t="shared" si="119"/>
        <v>0</v>
      </c>
      <c r="AN261" s="80">
        <f t="shared" si="119"/>
        <v>0</v>
      </c>
      <c r="AO261" s="80">
        <f t="shared" si="119"/>
        <v>0</v>
      </c>
      <c r="AP261" s="81">
        <f>SUM(AP262:AP263)</f>
        <v>223124000</v>
      </c>
      <c r="AQ261" s="80">
        <f>SUM(AQ262:AQ263)</f>
        <v>223124000</v>
      </c>
      <c r="AR261" s="82"/>
      <c r="AS261" s="82"/>
      <c r="AT261" s="82"/>
      <c r="AU261" s="82"/>
      <c r="AV261" s="82"/>
      <c r="AW261" s="82"/>
      <c r="AX261" s="82"/>
      <c r="AY261" s="82"/>
      <c r="AZ261" s="82"/>
      <c r="BA261" s="82">
        <f>SUM(BA262:BA263)</f>
        <v>23817720</v>
      </c>
      <c r="BB261" s="82"/>
      <c r="BC261" s="82"/>
      <c r="BD261" s="82"/>
      <c r="BE261" s="82"/>
      <c r="BF261" s="82"/>
      <c r="BG261" s="82"/>
      <c r="BH261" s="82"/>
      <c r="BI261" s="82"/>
      <c r="BJ261" s="82"/>
      <c r="BK261" s="82">
        <f>SUM(BK262:BK263)</f>
        <v>24532251.600000001</v>
      </c>
      <c r="BL261" s="82"/>
      <c r="BM261" s="82"/>
      <c r="BN261" s="82"/>
      <c r="BO261" s="82"/>
      <c r="BP261" s="82"/>
      <c r="BQ261" s="82"/>
      <c r="BR261" s="82"/>
      <c r="BS261" s="82"/>
      <c r="BT261" s="82"/>
      <c r="BU261" s="82">
        <f>SUM(BU262:BU263)</f>
        <v>25268219</v>
      </c>
      <c r="BV261" s="83">
        <f t="shared" si="101"/>
        <v>73618190.599999994</v>
      </c>
    </row>
    <row r="262" spans="1:74" ht="57" x14ac:dyDescent="0.2">
      <c r="A262" s="84">
        <v>175</v>
      </c>
      <c r="B262" s="84">
        <v>3</v>
      </c>
      <c r="C262" s="173"/>
      <c r="D262" s="173"/>
      <c r="E262" s="85">
        <v>28</v>
      </c>
      <c r="F262" s="112" t="s">
        <v>579</v>
      </c>
      <c r="G262" s="402">
        <v>0.5</v>
      </c>
      <c r="H262" s="402">
        <v>1</v>
      </c>
      <c r="I262" s="94">
        <v>175</v>
      </c>
      <c r="J262" s="90" t="s">
        <v>604</v>
      </c>
      <c r="K262" s="430" t="s">
        <v>605</v>
      </c>
      <c r="L262" s="414" t="s">
        <v>432</v>
      </c>
      <c r="M262" s="363">
        <v>2</v>
      </c>
      <c r="N262" s="370" t="s">
        <v>44</v>
      </c>
      <c r="O262" s="95">
        <v>10</v>
      </c>
      <c r="P262" s="95">
        <v>14</v>
      </c>
      <c r="Q262" s="375">
        <v>14</v>
      </c>
      <c r="R262" s="373">
        <v>14</v>
      </c>
      <c r="S262" s="373">
        <v>14</v>
      </c>
      <c r="T262" s="373">
        <v>14</v>
      </c>
      <c r="U262" s="340">
        <f>AP262/AP261</f>
        <v>1</v>
      </c>
      <c r="V262" s="94">
        <v>3</v>
      </c>
      <c r="W262" s="91" t="s">
        <v>442</v>
      </c>
      <c r="X262" s="141"/>
      <c r="Y262" s="142"/>
      <c r="Z262" s="141">
        <f>23124000+200000000</f>
        <v>223124000</v>
      </c>
      <c r="AA262" s="101">
        <v>223124000</v>
      </c>
      <c r="AB262" s="231"/>
      <c r="AC262" s="142"/>
      <c r="AD262" s="141"/>
      <c r="AE262" s="142"/>
      <c r="AF262" s="141"/>
      <c r="AG262" s="142"/>
      <c r="AH262" s="141"/>
      <c r="AI262" s="142"/>
      <c r="AJ262" s="141"/>
      <c r="AK262" s="142"/>
      <c r="AL262" s="141"/>
      <c r="AM262" s="142"/>
      <c r="AN262" s="141"/>
      <c r="AO262" s="142"/>
      <c r="AP262" s="99">
        <f>+X262+Z262+AB262+AD262+AF262+AH262+AJ262+AL262+AN262</f>
        <v>223124000</v>
      </c>
      <c r="AQ262" s="100">
        <f>Y262+AA262+AC262+AE262+AG262+AI262+AK262+AM262+AO262</f>
        <v>223124000</v>
      </c>
      <c r="AR262" s="109"/>
      <c r="AS262" s="192">
        <v>23817720</v>
      </c>
      <c r="AT262" s="109"/>
      <c r="AU262" s="109"/>
      <c r="AV262" s="109"/>
      <c r="AW262" s="109"/>
      <c r="AX262" s="109"/>
      <c r="AY262" s="109"/>
      <c r="AZ262" s="109"/>
      <c r="BA262" s="109">
        <f>SUM(AR262:AY262)+AZ262</f>
        <v>23817720</v>
      </c>
      <c r="BB262" s="192"/>
      <c r="BC262" s="192">
        <v>24532251.600000001</v>
      </c>
      <c r="BD262" s="192"/>
      <c r="BE262" s="192"/>
      <c r="BF262" s="192"/>
      <c r="BG262" s="192"/>
      <c r="BH262" s="192"/>
      <c r="BI262" s="192"/>
      <c r="BJ262" s="192"/>
      <c r="BK262" s="192">
        <f>SUM(BB262:BJ262)</f>
        <v>24532251.600000001</v>
      </c>
      <c r="BL262" s="109"/>
      <c r="BM262" s="109">
        <v>25268219</v>
      </c>
      <c r="BN262" s="109"/>
      <c r="BO262" s="109"/>
      <c r="BP262" s="109"/>
      <c r="BQ262" s="109"/>
      <c r="BR262" s="109"/>
      <c r="BS262" s="109"/>
      <c r="BT262" s="109"/>
      <c r="BU262" s="109">
        <f>SUM(BL262:BT262)</f>
        <v>25268219</v>
      </c>
      <c r="BV262" s="103">
        <f t="shared" si="101"/>
        <v>147236381.19999999</v>
      </c>
    </row>
    <row r="263" spans="1:74" ht="57" x14ac:dyDescent="0.2">
      <c r="A263" s="105">
        <v>176</v>
      </c>
      <c r="B263" s="84">
        <v>3</v>
      </c>
      <c r="C263" s="173"/>
      <c r="D263" s="237"/>
      <c r="E263" s="110"/>
      <c r="F263" s="114"/>
      <c r="G263" s="403"/>
      <c r="H263" s="403"/>
      <c r="I263" s="94">
        <v>176</v>
      </c>
      <c r="J263" s="90" t="s">
        <v>606</v>
      </c>
      <c r="K263" s="334" t="s">
        <v>607</v>
      </c>
      <c r="L263" s="414" t="s">
        <v>432</v>
      </c>
      <c r="M263" s="363">
        <v>2</v>
      </c>
      <c r="N263" s="370" t="s">
        <v>44</v>
      </c>
      <c r="O263" s="95">
        <v>2</v>
      </c>
      <c r="P263" s="95">
        <v>2</v>
      </c>
      <c r="Q263" s="375">
        <v>2</v>
      </c>
      <c r="R263" s="373">
        <v>2</v>
      </c>
      <c r="S263" s="373">
        <v>2</v>
      </c>
      <c r="T263" s="373">
        <v>2</v>
      </c>
      <c r="U263" s="423"/>
      <c r="V263" s="94">
        <v>3</v>
      </c>
      <c r="W263" s="91" t="s">
        <v>442</v>
      </c>
      <c r="X263" s="141"/>
      <c r="Y263" s="142"/>
      <c r="Z263" s="141"/>
      <c r="AA263" s="142"/>
      <c r="AB263" s="141"/>
      <c r="AC263" s="142"/>
      <c r="AD263" s="141"/>
      <c r="AE263" s="142"/>
      <c r="AF263" s="141"/>
      <c r="AG263" s="142"/>
      <c r="AH263" s="141"/>
      <c r="AI263" s="142"/>
      <c r="AJ263" s="141"/>
      <c r="AK263" s="142"/>
      <c r="AL263" s="141"/>
      <c r="AM263" s="142"/>
      <c r="AN263" s="141"/>
      <c r="AO263" s="142"/>
      <c r="AP263" s="99">
        <f>+X263+Z263+AB263+AD263+AF263+AH263+AJ263+AL263+AN263</f>
        <v>0</v>
      </c>
      <c r="AQ263" s="100">
        <f>Y263+AA263+AC263+AE263+AG263+AI263+AK263+AM263+AO263</f>
        <v>0</v>
      </c>
      <c r="AR263" s="109"/>
      <c r="AS263" s="109"/>
      <c r="AT263" s="109"/>
      <c r="AU263" s="109"/>
      <c r="AV263" s="109"/>
      <c r="AW263" s="109"/>
      <c r="AX263" s="109"/>
      <c r="AY263" s="109"/>
      <c r="AZ263" s="109"/>
      <c r="BA263" s="109">
        <f>SUM(AR263:AY263)+AZ263</f>
        <v>0</v>
      </c>
      <c r="BB263" s="192"/>
      <c r="BC263" s="192"/>
      <c r="BD263" s="192"/>
      <c r="BE263" s="192"/>
      <c r="BF263" s="192"/>
      <c r="BG263" s="192"/>
      <c r="BH263" s="192"/>
      <c r="BI263" s="192"/>
      <c r="BJ263" s="192"/>
      <c r="BK263" s="192"/>
      <c r="BL263" s="109"/>
      <c r="BM263" s="109"/>
      <c r="BN263" s="109"/>
      <c r="BO263" s="109"/>
      <c r="BP263" s="109"/>
      <c r="BQ263" s="109"/>
      <c r="BR263" s="109"/>
      <c r="BS263" s="109"/>
      <c r="BT263" s="109"/>
      <c r="BU263" s="109"/>
      <c r="BV263" s="103">
        <f t="shared" si="101"/>
        <v>0</v>
      </c>
    </row>
    <row r="264" spans="1:74" ht="22.5" customHeight="1" x14ac:dyDescent="0.2">
      <c r="A264" s="105"/>
      <c r="B264" s="84"/>
      <c r="C264" s="173"/>
      <c r="D264" s="56">
        <v>15</v>
      </c>
      <c r="E264" s="170" t="s">
        <v>608</v>
      </c>
      <c r="F264" s="58"/>
      <c r="G264" s="59"/>
      <c r="H264" s="59"/>
      <c r="I264" s="60"/>
      <c r="J264" s="61"/>
      <c r="K264" s="61"/>
      <c r="L264" s="62"/>
      <c r="M264" s="60"/>
      <c r="N264" s="63"/>
      <c r="O264" s="61"/>
      <c r="P264" s="61"/>
      <c r="Q264" s="64"/>
      <c r="R264" s="61"/>
      <c r="S264" s="61"/>
      <c r="T264" s="60"/>
      <c r="U264" s="171"/>
      <c r="V264" s="60"/>
      <c r="W264" s="60"/>
      <c r="X264" s="66">
        <f t="shared" ref="X264:AO264" si="120">X265</f>
        <v>0</v>
      </c>
      <c r="Y264" s="66">
        <f t="shared" si="120"/>
        <v>0</v>
      </c>
      <c r="Z264" s="66">
        <f t="shared" si="120"/>
        <v>125772000</v>
      </c>
      <c r="AA264" s="66">
        <f t="shared" si="120"/>
        <v>125772000</v>
      </c>
      <c r="AB264" s="66">
        <f t="shared" si="120"/>
        <v>0</v>
      </c>
      <c r="AC264" s="66">
        <f t="shared" si="120"/>
        <v>0</v>
      </c>
      <c r="AD264" s="66">
        <f t="shared" si="120"/>
        <v>35000000</v>
      </c>
      <c r="AE264" s="66">
        <f t="shared" si="120"/>
        <v>35000000</v>
      </c>
      <c r="AF264" s="66">
        <f t="shared" si="120"/>
        <v>0</v>
      </c>
      <c r="AG264" s="66">
        <f t="shared" si="120"/>
        <v>0</v>
      </c>
      <c r="AH264" s="66">
        <f t="shared" si="120"/>
        <v>0</v>
      </c>
      <c r="AI264" s="66">
        <f t="shared" si="120"/>
        <v>0</v>
      </c>
      <c r="AJ264" s="66">
        <f t="shared" si="120"/>
        <v>0</v>
      </c>
      <c r="AK264" s="66">
        <f t="shared" si="120"/>
        <v>0</v>
      </c>
      <c r="AL264" s="66">
        <f t="shared" si="120"/>
        <v>0</v>
      </c>
      <c r="AM264" s="66">
        <f t="shared" si="120"/>
        <v>0</v>
      </c>
      <c r="AN264" s="66">
        <f t="shared" si="120"/>
        <v>0</v>
      </c>
      <c r="AO264" s="66">
        <f t="shared" si="120"/>
        <v>0</v>
      </c>
      <c r="AP264" s="67">
        <f>AP265</f>
        <v>160772000</v>
      </c>
      <c r="AQ264" s="66">
        <f>AQ265</f>
        <v>160772000</v>
      </c>
      <c r="AR264" s="68"/>
      <c r="AS264" s="68"/>
      <c r="AT264" s="68"/>
      <c r="AU264" s="68"/>
      <c r="AV264" s="68"/>
      <c r="AW264" s="68"/>
      <c r="AX264" s="68"/>
      <c r="AY264" s="68"/>
      <c r="AZ264" s="68"/>
      <c r="BA264" s="68">
        <f>BA265</f>
        <v>129545160</v>
      </c>
      <c r="BB264" s="68"/>
      <c r="BC264" s="68"/>
      <c r="BD264" s="68"/>
      <c r="BE264" s="68"/>
      <c r="BF264" s="68"/>
      <c r="BG264" s="68"/>
      <c r="BH264" s="68"/>
      <c r="BI264" s="68"/>
      <c r="BJ264" s="68"/>
      <c r="BK264" s="68">
        <f>BK265</f>
        <v>133431514.8</v>
      </c>
      <c r="BL264" s="68"/>
      <c r="BM264" s="68"/>
      <c r="BN264" s="68"/>
      <c r="BO264" s="68"/>
      <c r="BP264" s="68"/>
      <c r="BQ264" s="68"/>
      <c r="BR264" s="68"/>
      <c r="BS264" s="68"/>
      <c r="BT264" s="68"/>
      <c r="BU264" s="68">
        <f>BU265</f>
        <v>137434460.24399999</v>
      </c>
      <c r="BV264" s="172">
        <f t="shared" si="101"/>
        <v>400411135.04400003</v>
      </c>
    </row>
    <row r="265" spans="1:74" ht="22.5" customHeight="1" x14ac:dyDescent="0.2">
      <c r="A265" s="105"/>
      <c r="B265" s="84"/>
      <c r="C265" s="173"/>
      <c r="D265" s="169"/>
      <c r="E265" s="71">
        <v>55</v>
      </c>
      <c r="F265" s="72" t="s">
        <v>609</v>
      </c>
      <c r="G265" s="75"/>
      <c r="H265" s="75"/>
      <c r="I265" s="74"/>
      <c r="J265" s="75"/>
      <c r="K265" s="75"/>
      <c r="L265" s="74"/>
      <c r="M265" s="76"/>
      <c r="N265" s="77"/>
      <c r="O265" s="75"/>
      <c r="P265" s="75"/>
      <c r="Q265" s="78"/>
      <c r="R265" s="75"/>
      <c r="S265" s="75"/>
      <c r="T265" s="76"/>
      <c r="U265" s="174"/>
      <c r="V265" s="76"/>
      <c r="W265" s="76"/>
      <c r="X265" s="80">
        <f t="shared" ref="X265:AO265" si="121">SUM(X266:X268)</f>
        <v>0</v>
      </c>
      <c r="Y265" s="80">
        <f t="shared" si="121"/>
        <v>0</v>
      </c>
      <c r="Z265" s="80">
        <f t="shared" si="121"/>
        <v>125772000</v>
      </c>
      <c r="AA265" s="80">
        <f t="shared" si="121"/>
        <v>125772000</v>
      </c>
      <c r="AB265" s="80">
        <f t="shared" si="121"/>
        <v>0</v>
      </c>
      <c r="AC265" s="80">
        <f t="shared" si="121"/>
        <v>0</v>
      </c>
      <c r="AD265" s="80">
        <f t="shared" si="121"/>
        <v>35000000</v>
      </c>
      <c r="AE265" s="80">
        <f t="shared" si="121"/>
        <v>35000000</v>
      </c>
      <c r="AF265" s="80">
        <f t="shared" si="121"/>
        <v>0</v>
      </c>
      <c r="AG265" s="80">
        <f t="shared" si="121"/>
        <v>0</v>
      </c>
      <c r="AH265" s="80">
        <f t="shared" si="121"/>
        <v>0</v>
      </c>
      <c r="AI265" s="80">
        <f t="shared" si="121"/>
        <v>0</v>
      </c>
      <c r="AJ265" s="80">
        <f t="shared" si="121"/>
        <v>0</v>
      </c>
      <c r="AK265" s="80">
        <f t="shared" si="121"/>
        <v>0</v>
      </c>
      <c r="AL265" s="80">
        <f t="shared" si="121"/>
        <v>0</v>
      </c>
      <c r="AM265" s="80">
        <f t="shared" si="121"/>
        <v>0</v>
      </c>
      <c r="AN265" s="80">
        <f t="shared" si="121"/>
        <v>0</v>
      </c>
      <c r="AO265" s="80">
        <f t="shared" si="121"/>
        <v>0</v>
      </c>
      <c r="AP265" s="81">
        <f>SUM(AP266:AP268)</f>
        <v>160772000</v>
      </c>
      <c r="AQ265" s="80">
        <f>SUM(AQ266:AQ268)</f>
        <v>160772000</v>
      </c>
      <c r="AR265" s="82"/>
      <c r="AS265" s="82"/>
      <c r="AT265" s="82"/>
      <c r="AU265" s="82"/>
      <c r="AV265" s="82"/>
      <c r="AW265" s="82"/>
      <c r="AX265" s="82"/>
      <c r="AY265" s="82"/>
      <c r="AZ265" s="82"/>
      <c r="BA265" s="82">
        <f>SUM(BA266:BA268)</f>
        <v>129545160</v>
      </c>
      <c r="BB265" s="82"/>
      <c r="BC265" s="82"/>
      <c r="BD265" s="82"/>
      <c r="BE265" s="82"/>
      <c r="BF265" s="82"/>
      <c r="BG265" s="82"/>
      <c r="BH265" s="82"/>
      <c r="BI265" s="82"/>
      <c r="BJ265" s="82"/>
      <c r="BK265" s="82">
        <f>SUM(BK266:BK268)</f>
        <v>133431514.8</v>
      </c>
      <c r="BL265" s="82"/>
      <c r="BM265" s="82"/>
      <c r="BN265" s="82"/>
      <c r="BO265" s="82"/>
      <c r="BP265" s="82"/>
      <c r="BQ265" s="82"/>
      <c r="BR265" s="82"/>
      <c r="BS265" s="82"/>
      <c r="BT265" s="82"/>
      <c r="BU265" s="82">
        <f>SUM(BU266:BU268)</f>
        <v>137434460.24399999</v>
      </c>
      <c r="BV265" s="83">
        <f t="shared" si="101"/>
        <v>400411135.04400003</v>
      </c>
    </row>
    <row r="266" spans="1:74" ht="72" customHeight="1" x14ac:dyDescent="0.2">
      <c r="A266" s="84">
        <v>177</v>
      </c>
      <c r="B266" s="84">
        <v>3</v>
      </c>
      <c r="C266" s="173"/>
      <c r="D266" s="173"/>
      <c r="E266" s="117" t="s">
        <v>610</v>
      </c>
      <c r="F266" s="86" t="s">
        <v>611</v>
      </c>
      <c r="G266" s="419">
        <v>2</v>
      </c>
      <c r="H266" s="419">
        <v>2</v>
      </c>
      <c r="I266" s="94">
        <v>177</v>
      </c>
      <c r="J266" s="90" t="s">
        <v>612</v>
      </c>
      <c r="K266" s="334" t="s">
        <v>613</v>
      </c>
      <c r="L266" s="414" t="s">
        <v>432</v>
      </c>
      <c r="M266" s="363">
        <v>2</v>
      </c>
      <c r="N266" s="370" t="s">
        <v>44</v>
      </c>
      <c r="O266" s="95">
        <v>2</v>
      </c>
      <c r="P266" s="95">
        <v>2</v>
      </c>
      <c r="Q266" s="375">
        <v>2</v>
      </c>
      <c r="R266" s="373">
        <v>2</v>
      </c>
      <c r="S266" s="373">
        <v>2</v>
      </c>
      <c r="T266" s="373">
        <v>2</v>
      </c>
      <c r="U266" s="423"/>
      <c r="V266" s="94">
        <v>3</v>
      </c>
      <c r="W266" s="91" t="s">
        <v>442</v>
      </c>
      <c r="X266" s="141"/>
      <c r="Y266" s="142"/>
      <c r="Z266" s="141"/>
      <c r="AA266" s="142"/>
      <c r="AB266" s="141"/>
      <c r="AC266" s="142"/>
      <c r="AD266" s="141"/>
      <c r="AE266" s="142"/>
      <c r="AF266" s="141"/>
      <c r="AG266" s="142"/>
      <c r="AH266" s="141"/>
      <c r="AI266" s="142"/>
      <c r="AJ266" s="141"/>
      <c r="AK266" s="142"/>
      <c r="AL266" s="141"/>
      <c r="AM266" s="142"/>
      <c r="AN266" s="141"/>
      <c r="AO266" s="142"/>
      <c r="AP266" s="99">
        <f>+X266+Z266+AB266+AD266+AF266+AH266+AJ266+AL266+AN266</f>
        <v>0</v>
      </c>
      <c r="AQ266" s="100">
        <f>Y266+AA266+AC266+AE266+AG266+AI266+AK266+AM266+AO266</f>
        <v>0</v>
      </c>
      <c r="AR266" s="109"/>
      <c r="AS266" s="109"/>
      <c r="AT266" s="109"/>
      <c r="AU266" s="109"/>
      <c r="AV266" s="109"/>
      <c r="AW266" s="109"/>
      <c r="AX266" s="109"/>
      <c r="AY266" s="109"/>
      <c r="AZ266" s="109"/>
      <c r="BA266" s="109">
        <f>SUM(AR266:AY266)+AZ266</f>
        <v>0</v>
      </c>
      <c r="BB266" s="192"/>
      <c r="BC266" s="192"/>
      <c r="BD266" s="192"/>
      <c r="BE266" s="192"/>
      <c r="BF266" s="192"/>
      <c r="BG266" s="192"/>
      <c r="BH266" s="192"/>
      <c r="BI266" s="192"/>
      <c r="BJ266" s="192"/>
      <c r="BK266" s="192">
        <f>SUM(BB266:BJ266)</f>
        <v>0</v>
      </c>
      <c r="BL266" s="109"/>
      <c r="BM266" s="109"/>
      <c r="BN266" s="109"/>
      <c r="BO266" s="109"/>
      <c r="BP266" s="109"/>
      <c r="BQ266" s="109"/>
      <c r="BR266" s="109"/>
      <c r="BS266" s="109"/>
      <c r="BT266" s="109"/>
      <c r="BU266" s="109"/>
      <c r="BV266" s="103">
        <f t="shared" si="101"/>
        <v>0</v>
      </c>
    </row>
    <row r="267" spans="1:74" ht="179.25" customHeight="1" x14ac:dyDescent="0.2">
      <c r="A267" s="105">
        <v>178</v>
      </c>
      <c r="B267" s="84">
        <v>3</v>
      </c>
      <c r="C267" s="173"/>
      <c r="D267" s="173"/>
      <c r="E267" s="117" t="s">
        <v>614</v>
      </c>
      <c r="F267" s="86" t="s">
        <v>615</v>
      </c>
      <c r="G267" s="431">
        <v>0</v>
      </c>
      <c r="H267" s="431">
        <v>0.8</v>
      </c>
      <c r="I267" s="94">
        <v>178</v>
      </c>
      <c r="J267" s="90" t="s">
        <v>616</v>
      </c>
      <c r="K267" s="334" t="s">
        <v>617</v>
      </c>
      <c r="L267" s="414" t="s">
        <v>432</v>
      </c>
      <c r="M267" s="363">
        <v>2</v>
      </c>
      <c r="N267" s="370" t="s">
        <v>44</v>
      </c>
      <c r="O267" s="95">
        <v>0</v>
      </c>
      <c r="P267" s="95">
        <v>3</v>
      </c>
      <c r="Q267" s="375">
        <v>3</v>
      </c>
      <c r="R267" s="373">
        <v>3</v>
      </c>
      <c r="S267" s="373">
        <v>3</v>
      </c>
      <c r="T267" s="373">
        <v>3</v>
      </c>
      <c r="U267" s="340">
        <f>AP267/AP265</f>
        <v>1</v>
      </c>
      <c r="V267" s="94">
        <v>3</v>
      </c>
      <c r="W267" s="91" t="s">
        <v>442</v>
      </c>
      <c r="X267" s="141"/>
      <c r="Y267" s="142"/>
      <c r="Z267" s="141">
        <v>125772000</v>
      </c>
      <c r="AA267" s="101">
        <v>125772000</v>
      </c>
      <c r="AB267" s="141"/>
      <c r="AC267" s="142"/>
      <c r="AD267" s="141">
        <v>35000000</v>
      </c>
      <c r="AE267" s="101">
        <v>35000000</v>
      </c>
      <c r="AF267" s="141"/>
      <c r="AG267" s="142"/>
      <c r="AH267" s="141"/>
      <c r="AI267" s="142"/>
      <c r="AJ267" s="141"/>
      <c r="AK267" s="142"/>
      <c r="AL267" s="141"/>
      <c r="AM267" s="142"/>
      <c r="AN267" s="141"/>
      <c r="AO267" s="142"/>
      <c r="AP267" s="99">
        <f>+X267+Z267+AB267+AD267+AF267+AH267+AJ267+AL267+AN267</f>
        <v>160772000</v>
      </c>
      <c r="AQ267" s="100">
        <f>Y267+AA267+AC267+AE267+AG267+AI267+AK267+AM267+AO267</f>
        <v>160772000</v>
      </c>
      <c r="AR267" s="109"/>
      <c r="AS267" s="192">
        <v>129545160</v>
      </c>
      <c r="AT267" s="109"/>
      <c r="AU267" s="109"/>
      <c r="AV267" s="109"/>
      <c r="AW267" s="109"/>
      <c r="AX267" s="109"/>
      <c r="AY267" s="109"/>
      <c r="AZ267" s="109"/>
      <c r="BA267" s="109">
        <f>SUM(AR267:AY267)+AZ267</f>
        <v>129545160</v>
      </c>
      <c r="BB267" s="192"/>
      <c r="BC267" s="192">
        <v>133431514.8</v>
      </c>
      <c r="BD267" s="192"/>
      <c r="BE267" s="192"/>
      <c r="BF267" s="192"/>
      <c r="BG267" s="192"/>
      <c r="BH267" s="192"/>
      <c r="BI267" s="192"/>
      <c r="BJ267" s="192"/>
      <c r="BK267" s="192">
        <f>SUM(BB267:BJ267)</f>
        <v>133431514.8</v>
      </c>
      <c r="BL267" s="109"/>
      <c r="BM267" s="109">
        <v>137434460.24399999</v>
      </c>
      <c r="BN267" s="109"/>
      <c r="BO267" s="109"/>
      <c r="BP267" s="109"/>
      <c r="BQ267" s="109"/>
      <c r="BR267" s="109"/>
      <c r="BS267" s="109"/>
      <c r="BT267" s="109"/>
      <c r="BU267" s="109">
        <f>SUM(BL267:BT267)</f>
        <v>137434460.24399999</v>
      </c>
      <c r="BV267" s="103">
        <f t="shared" si="101"/>
        <v>800822270.08799994</v>
      </c>
    </row>
    <row r="268" spans="1:74" ht="57" x14ac:dyDescent="0.2">
      <c r="A268" s="84">
        <v>179</v>
      </c>
      <c r="B268" s="84">
        <v>3</v>
      </c>
      <c r="C268" s="173"/>
      <c r="D268" s="237"/>
      <c r="E268" s="110" t="s">
        <v>618</v>
      </c>
      <c r="F268" s="86" t="s">
        <v>619</v>
      </c>
      <c r="G268" s="431" t="s">
        <v>39</v>
      </c>
      <c r="H268" s="431">
        <v>0.9</v>
      </c>
      <c r="I268" s="94">
        <v>179</v>
      </c>
      <c r="J268" s="90" t="s">
        <v>620</v>
      </c>
      <c r="K268" s="334" t="s">
        <v>621</v>
      </c>
      <c r="L268" s="414" t="s">
        <v>432</v>
      </c>
      <c r="M268" s="363">
        <v>2</v>
      </c>
      <c r="N268" s="370" t="s">
        <v>44</v>
      </c>
      <c r="O268" s="95">
        <v>4</v>
      </c>
      <c r="P268" s="95">
        <v>4</v>
      </c>
      <c r="Q268" s="375">
        <v>4</v>
      </c>
      <c r="R268" s="373">
        <v>4</v>
      </c>
      <c r="S268" s="373">
        <v>4</v>
      </c>
      <c r="T268" s="373">
        <v>4</v>
      </c>
      <c r="U268" s="423"/>
      <c r="V268" s="94">
        <v>3</v>
      </c>
      <c r="W268" s="91" t="s">
        <v>442</v>
      </c>
      <c r="X268" s="141"/>
      <c r="Y268" s="142"/>
      <c r="Z268" s="141"/>
      <c r="AA268" s="142"/>
      <c r="AB268" s="141"/>
      <c r="AC268" s="142"/>
      <c r="AD268" s="141"/>
      <c r="AE268" s="142"/>
      <c r="AF268" s="141"/>
      <c r="AG268" s="142"/>
      <c r="AH268" s="141"/>
      <c r="AI268" s="142"/>
      <c r="AJ268" s="141"/>
      <c r="AK268" s="142"/>
      <c r="AL268" s="141"/>
      <c r="AM268" s="142"/>
      <c r="AN268" s="141"/>
      <c r="AO268" s="142"/>
      <c r="AP268" s="99">
        <f>+X268+Z268+AB268+AD268+AF268+AH268+AJ268+AL268+AN268</f>
        <v>0</v>
      </c>
      <c r="AQ268" s="100">
        <f>Y268+AA268+AC268+AE268+AG268+AI268+AK268+AM268+AO268</f>
        <v>0</v>
      </c>
      <c r="AR268" s="109"/>
      <c r="AS268" s="109"/>
      <c r="AT268" s="109"/>
      <c r="AU268" s="109"/>
      <c r="AV268" s="109"/>
      <c r="AW268" s="109"/>
      <c r="AX268" s="109"/>
      <c r="AY268" s="109"/>
      <c r="AZ268" s="109"/>
      <c r="BA268" s="109">
        <f>SUM(AR268:AY268)+AZ268</f>
        <v>0</v>
      </c>
      <c r="BB268" s="192"/>
      <c r="BC268" s="192"/>
      <c r="BD268" s="192"/>
      <c r="BE268" s="192"/>
      <c r="BF268" s="192"/>
      <c r="BG268" s="192"/>
      <c r="BH268" s="192"/>
      <c r="BI268" s="192"/>
      <c r="BJ268" s="192"/>
      <c r="BK268" s="192">
        <f>SUM(BB268:BJ268)</f>
        <v>0</v>
      </c>
      <c r="BL268" s="109"/>
      <c r="BM268" s="109"/>
      <c r="BN268" s="109"/>
      <c r="BO268" s="109"/>
      <c r="BP268" s="109"/>
      <c r="BQ268" s="109"/>
      <c r="BR268" s="109"/>
      <c r="BS268" s="109"/>
      <c r="BT268" s="109"/>
      <c r="BU268" s="109"/>
      <c r="BV268" s="103">
        <f t="shared" si="101"/>
        <v>0</v>
      </c>
    </row>
    <row r="269" spans="1:74" ht="30" customHeight="1" x14ac:dyDescent="0.2">
      <c r="A269" s="84"/>
      <c r="B269" s="84"/>
      <c r="C269" s="173"/>
      <c r="D269" s="56">
        <v>16</v>
      </c>
      <c r="E269" s="170" t="s">
        <v>622</v>
      </c>
      <c r="F269" s="58"/>
      <c r="G269" s="58"/>
      <c r="H269" s="59"/>
      <c r="I269" s="60"/>
      <c r="J269" s="61"/>
      <c r="K269" s="61"/>
      <c r="L269" s="62"/>
      <c r="M269" s="60"/>
      <c r="N269" s="63"/>
      <c r="O269" s="61"/>
      <c r="P269" s="61"/>
      <c r="Q269" s="64"/>
      <c r="R269" s="61"/>
      <c r="S269" s="61"/>
      <c r="T269" s="60"/>
      <c r="U269" s="171"/>
      <c r="V269" s="60"/>
      <c r="W269" s="60"/>
      <c r="X269" s="66">
        <f t="shared" ref="X269:AO269" si="122">X270+X273</f>
        <v>0</v>
      </c>
      <c r="Y269" s="66">
        <f t="shared" si="122"/>
        <v>0</v>
      </c>
      <c r="Z269" s="66">
        <f t="shared" si="122"/>
        <v>0</v>
      </c>
      <c r="AA269" s="66">
        <f t="shared" si="122"/>
        <v>0</v>
      </c>
      <c r="AB269" s="66">
        <f t="shared" si="122"/>
        <v>100000000</v>
      </c>
      <c r="AC269" s="66">
        <f t="shared" si="122"/>
        <v>100000000</v>
      </c>
      <c r="AD269" s="66">
        <f t="shared" si="122"/>
        <v>0</v>
      </c>
      <c r="AE269" s="66">
        <f t="shared" si="122"/>
        <v>0</v>
      </c>
      <c r="AF269" s="66">
        <f t="shared" si="122"/>
        <v>0</v>
      </c>
      <c r="AG269" s="66">
        <f t="shared" si="122"/>
        <v>0</v>
      </c>
      <c r="AH269" s="66">
        <f t="shared" si="122"/>
        <v>0</v>
      </c>
      <c r="AI269" s="66">
        <f t="shared" si="122"/>
        <v>0</v>
      </c>
      <c r="AJ269" s="66">
        <f t="shared" si="122"/>
        <v>0</v>
      </c>
      <c r="AK269" s="66">
        <f t="shared" si="122"/>
        <v>0</v>
      </c>
      <c r="AL269" s="66">
        <f t="shared" si="122"/>
        <v>0</v>
      </c>
      <c r="AM269" s="66">
        <f t="shared" si="122"/>
        <v>0</v>
      </c>
      <c r="AN269" s="66">
        <f t="shared" si="122"/>
        <v>0</v>
      </c>
      <c r="AO269" s="66">
        <f t="shared" si="122"/>
        <v>0</v>
      </c>
      <c r="AP269" s="67">
        <f>AP270+AP273</f>
        <v>100000000</v>
      </c>
      <c r="AQ269" s="66">
        <f>AQ270+AQ273</f>
        <v>100000000</v>
      </c>
      <c r="AR269" s="68"/>
      <c r="AS269" s="68"/>
      <c r="AT269" s="68"/>
      <c r="AU269" s="68"/>
      <c r="AV269" s="68"/>
      <c r="AW269" s="68"/>
      <c r="AX269" s="68"/>
      <c r="AY269" s="68"/>
      <c r="AZ269" s="68"/>
      <c r="BA269" s="68">
        <f>BA270+BA273</f>
        <v>100000000</v>
      </c>
      <c r="BB269" s="68"/>
      <c r="BC269" s="68"/>
      <c r="BD269" s="68"/>
      <c r="BE269" s="68"/>
      <c r="BF269" s="68"/>
      <c r="BG269" s="68"/>
      <c r="BH269" s="68"/>
      <c r="BI269" s="68"/>
      <c r="BJ269" s="68"/>
      <c r="BK269" s="68">
        <f>BK270+BK273</f>
        <v>90000000</v>
      </c>
      <c r="BL269" s="68"/>
      <c r="BM269" s="68"/>
      <c r="BN269" s="68"/>
      <c r="BO269" s="68"/>
      <c r="BP269" s="68"/>
      <c r="BQ269" s="68"/>
      <c r="BR269" s="68"/>
      <c r="BS269" s="68"/>
      <c r="BT269" s="68"/>
      <c r="BU269" s="68">
        <f>BU270+BU273</f>
        <v>90000000</v>
      </c>
      <c r="BV269" s="172">
        <f t="shared" si="101"/>
        <v>280000000</v>
      </c>
    </row>
    <row r="270" spans="1:74" ht="30" customHeight="1" x14ac:dyDescent="0.2">
      <c r="A270" s="84"/>
      <c r="B270" s="84"/>
      <c r="C270" s="173"/>
      <c r="D270" s="169"/>
      <c r="E270" s="71">
        <v>56</v>
      </c>
      <c r="F270" s="72" t="s">
        <v>623</v>
      </c>
      <c r="G270" s="75"/>
      <c r="H270" s="75"/>
      <c r="I270" s="74"/>
      <c r="J270" s="75"/>
      <c r="K270" s="75"/>
      <c r="L270" s="74"/>
      <c r="M270" s="76"/>
      <c r="N270" s="77"/>
      <c r="O270" s="75"/>
      <c r="P270" s="75"/>
      <c r="Q270" s="78"/>
      <c r="R270" s="75"/>
      <c r="S270" s="75"/>
      <c r="T270" s="76"/>
      <c r="U270" s="174"/>
      <c r="V270" s="76"/>
      <c r="W270" s="76"/>
      <c r="X270" s="80">
        <f t="shared" ref="X270:AO270" si="123">SUM(X271:X272)</f>
        <v>0</v>
      </c>
      <c r="Y270" s="80">
        <f t="shared" si="123"/>
        <v>0</v>
      </c>
      <c r="Z270" s="80">
        <f t="shared" si="123"/>
        <v>0</v>
      </c>
      <c r="AA270" s="80">
        <f t="shared" si="123"/>
        <v>0</v>
      </c>
      <c r="AB270" s="80">
        <f t="shared" si="123"/>
        <v>60000000</v>
      </c>
      <c r="AC270" s="80">
        <f t="shared" si="123"/>
        <v>60000000</v>
      </c>
      <c r="AD270" s="80">
        <f t="shared" si="123"/>
        <v>0</v>
      </c>
      <c r="AE270" s="80">
        <f t="shared" si="123"/>
        <v>0</v>
      </c>
      <c r="AF270" s="80">
        <f t="shared" si="123"/>
        <v>0</v>
      </c>
      <c r="AG270" s="80">
        <f t="shared" si="123"/>
        <v>0</v>
      </c>
      <c r="AH270" s="80">
        <f t="shared" si="123"/>
        <v>0</v>
      </c>
      <c r="AI270" s="80">
        <f t="shared" si="123"/>
        <v>0</v>
      </c>
      <c r="AJ270" s="80">
        <f t="shared" si="123"/>
        <v>0</v>
      </c>
      <c r="AK270" s="80">
        <f t="shared" si="123"/>
        <v>0</v>
      </c>
      <c r="AL270" s="80">
        <f t="shared" si="123"/>
        <v>0</v>
      </c>
      <c r="AM270" s="80">
        <f t="shared" si="123"/>
        <v>0</v>
      </c>
      <c r="AN270" s="80">
        <f t="shared" si="123"/>
        <v>0</v>
      </c>
      <c r="AO270" s="80">
        <f t="shared" si="123"/>
        <v>0</v>
      </c>
      <c r="AP270" s="81">
        <f>SUM(AP271:AP272)</f>
        <v>60000000</v>
      </c>
      <c r="AQ270" s="80">
        <f>SUM(AQ271:AQ272)</f>
        <v>60000000</v>
      </c>
      <c r="AR270" s="82"/>
      <c r="AS270" s="82"/>
      <c r="AT270" s="82"/>
      <c r="AU270" s="82"/>
      <c r="AV270" s="82"/>
      <c r="AW270" s="82"/>
      <c r="AX270" s="82"/>
      <c r="AY270" s="82"/>
      <c r="AZ270" s="82"/>
      <c r="BA270" s="82">
        <f>SUM(BA271:BA272)</f>
        <v>60000000</v>
      </c>
      <c r="BB270" s="82"/>
      <c r="BC270" s="82"/>
      <c r="BD270" s="82"/>
      <c r="BE270" s="82"/>
      <c r="BF270" s="82"/>
      <c r="BG270" s="82"/>
      <c r="BH270" s="82"/>
      <c r="BI270" s="82"/>
      <c r="BJ270" s="82"/>
      <c r="BK270" s="82">
        <f>SUM(BK271:BK272)</f>
        <v>60000000</v>
      </c>
      <c r="BL270" s="82"/>
      <c r="BM270" s="82"/>
      <c r="BN270" s="82"/>
      <c r="BO270" s="82"/>
      <c r="BP270" s="82"/>
      <c r="BQ270" s="82"/>
      <c r="BR270" s="82"/>
      <c r="BS270" s="82"/>
      <c r="BT270" s="82"/>
      <c r="BU270" s="82">
        <f>SUM(BU271:BU272)</f>
        <v>60000000</v>
      </c>
      <c r="BV270" s="83">
        <f t="shared" si="101"/>
        <v>180000000</v>
      </c>
    </row>
    <row r="271" spans="1:74" ht="105.75" customHeight="1" x14ac:dyDescent="0.2">
      <c r="A271" s="105">
        <v>180</v>
      </c>
      <c r="B271" s="84">
        <v>3</v>
      </c>
      <c r="C271" s="173"/>
      <c r="D271" s="173"/>
      <c r="E271" s="117">
        <v>29</v>
      </c>
      <c r="F271" s="280" t="s">
        <v>532</v>
      </c>
      <c r="G271" s="88" t="s">
        <v>533</v>
      </c>
      <c r="H271" s="88" t="s">
        <v>533</v>
      </c>
      <c r="I271" s="94">
        <v>180</v>
      </c>
      <c r="J271" s="90" t="s">
        <v>624</v>
      </c>
      <c r="K271" s="86" t="s">
        <v>625</v>
      </c>
      <c r="L271" s="91" t="s">
        <v>626</v>
      </c>
      <c r="M271" s="91">
        <v>14</v>
      </c>
      <c r="N271" s="92" t="s">
        <v>44</v>
      </c>
      <c r="O271" s="95">
        <v>0</v>
      </c>
      <c r="P271" s="95">
        <v>1</v>
      </c>
      <c r="Q271" s="94">
        <v>1</v>
      </c>
      <c r="R271" s="95">
        <v>1</v>
      </c>
      <c r="S271" s="95">
        <v>1</v>
      </c>
      <c r="T271" s="95">
        <v>1</v>
      </c>
      <c r="U271" s="432">
        <f>AP271/AP270</f>
        <v>0.79166666666666663</v>
      </c>
      <c r="V271" s="95">
        <v>4</v>
      </c>
      <c r="W271" s="92" t="s">
        <v>100</v>
      </c>
      <c r="X271" s="153"/>
      <c r="Y271" s="143"/>
      <c r="Z271" s="153"/>
      <c r="AA271" s="143"/>
      <c r="AB271" s="141">
        <v>47500000</v>
      </c>
      <c r="AC271" s="136">
        <v>47500000</v>
      </c>
      <c r="AD271" s="141"/>
      <c r="AE271" s="142"/>
      <c r="AF271" s="153"/>
      <c r="AG271" s="143"/>
      <c r="AH271" s="153"/>
      <c r="AI271" s="143"/>
      <c r="AJ271" s="153"/>
      <c r="AK271" s="143"/>
      <c r="AL271" s="153"/>
      <c r="AM271" s="143"/>
      <c r="AN271" s="153"/>
      <c r="AO271" s="143"/>
      <c r="AP271" s="99">
        <f>+X271+Z271+AB271+AD271+AF271+AH271+AJ271+AL271+AN271</f>
        <v>47500000</v>
      </c>
      <c r="AQ271" s="100">
        <f>Y271+AA271+AC271+AE271+AG271+AI271+AK271+AM271+AO271</f>
        <v>47500000</v>
      </c>
      <c r="AR271" s="109"/>
      <c r="AS271" s="109"/>
      <c r="AT271" s="109">
        <v>47500000</v>
      </c>
      <c r="AU271" s="109"/>
      <c r="AV271" s="109"/>
      <c r="AW271" s="109"/>
      <c r="AX271" s="109"/>
      <c r="AY271" s="109"/>
      <c r="AZ271" s="109"/>
      <c r="BA271" s="109">
        <f>SUM(AR271:AY271)+AZ271</f>
        <v>47500000</v>
      </c>
      <c r="BB271" s="109"/>
      <c r="BC271" s="109"/>
      <c r="BD271" s="109">
        <v>47500000</v>
      </c>
      <c r="BE271" s="109"/>
      <c r="BF271" s="109"/>
      <c r="BG271" s="109"/>
      <c r="BH271" s="109"/>
      <c r="BI271" s="109"/>
      <c r="BJ271" s="109"/>
      <c r="BK271" s="109">
        <f>SUM(BB271:BJ271)</f>
        <v>47500000</v>
      </c>
      <c r="BL271" s="109"/>
      <c r="BM271" s="109"/>
      <c r="BN271" s="109">
        <v>47500000</v>
      </c>
      <c r="BO271" s="109"/>
      <c r="BP271" s="109"/>
      <c r="BQ271" s="109"/>
      <c r="BR271" s="109"/>
      <c r="BS271" s="109"/>
      <c r="BT271" s="109"/>
      <c r="BU271" s="109">
        <f>SUM(BL271:BT271)</f>
        <v>47500000</v>
      </c>
      <c r="BV271" s="103">
        <f t="shared" ref="BV271:BV300" si="124">SUM(AR271:BU271)</f>
        <v>285000000</v>
      </c>
    </row>
    <row r="272" spans="1:74" ht="137.25" customHeight="1" x14ac:dyDescent="0.2">
      <c r="A272" s="84">
        <v>181</v>
      </c>
      <c r="B272" s="84">
        <v>3</v>
      </c>
      <c r="C272" s="173"/>
      <c r="D272" s="173"/>
      <c r="E272" s="111">
        <v>30</v>
      </c>
      <c r="F272" s="280" t="s">
        <v>536</v>
      </c>
      <c r="G272" s="433" t="s">
        <v>538</v>
      </c>
      <c r="H272" s="262" t="s">
        <v>538</v>
      </c>
      <c r="I272" s="94">
        <v>181</v>
      </c>
      <c r="J272" s="90" t="s">
        <v>627</v>
      </c>
      <c r="K272" s="86" t="s">
        <v>628</v>
      </c>
      <c r="L272" s="91" t="s">
        <v>626</v>
      </c>
      <c r="M272" s="91">
        <v>14</v>
      </c>
      <c r="N272" s="92" t="s">
        <v>44</v>
      </c>
      <c r="O272" s="95">
        <v>6</v>
      </c>
      <c r="P272" s="95">
        <v>6</v>
      </c>
      <c r="Q272" s="94">
        <v>6</v>
      </c>
      <c r="R272" s="95">
        <v>6</v>
      </c>
      <c r="S272" s="95">
        <v>6</v>
      </c>
      <c r="T272" s="95">
        <v>6</v>
      </c>
      <c r="U272" s="432">
        <f>AP272/AP270</f>
        <v>0.20833333333333334</v>
      </c>
      <c r="V272" s="95">
        <v>4</v>
      </c>
      <c r="W272" s="92" t="s">
        <v>100</v>
      </c>
      <c r="X272" s="153"/>
      <c r="Y272" s="143"/>
      <c r="Z272" s="153"/>
      <c r="AA272" s="143"/>
      <c r="AB272" s="141">
        <v>12500000</v>
      </c>
      <c r="AC272" s="136">
        <v>12500000</v>
      </c>
      <c r="AD272" s="141"/>
      <c r="AE272" s="142"/>
      <c r="AF272" s="153"/>
      <c r="AG272" s="143"/>
      <c r="AH272" s="153"/>
      <c r="AI272" s="143"/>
      <c r="AJ272" s="153"/>
      <c r="AK272" s="143"/>
      <c r="AL272" s="153"/>
      <c r="AM272" s="143"/>
      <c r="AN272" s="153"/>
      <c r="AO272" s="143"/>
      <c r="AP272" s="99">
        <f>+X272+Z272+AB272+AD272+AF272+AH272+AJ272+AL272+AN272</f>
        <v>12500000</v>
      </c>
      <c r="AQ272" s="100">
        <f>Y272+AA272+AC272+AE272+AG272+AI272+AK272+AM272+AO272</f>
        <v>12500000</v>
      </c>
      <c r="AR272" s="109"/>
      <c r="AS272" s="109"/>
      <c r="AT272" s="109">
        <v>12500000</v>
      </c>
      <c r="AU272" s="109"/>
      <c r="AV272" s="109"/>
      <c r="AW272" s="109"/>
      <c r="AX272" s="109"/>
      <c r="AY272" s="109"/>
      <c r="AZ272" s="109"/>
      <c r="BA272" s="109">
        <f>SUM(AR272:AY272)+AZ272</f>
        <v>12500000</v>
      </c>
      <c r="BB272" s="109"/>
      <c r="BC272" s="109"/>
      <c r="BD272" s="109">
        <v>12500000</v>
      </c>
      <c r="BE272" s="109"/>
      <c r="BF272" s="109"/>
      <c r="BG272" s="109"/>
      <c r="BH272" s="109"/>
      <c r="BI272" s="109"/>
      <c r="BJ272" s="109"/>
      <c r="BK272" s="109">
        <f>SUM(BB272:BJ272)</f>
        <v>12500000</v>
      </c>
      <c r="BL272" s="109"/>
      <c r="BM272" s="109"/>
      <c r="BN272" s="109">
        <v>12500000</v>
      </c>
      <c r="BO272" s="109"/>
      <c r="BP272" s="109"/>
      <c r="BQ272" s="109"/>
      <c r="BR272" s="109"/>
      <c r="BS272" s="109"/>
      <c r="BT272" s="109"/>
      <c r="BU272" s="109">
        <f>SUM(BL272:BT272)</f>
        <v>12500000</v>
      </c>
      <c r="BV272" s="103">
        <f t="shared" si="124"/>
        <v>75000000</v>
      </c>
    </row>
    <row r="273" spans="1:74" ht="26.25" customHeight="1" x14ac:dyDescent="0.2">
      <c r="A273" s="84"/>
      <c r="B273" s="84"/>
      <c r="C273" s="173"/>
      <c r="D273" s="173"/>
      <c r="E273" s="71">
        <v>57</v>
      </c>
      <c r="F273" s="72" t="s">
        <v>629</v>
      </c>
      <c r="G273" s="75"/>
      <c r="H273" s="75"/>
      <c r="I273" s="74"/>
      <c r="J273" s="75"/>
      <c r="K273" s="75"/>
      <c r="L273" s="74"/>
      <c r="M273" s="76"/>
      <c r="N273" s="77"/>
      <c r="O273" s="75"/>
      <c r="P273" s="75"/>
      <c r="Q273" s="78"/>
      <c r="R273" s="75"/>
      <c r="S273" s="75"/>
      <c r="T273" s="76"/>
      <c r="U273" s="174"/>
      <c r="V273" s="76"/>
      <c r="W273" s="76"/>
      <c r="X273" s="80">
        <f t="shared" ref="X273:AO273" si="125">SUM(X274)</f>
        <v>0</v>
      </c>
      <c r="Y273" s="80">
        <f t="shared" si="125"/>
        <v>0</v>
      </c>
      <c r="Z273" s="80">
        <f t="shared" si="125"/>
        <v>0</v>
      </c>
      <c r="AA273" s="80">
        <f t="shared" si="125"/>
        <v>0</v>
      </c>
      <c r="AB273" s="80">
        <f t="shared" si="125"/>
        <v>40000000</v>
      </c>
      <c r="AC273" s="80">
        <f t="shared" si="125"/>
        <v>40000000</v>
      </c>
      <c r="AD273" s="80">
        <f t="shared" si="125"/>
        <v>0</v>
      </c>
      <c r="AE273" s="80">
        <f t="shared" si="125"/>
        <v>0</v>
      </c>
      <c r="AF273" s="80">
        <f t="shared" si="125"/>
        <v>0</v>
      </c>
      <c r="AG273" s="80">
        <f t="shared" si="125"/>
        <v>0</v>
      </c>
      <c r="AH273" s="80">
        <f t="shared" si="125"/>
        <v>0</v>
      </c>
      <c r="AI273" s="80">
        <f t="shared" si="125"/>
        <v>0</v>
      </c>
      <c r="AJ273" s="80">
        <f t="shared" si="125"/>
        <v>0</v>
      </c>
      <c r="AK273" s="80">
        <f t="shared" si="125"/>
        <v>0</v>
      </c>
      <c r="AL273" s="80">
        <f t="shared" si="125"/>
        <v>0</v>
      </c>
      <c r="AM273" s="80">
        <f t="shared" si="125"/>
        <v>0</v>
      </c>
      <c r="AN273" s="80">
        <f t="shared" si="125"/>
        <v>0</v>
      </c>
      <c r="AO273" s="80">
        <f t="shared" si="125"/>
        <v>0</v>
      </c>
      <c r="AP273" s="81">
        <f>SUM(AP274)</f>
        <v>40000000</v>
      </c>
      <c r="AQ273" s="80">
        <f>SUM(AQ274)</f>
        <v>40000000</v>
      </c>
      <c r="AR273" s="82"/>
      <c r="AS273" s="82"/>
      <c r="AT273" s="82"/>
      <c r="AU273" s="82"/>
      <c r="AV273" s="82"/>
      <c r="AW273" s="82"/>
      <c r="AX273" s="82"/>
      <c r="AY273" s="82"/>
      <c r="AZ273" s="82"/>
      <c r="BA273" s="82">
        <f>SUM(BA274)</f>
        <v>40000000</v>
      </c>
      <c r="BB273" s="82"/>
      <c r="BC273" s="82"/>
      <c r="BD273" s="82"/>
      <c r="BE273" s="82"/>
      <c r="BF273" s="82"/>
      <c r="BG273" s="82"/>
      <c r="BH273" s="82"/>
      <c r="BI273" s="82"/>
      <c r="BJ273" s="82"/>
      <c r="BK273" s="82">
        <f>SUM(BK274)</f>
        <v>30000000</v>
      </c>
      <c r="BL273" s="82"/>
      <c r="BM273" s="82"/>
      <c r="BN273" s="82"/>
      <c r="BO273" s="82"/>
      <c r="BP273" s="82"/>
      <c r="BQ273" s="82"/>
      <c r="BR273" s="82"/>
      <c r="BS273" s="82"/>
      <c r="BT273" s="82"/>
      <c r="BU273" s="82">
        <f>SUM(BU274)</f>
        <v>30000000</v>
      </c>
      <c r="BV273" s="83">
        <f t="shared" si="124"/>
        <v>100000000</v>
      </c>
    </row>
    <row r="274" spans="1:74" ht="68.25" customHeight="1" x14ac:dyDescent="0.2">
      <c r="A274" s="105">
        <v>182</v>
      </c>
      <c r="B274" s="84">
        <v>3</v>
      </c>
      <c r="C274" s="173"/>
      <c r="D274" s="237"/>
      <c r="E274" s="110">
        <v>14</v>
      </c>
      <c r="F274" s="86" t="s">
        <v>400</v>
      </c>
      <c r="G274" s="120" t="s">
        <v>262</v>
      </c>
      <c r="H274" s="338">
        <v>0.03</v>
      </c>
      <c r="I274" s="94">
        <v>182</v>
      </c>
      <c r="J274" s="90" t="s">
        <v>630</v>
      </c>
      <c r="K274" s="271" t="s">
        <v>531</v>
      </c>
      <c r="L274" s="272" t="s">
        <v>253</v>
      </c>
      <c r="M274" s="272">
        <v>1</v>
      </c>
      <c r="N274" s="147" t="s">
        <v>44</v>
      </c>
      <c r="O274" s="217">
        <v>1</v>
      </c>
      <c r="P274" s="217">
        <v>1</v>
      </c>
      <c r="Q274" s="248">
        <v>1</v>
      </c>
      <c r="R274" s="117">
        <v>1</v>
      </c>
      <c r="S274" s="117">
        <v>1</v>
      </c>
      <c r="T274" s="117">
        <v>1</v>
      </c>
      <c r="U274" s="157">
        <f>AP274/AP273</f>
        <v>1</v>
      </c>
      <c r="V274" s="95">
        <v>4</v>
      </c>
      <c r="W274" s="92" t="s">
        <v>100</v>
      </c>
      <c r="X274" s="99"/>
      <c r="Y274" s="100"/>
      <c r="Z274" s="99"/>
      <c r="AA274" s="100"/>
      <c r="AB274" s="141">
        <v>40000000</v>
      </c>
      <c r="AC274" s="101">
        <v>40000000</v>
      </c>
      <c r="AD274" s="141"/>
      <c r="AE274" s="142"/>
      <c r="AF274" s="99"/>
      <c r="AG274" s="100"/>
      <c r="AH274" s="99"/>
      <c r="AI274" s="100"/>
      <c r="AJ274" s="99"/>
      <c r="AK274" s="100"/>
      <c r="AL274" s="99"/>
      <c r="AM274" s="100"/>
      <c r="AN274" s="99"/>
      <c r="AO274" s="100"/>
      <c r="AP274" s="99">
        <f>+X274+Z274+AB274+AD274+AF274+AH274+AJ274+AL274+AN274</f>
        <v>40000000</v>
      </c>
      <c r="AQ274" s="100">
        <f>Y274+AA274+AC274+AE274+AG274+AI274+AK274+AM274+AO274</f>
        <v>40000000</v>
      </c>
      <c r="AR274" s="109"/>
      <c r="AS274" s="109"/>
      <c r="AT274" s="109">
        <v>40000000</v>
      </c>
      <c r="AU274" s="109"/>
      <c r="AV274" s="109"/>
      <c r="AW274" s="109"/>
      <c r="AX274" s="109"/>
      <c r="AY274" s="109"/>
      <c r="AZ274" s="109"/>
      <c r="BA274" s="109">
        <f>SUM(AR274:AY274)+AZ274</f>
        <v>40000000</v>
      </c>
      <c r="BB274" s="109"/>
      <c r="BC274" s="109"/>
      <c r="BD274" s="192">
        <v>30000000</v>
      </c>
      <c r="BE274" s="109"/>
      <c r="BF274" s="109"/>
      <c r="BG274" s="109"/>
      <c r="BH274" s="109"/>
      <c r="BI274" s="109"/>
      <c r="BJ274" s="109"/>
      <c r="BK274" s="109">
        <f>SUM(BB274:BJ274)</f>
        <v>30000000</v>
      </c>
      <c r="BL274" s="109"/>
      <c r="BM274" s="109"/>
      <c r="BN274" s="109">
        <v>30000000</v>
      </c>
      <c r="BO274" s="109"/>
      <c r="BP274" s="109"/>
      <c r="BQ274" s="109"/>
      <c r="BR274" s="109"/>
      <c r="BS274" s="109"/>
      <c r="BT274" s="109"/>
      <c r="BU274" s="109">
        <f>SUM(BL274:BT274)</f>
        <v>30000000</v>
      </c>
      <c r="BV274" s="103">
        <f t="shared" si="124"/>
        <v>200000000</v>
      </c>
    </row>
    <row r="275" spans="1:74" ht="27.75" customHeight="1" x14ac:dyDescent="0.2">
      <c r="A275" s="105"/>
      <c r="B275" s="84"/>
      <c r="C275" s="173"/>
      <c r="D275" s="56">
        <v>17</v>
      </c>
      <c r="E275" s="170" t="s">
        <v>631</v>
      </c>
      <c r="F275" s="58"/>
      <c r="G275" s="59"/>
      <c r="H275" s="58"/>
      <c r="I275" s="60"/>
      <c r="J275" s="61"/>
      <c r="K275" s="61"/>
      <c r="L275" s="62"/>
      <c r="M275" s="60"/>
      <c r="N275" s="63"/>
      <c r="O275" s="61"/>
      <c r="P275" s="61"/>
      <c r="Q275" s="64"/>
      <c r="R275" s="61"/>
      <c r="S275" s="61"/>
      <c r="T275" s="60"/>
      <c r="U275" s="171"/>
      <c r="V275" s="60"/>
      <c r="W275" s="60"/>
      <c r="X275" s="66">
        <f t="shared" ref="X275:AO275" si="126">X276+X278+X282+X286</f>
        <v>0</v>
      </c>
      <c r="Y275" s="66">
        <f t="shared" si="126"/>
        <v>0</v>
      </c>
      <c r="Z275" s="66">
        <f t="shared" si="126"/>
        <v>0</v>
      </c>
      <c r="AA275" s="66">
        <f t="shared" si="126"/>
        <v>0</v>
      </c>
      <c r="AB275" s="66">
        <f t="shared" si="126"/>
        <v>515000000</v>
      </c>
      <c r="AC275" s="66">
        <f t="shared" si="126"/>
        <v>715000000</v>
      </c>
      <c r="AD275" s="66">
        <f t="shared" si="126"/>
        <v>0</v>
      </c>
      <c r="AE275" s="66">
        <f t="shared" si="126"/>
        <v>0</v>
      </c>
      <c r="AF275" s="66">
        <f t="shared" si="126"/>
        <v>0</v>
      </c>
      <c r="AG275" s="66">
        <f t="shared" si="126"/>
        <v>0</v>
      </c>
      <c r="AH275" s="66">
        <f t="shared" si="126"/>
        <v>0</v>
      </c>
      <c r="AI275" s="66">
        <f t="shared" si="126"/>
        <v>0</v>
      </c>
      <c r="AJ275" s="66">
        <f t="shared" si="126"/>
        <v>0</v>
      </c>
      <c r="AK275" s="66">
        <f t="shared" si="126"/>
        <v>0</v>
      </c>
      <c r="AL275" s="66">
        <f t="shared" si="126"/>
        <v>0</v>
      </c>
      <c r="AM275" s="66">
        <f t="shared" si="126"/>
        <v>0</v>
      </c>
      <c r="AN275" s="66">
        <f t="shared" si="126"/>
        <v>0</v>
      </c>
      <c r="AO275" s="66">
        <f t="shared" si="126"/>
        <v>0</v>
      </c>
      <c r="AP275" s="67">
        <f>AP276+AP278+AP282+AP286</f>
        <v>515000000</v>
      </c>
      <c r="AQ275" s="66">
        <f>AQ276+AQ278+AQ282+AQ286</f>
        <v>715000000</v>
      </c>
      <c r="AR275" s="68"/>
      <c r="AS275" s="68"/>
      <c r="AT275" s="68"/>
      <c r="AU275" s="68"/>
      <c r="AV275" s="68"/>
      <c r="AW275" s="68"/>
      <c r="AX275" s="68"/>
      <c r="AY275" s="68"/>
      <c r="AZ275" s="68"/>
      <c r="BA275" s="68">
        <f>BA276+BA278+BA282+BA286</f>
        <v>440000000</v>
      </c>
      <c r="BB275" s="68"/>
      <c r="BC275" s="68"/>
      <c r="BD275" s="68"/>
      <c r="BE275" s="68"/>
      <c r="BF275" s="68"/>
      <c r="BG275" s="68"/>
      <c r="BH275" s="68"/>
      <c r="BI275" s="68"/>
      <c r="BJ275" s="68"/>
      <c r="BK275" s="68">
        <f>BK276+BK278+BK282+BK286</f>
        <v>420000000</v>
      </c>
      <c r="BL275" s="68"/>
      <c r="BM275" s="68"/>
      <c r="BN275" s="68"/>
      <c r="BO275" s="68"/>
      <c r="BP275" s="68"/>
      <c r="BQ275" s="68"/>
      <c r="BR275" s="68"/>
      <c r="BS275" s="68"/>
      <c r="BT275" s="68"/>
      <c r="BU275" s="68">
        <f>BU276+BU278+BU282+BU286</f>
        <v>410000000</v>
      </c>
      <c r="BV275" s="172">
        <f t="shared" si="124"/>
        <v>1270000000</v>
      </c>
    </row>
    <row r="276" spans="1:74" ht="27.75" customHeight="1" x14ac:dyDescent="0.2">
      <c r="A276" s="105"/>
      <c r="B276" s="84"/>
      <c r="C276" s="173"/>
      <c r="D276" s="169"/>
      <c r="E276" s="71">
        <v>58</v>
      </c>
      <c r="F276" s="72" t="s">
        <v>632</v>
      </c>
      <c r="G276" s="75"/>
      <c r="H276" s="75"/>
      <c r="I276" s="74"/>
      <c r="J276" s="75"/>
      <c r="K276" s="75"/>
      <c r="L276" s="74"/>
      <c r="M276" s="76"/>
      <c r="N276" s="77"/>
      <c r="O276" s="75"/>
      <c r="P276" s="75"/>
      <c r="Q276" s="78"/>
      <c r="R276" s="75"/>
      <c r="S276" s="75"/>
      <c r="T276" s="76"/>
      <c r="U276" s="174"/>
      <c r="V276" s="76"/>
      <c r="W276" s="76"/>
      <c r="X276" s="80">
        <f t="shared" ref="X276:AO276" si="127">SUM(X277)</f>
        <v>0</v>
      </c>
      <c r="Y276" s="80">
        <f t="shared" si="127"/>
        <v>0</v>
      </c>
      <c r="Z276" s="80">
        <f t="shared" si="127"/>
        <v>0</v>
      </c>
      <c r="AA276" s="80">
        <f t="shared" si="127"/>
        <v>0</v>
      </c>
      <c r="AB276" s="80">
        <f t="shared" si="127"/>
        <v>90000000</v>
      </c>
      <c r="AC276" s="80">
        <f t="shared" si="127"/>
        <v>90000000</v>
      </c>
      <c r="AD276" s="80">
        <f t="shared" si="127"/>
        <v>0</v>
      </c>
      <c r="AE276" s="80">
        <f t="shared" si="127"/>
        <v>0</v>
      </c>
      <c r="AF276" s="80">
        <f t="shared" si="127"/>
        <v>0</v>
      </c>
      <c r="AG276" s="80">
        <f t="shared" si="127"/>
        <v>0</v>
      </c>
      <c r="AH276" s="80">
        <f t="shared" si="127"/>
        <v>0</v>
      </c>
      <c r="AI276" s="80">
        <f t="shared" si="127"/>
        <v>0</v>
      </c>
      <c r="AJ276" s="80">
        <f t="shared" si="127"/>
        <v>0</v>
      </c>
      <c r="AK276" s="80">
        <f t="shared" si="127"/>
        <v>0</v>
      </c>
      <c r="AL276" s="80">
        <f t="shared" si="127"/>
        <v>0</v>
      </c>
      <c r="AM276" s="80">
        <f t="shared" si="127"/>
        <v>0</v>
      </c>
      <c r="AN276" s="80">
        <f t="shared" si="127"/>
        <v>0</v>
      </c>
      <c r="AO276" s="80">
        <f t="shared" si="127"/>
        <v>0</v>
      </c>
      <c r="AP276" s="81">
        <f>SUM(AP277)</f>
        <v>90000000</v>
      </c>
      <c r="AQ276" s="80">
        <f>SUM(AQ277)</f>
        <v>90000000</v>
      </c>
      <c r="AR276" s="82"/>
      <c r="AS276" s="82"/>
      <c r="AT276" s="82"/>
      <c r="AU276" s="82"/>
      <c r="AV276" s="82"/>
      <c r="AW276" s="82"/>
      <c r="AX276" s="82"/>
      <c r="AY276" s="82"/>
      <c r="AZ276" s="82"/>
      <c r="BA276" s="82">
        <f>SUM(BA277)</f>
        <v>80000000</v>
      </c>
      <c r="BB276" s="82"/>
      <c r="BC276" s="82"/>
      <c r="BD276" s="82"/>
      <c r="BE276" s="82"/>
      <c r="BF276" s="82"/>
      <c r="BG276" s="82"/>
      <c r="BH276" s="82"/>
      <c r="BI276" s="82"/>
      <c r="BJ276" s="82"/>
      <c r="BK276" s="82">
        <f>SUM(BK277)</f>
        <v>70000000</v>
      </c>
      <c r="BL276" s="82"/>
      <c r="BM276" s="82"/>
      <c r="BN276" s="82"/>
      <c r="BO276" s="82"/>
      <c r="BP276" s="82"/>
      <c r="BQ276" s="82"/>
      <c r="BR276" s="82"/>
      <c r="BS276" s="82"/>
      <c r="BT276" s="82"/>
      <c r="BU276" s="82">
        <f>SUM(BU277)</f>
        <v>60000000</v>
      </c>
      <c r="BV276" s="83">
        <f t="shared" si="124"/>
        <v>210000000</v>
      </c>
    </row>
    <row r="277" spans="1:74" ht="71.25" x14ac:dyDescent="0.2">
      <c r="A277" s="84">
        <v>183</v>
      </c>
      <c r="B277" s="84">
        <v>3</v>
      </c>
      <c r="C277" s="173"/>
      <c r="D277" s="173"/>
      <c r="E277" s="117">
        <v>22</v>
      </c>
      <c r="F277" s="427" t="s">
        <v>229</v>
      </c>
      <c r="G277" s="262" t="s">
        <v>230</v>
      </c>
      <c r="H277" s="225" t="s">
        <v>234</v>
      </c>
      <c r="I277" s="94">
        <v>183</v>
      </c>
      <c r="J277" s="90" t="s">
        <v>633</v>
      </c>
      <c r="K277" s="346" t="s">
        <v>634</v>
      </c>
      <c r="L277" s="91" t="s">
        <v>626</v>
      </c>
      <c r="M277" s="91">
        <v>14</v>
      </c>
      <c r="N277" s="147" t="s">
        <v>44</v>
      </c>
      <c r="O277" s="117">
        <v>0</v>
      </c>
      <c r="P277" s="117">
        <v>1</v>
      </c>
      <c r="Q277" s="248">
        <v>1</v>
      </c>
      <c r="R277" s="117">
        <v>1</v>
      </c>
      <c r="S277" s="117">
        <v>1</v>
      </c>
      <c r="T277" s="117">
        <v>1</v>
      </c>
      <c r="U277" s="273">
        <f>AP274/AP273</f>
        <v>1</v>
      </c>
      <c r="V277" s="95">
        <v>10</v>
      </c>
      <c r="W277" s="92" t="s">
        <v>376</v>
      </c>
      <c r="X277" s="231"/>
      <c r="Y277" s="136"/>
      <c r="Z277" s="231"/>
      <c r="AA277" s="136"/>
      <c r="AB277" s="141">
        <f>73000000+17000000</f>
        <v>90000000</v>
      </c>
      <c r="AC277" s="142">
        <v>90000000</v>
      </c>
      <c r="AD277" s="141"/>
      <c r="AE277" s="142"/>
      <c r="AF277" s="231"/>
      <c r="AG277" s="136"/>
      <c r="AH277" s="231"/>
      <c r="AI277" s="136"/>
      <c r="AJ277" s="231"/>
      <c r="AK277" s="136"/>
      <c r="AL277" s="231"/>
      <c r="AM277" s="136"/>
      <c r="AN277" s="231"/>
      <c r="AO277" s="136"/>
      <c r="AP277" s="99">
        <f>+X277+Z277+AB277+AD277+AF277+AH277+AJ277+AL277+AN277</f>
        <v>90000000</v>
      </c>
      <c r="AQ277" s="100">
        <f>Y277+AA277+AC277+AE277+AG277+AI277+AK277+AM277+AO277</f>
        <v>90000000</v>
      </c>
      <c r="AR277" s="109"/>
      <c r="AS277" s="109"/>
      <c r="AT277" s="192">
        <v>80000000</v>
      </c>
      <c r="AU277" s="109"/>
      <c r="AV277" s="109"/>
      <c r="AW277" s="109"/>
      <c r="AX277" s="109"/>
      <c r="AY277" s="109"/>
      <c r="AZ277" s="109"/>
      <c r="BA277" s="109">
        <f>SUM(AR277:AY277)+AZ277</f>
        <v>80000000</v>
      </c>
      <c r="BB277" s="192"/>
      <c r="BC277" s="192"/>
      <c r="BD277" s="192">
        <v>70000000</v>
      </c>
      <c r="BE277" s="192"/>
      <c r="BF277" s="192"/>
      <c r="BG277" s="192"/>
      <c r="BH277" s="192"/>
      <c r="BI277" s="192"/>
      <c r="BJ277" s="192"/>
      <c r="BK277" s="192">
        <f>SUM(BB277:BJ277)</f>
        <v>70000000</v>
      </c>
      <c r="BL277" s="109"/>
      <c r="BM277" s="109"/>
      <c r="BN277" s="109">
        <v>60000000</v>
      </c>
      <c r="BO277" s="109"/>
      <c r="BP277" s="109"/>
      <c r="BQ277" s="109"/>
      <c r="BR277" s="109"/>
      <c r="BS277" s="109"/>
      <c r="BT277" s="109"/>
      <c r="BU277" s="109">
        <f>SUM(BL277:BT277)</f>
        <v>60000000</v>
      </c>
      <c r="BV277" s="103">
        <f t="shared" si="124"/>
        <v>420000000</v>
      </c>
    </row>
    <row r="278" spans="1:74" ht="24" customHeight="1" x14ac:dyDescent="0.2">
      <c r="A278" s="84"/>
      <c r="B278" s="84"/>
      <c r="C278" s="173"/>
      <c r="D278" s="173"/>
      <c r="E278" s="71">
        <v>59</v>
      </c>
      <c r="F278" s="345" t="s">
        <v>635</v>
      </c>
      <c r="G278" s="345"/>
      <c r="H278" s="310"/>
      <c r="I278" s="74"/>
      <c r="J278" s="75"/>
      <c r="K278" s="75"/>
      <c r="L278" s="74"/>
      <c r="M278" s="76"/>
      <c r="N278" s="77"/>
      <c r="O278" s="75"/>
      <c r="P278" s="75"/>
      <c r="Q278" s="78"/>
      <c r="R278" s="75"/>
      <c r="S278" s="75"/>
      <c r="T278" s="76"/>
      <c r="U278" s="174"/>
      <c r="V278" s="76"/>
      <c r="W278" s="76"/>
      <c r="X278" s="80">
        <f t="shared" ref="X278:AO278" si="128">SUM(X279:X281)</f>
        <v>0</v>
      </c>
      <c r="Y278" s="80">
        <f t="shared" si="128"/>
        <v>0</v>
      </c>
      <c r="Z278" s="80">
        <f t="shared" si="128"/>
        <v>0</v>
      </c>
      <c r="AA278" s="80">
        <f t="shared" si="128"/>
        <v>0</v>
      </c>
      <c r="AB278" s="80">
        <f t="shared" si="128"/>
        <v>70000000</v>
      </c>
      <c r="AC278" s="80">
        <f t="shared" si="128"/>
        <v>270000000</v>
      </c>
      <c r="AD278" s="80">
        <f t="shared" si="128"/>
        <v>0</v>
      </c>
      <c r="AE278" s="80">
        <f t="shared" si="128"/>
        <v>0</v>
      </c>
      <c r="AF278" s="80">
        <f t="shared" si="128"/>
        <v>0</v>
      </c>
      <c r="AG278" s="80">
        <f t="shared" si="128"/>
        <v>0</v>
      </c>
      <c r="AH278" s="80">
        <f t="shared" si="128"/>
        <v>0</v>
      </c>
      <c r="AI278" s="80">
        <f t="shared" si="128"/>
        <v>0</v>
      </c>
      <c r="AJ278" s="80">
        <f t="shared" si="128"/>
        <v>0</v>
      </c>
      <c r="AK278" s="80">
        <f t="shared" si="128"/>
        <v>0</v>
      </c>
      <c r="AL278" s="80">
        <f t="shared" si="128"/>
        <v>0</v>
      </c>
      <c r="AM278" s="80">
        <f t="shared" si="128"/>
        <v>0</v>
      </c>
      <c r="AN278" s="80">
        <f t="shared" si="128"/>
        <v>0</v>
      </c>
      <c r="AO278" s="80">
        <f t="shared" si="128"/>
        <v>0</v>
      </c>
      <c r="AP278" s="81">
        <f>SUM(AP279:AP281)</f>
        <v>70000000</v>
      </c>
      <c r="AQ278" s="80">
        <f>SUM(AQ279:AQ281)</f>
        <v>270000000</v>
      </c>
      <c r="AR278" s="82"/>
      <c r="AS278" s="82"/>
      <c r="AT278" s="82"/>
      <c r="AU278" s="82"/>
      <c r="AV278" s="82"/>
      <c r="AW278" s="82"/>
      <c r="AX278" s="82"/>
      <c r="AY278" s="82"/>
      <c r="AZ278" s="82"/>
      <c r="BA278" s="188">
        <v>70000000</v>
      </c>
      <c r="BB278" s="188"/>
      <c r="BC278" s="188"/>
      <c r="BD278" s="188"/>
      <c r="BE278" s="188"/>
      <c r="BF278" s="188"/>
      <c r="BG278" s="188"/>
      <c r="BH278" s="188"/>
      <c r="BI278" s="188"/>
      <c r="BJ278" s="188"/>
      <c r="BK278" s="188">
        <v>70000000</v>
      </c>
      <c r="BL278" s="82"/>
      <c r="BM278" s="82"/>
      <c r="BN278" s="82"/>
      <c r="BO278" s="82"/>
      <c r="BP278" s="82"/>
      <c r="BQ278" s="82"/>
      <c r="BR278" s="82"/>
      <c r="BS278" s="82"/>
      <c r="BT278" s="82"/>
      <c r="BU278" s="189">
        <v>70000000</v>
      </c>
      <c r="BV278" s="83">
        <f t="shared" si="124"/>
        <v>210000000</v>
      </c>
    </row>
    <row r="279" spans="1:74" ht="127.5" customHeight="1" x14ac:dyDescent="0.2">
      <c r="A279" s="105">
        <v>184</v>
      </c>
      <c r="B279" s="84">
        <v>3</v>
      </c>
      <c r="C279" s="173"/>
      <c r="D279" s="173"/>
      <c r="E279" s="356"/>
      <c r="F279" s="169"/>
      <c r="G279" s="434"/>
      <c r="H279" s="169"/>
      <c r="I279" s="89">
        <v>184</v>
      </c>
      <c r="J279" s="90" t="s">
        <v>636</v>
      </c>
      <c r="K279" s="346" t="s">
        <v>637</v>
      </c>
      <c r="L279" s="91" t="s">
        <v>626</v>
      </c>
      <c r="M279" s="91">
        <v>14</v>
      </c>
      <c r="N279" s="147" t="s">
        <v>44</v>
      </c>
      <c r="O279" s="117">
        <v>1</v>
      </c>
      <c r="P279" s="117">
        <v>1</v>
      </c>
      <c r="Q279" s="248">
        <v>1</v>
      </c>
      <c r="R279" s="117">
        <v>1</v>
      </c>
      <c r="S279" s="117">
        <v>1</v>
      </c>
      <c r="T279" s="117">
        <v>1</v>
      </c>
      <c r="U279" s="273">
        <f>AP279/$AP$278</f>
        <v>0.35714285714285715</v>
      </c>
      <c r="V279" s="95">
        <v>16</v>
      </c>
      <c r="W279" s="92" t="s">
        <v>363</v>
      </c>
      <c r="X279" s="231"/>
      <c r="Y279" s="136"/>
      <c r="Z279" s="231"/>
      <c r="AA279" s="136"/>
      <c r="AB279" s="141">
        <f>6500000+6000000+12500000</f>
        <v>25000000</v>
      </c>
      <c r="AC279" s="142">
        <v>234942593</v>
      </c>
      <c r="AD279" s="141"/>
      <c r="AE279" s="142"/>
      <c r="AF279" s="231"/>
      <c r="AG279" s="136"/>
      <c r="AH279" s="231"/>
      <c r="AI279" s="136"/>
      <c r="AJ279" s="231"/>
      <c r="AK279" s="136"/>
      <c r="AL279" s="231"/>
      <c r="AM279" s="136"/>
      <c r="AN279" s="231"/>
      <c r="AO279" s="136"/>
      <c r="AP279" s="99">
        <f>+X279+Z279+AB279+AD279+AF279+AH279+AJ279+AL279+AN279</f>
        <v>25000000</v>
      </c>
      <c r="AQ279" s="100">
        <f>Y279+AA279+AC279+AE279+AG279+AI279+AK279+AM279+AO279</f>
        <v>234942593</v>
      </c>
      <c r="AR279" s="109"/>
      <c r="AS279" s="109"/>
      <c r="AT279" s="109">
        <v>25000000</v>
      </c>
      <c r="AU279" s="109"/>
      <c r="AV279" s="109"/>
      <c r="AW279" s="109"/>
      <c r="AX279" s="109"/>
      <c r="AY279" s="109"/>
      <c r="AZ279" s="109"/>
      <c r="BA279" s="109">
        <f>SUM(AR279:AY279)+AZ279</f>
        <v>25000000</v>
      </c>
      <c r="BB279" s="109"/>
      <c r="BC279" s="109"/>
      <c r="BD279" s="109">
        <v>25000000</v>
      </c>
      <c r="BE279" s="109"/>
      <c r="BF279" s="109"/>
      <c r="BG279" s="109"/>
      <c r="BH279" s="109"/>
      <c r="BI279" s="109"/>
      <c r="BJ279" s="109"/>
      <c r="BK279" s="109">
        <f>SUM(BB279:BJ279)</f>
        <v>25000000</v>
      </c>
      <c r="BL279" s="109"/>
      <c r="BM279" s="109"/>
      <c r="BN279" s="109">
        <v>25000000</v>
      </c>
      <c r="BO279" s="109"/>
      <c r="BP279" s="109"/>
      <c r="BQ279" s="109"/>
      <c r="BR279" s="109"/>
      <c r="BS279" s="109"/>
      <c r="BT279" s="109"/>
      <c r="BU279" s="109">
        <f>SUM(BL279:BT279)</f>
        <v>25000000</v>
      </c>
      <c r="BV279" s="103">
        <f t="shared" si="124"/>
        <v>150000000</v>
      </c>
    </row>
    <row r="280" spans="1:74" ht="115.5" customHeight="1" x14ac:dyDescent="0.2">
      <c r="A280" s="84">
        <v>185</v>
      </c>
      <c r="B280" s="84">
        <v>3</v>
      </c>
      <c r="C280" s="173"/>
      <c r="D280" s="173"/>
      <c r="E280" s="111">
        <v>31</v>
      </c>
      <c r="F280" s="154" t="s">
        <v>638</v>
      </c>
      <c r="G280" s="149" t="s">
        <v>447</v>
      </c>
      <c r="H280" s="218">
        <v>0.2</v>
      </c>
      <c r="I280" s="94">
        <v>185</v>
      </c>
      <c r="J280" s="90" t="s">
        <v>639</v>
      </c>
      <c r="K280" s="346" t="s">
        <v>640</v>
      </c>
      <c r="L280" s="91" t="s">
        <v>626</v>
      </c>
      <c r="M280" s="91">
        <v>14</v>
      </c>
      <c r="N280" s="147" t="s">
        <v>44</v>
      </c>
      <c r="O280" s="117" t="s">
        <v>39</v>
      </c>
      <c r="P280" s="117">
        <v>1</v>
      </c>
      <c r="Q280" s="248">
        <v>1</v>
      </c>
      <c r="R280" s="117">
        <v>1</v>
      </c>
      <c r="S280" s="117">
        <v>1</v>
      </c>
      <c r="T280" s="117">
        <v>1</v>
      </c>
      <c r="U280" s="273">
        <f>AP280/$AP$278</f>
        <v>0.23571428571428571</v>
      </c>
      <c r="V280" s="95">
        <v>3</v>
      </c>
      <c r="W280" s="92" t="s">
        <v>442</v>
      </c>
      <c r="X280" s="231"/>
      <c r="Y280" s="136"/>
      <c r="Z280" s="231"/>
      <c r="AA280" s="136"/>
      <c r="AB280" s="141">
        <v>16500000</v>
      </c>
      <c r="AC280" s="101">
        <v>8007407</v>
      </c>
      <c r="AD280" s="141"/>
      <c r="AE280" s="142"/>
      <c r="AF280" s="231"/>
      <c r="AG280" s="136"/>
      <c r="AH280" s="231"/>
      <c r="AI280" s="136"/>
      <c r="AJ280" s="231"/>
      <c r="AK280" s="136"/>
      <c r="AL280" s="231"/>
      <c r="AM280" s="136"/>
      <c r="AN280" s="231"/>
      <c r="AO280" s="136"/>
      <c r="AP280" s="99">
        <f>+X280+Z280+AB280+AD280+AF280+AH280+AJ280+AL280+AN280</f>
        <v>16500000</v>
      </c>
      <c r="AQ280" s="100">
        <f>Y280+AA280+AC280+AE280+AG280+AI280+AK280+AM280+AO280</f>
        <v>8007407</v>
      </c>
      <c r="AR280" s="109"/>
      <c r="AS280" s="109"/>
      <c r="AT280" s="109">
        <v>16500000</v>
      </c>
      <c r="AU280" s="109"/>
      <c r="AV280" s="109"/>
      <c r="AW280" s="109"/>
      <c r="AX280" s="109"/>
      <c r="AY280" s="109"/>
      <c r="AZ280" s="109"/>
      <c r="BA280" s="109">
        <f>SUM(AR280:AY280)+AZ280</f>
        <v>16500000</v>
      </c>
      <c r="BB280" s="109"/>
      <c r="BC280" s="109"/>
      <c r="BD280" s="109">
        <v>16500000</v>
      </c>
      <c r="BE280" s="109"/>
      <c r="BF280" s="109"/>
      <c r="BG280" s="109"/>
      <c r="BH280" s="109"/>
      <c r="BI280" s="109"/>
      <c r="BJ280" s="109"/>
      <c r="BK280" s="109">
        <f>SUM(BB280:BJ280)</f>
        <v>16500000</v>
      </c>
      <c r="BL280" s="109"/>
      <c r="BM280" s="109"/>
      <c r="BN280" s="109">
        <v>16500000</v>
      </c>
      <c r="BO280" s="109"/>
      <c r="BP280" s="109"/>
      <c r="BQ280" s="109"/>
      <c r="BR280" s="109"/>
      <c r="BS280" s="109"/>
      <c r="BT280" s="109"/>
      <c r="BU280" s="109">
        <f>SUM(BL280:BT280)</f>
        <v>16500000</v>
      </c>
      <c r="BV280" s="103">
        <f t="shared" si="124"/>
        <v>99000000</v>
      </c>
    </row>
    <row r="281" spans="1:74" ht="99.75" x14ac:dyDescent="0.2">
      <c r="A281" s="105">
        <v>186</v>
      </c>
      <c r="B281" s="84">
        <v>3</v>
      </c>
      <c r="C281" s="173"/>
      <c r="D281" s="173"/>
      <c r="E281" s="110"/>
      <c r="F281" s="114"/>
      <c r="G281" s="116"/>
      <c r="H281" s="250"/>
      <c r="I281" s="94">
        <v>186</v>
      </c>
      <c r="J281" s="90" t="s">
        <v>641</v>
      </c>
      <c r="K281" s="346" t="s">
        <v>642</v>
      </c>
      <c r="L281" s="91" t="s">
        <v>626</v>
      </c>
      <c r="M281" s="91">
        <v>14</v>
      </c>
      <c r="N281" s="308" t="s">
        <v>44</v>
      </c>
      <c r="O281" s="248" t="s">
        <v>39</v>
      </c>
      <c r="P281" s="248">
        <v>1</v>
      </c>
      <c r="Q281" s="248">
        <v>1</v>
      </c>
      <c r="R281" s="248">
        <v>1</v>
      </c>
      <c r="S281" s="117">
        <v>1</v>
      </c>
      <c r="T281" s="117">
        <v>1</v>
      </c>
      <c r="U281" s="273">
        <f>AP281/$AP$278</f>
        <v>0.40714285714285714</v>
      </c>
      <c r="V281" s="95">
        <v>8</v>
      </c>
      <c r="W281" s="92" t="s">
        <v>121</v>
      </c>
      <c r="X281" s="231"/>
      <c r="Y281" s="136"/>
      <c r="Z281" s="231"/>
      <c r="AA281" s="136"/>
      <c r="AB281" s="101">
        <v>28500000</v>
      </c>
      <c r="AC281" s="100">
        <v>27050000</v>
      </c>
      <c r="AD281" s="141"/>
      <c r="AE281" s="142"/>
      <c r="AF281" s="231"/>
      <c r="AG281" s="136"/>
      <c r="AH281" s="231"/>
      <c r="AI281" s="136"/>
      <c r="AJ281" s="231"/>
      <c r="AK281" s="136"/>
      <c r="AL281" s="231"/>
      <c r="AM281" s="136"/>
      <c r="AN281" s="231"/>
      <c r="AO281" s="136"/>
      <c r="AP281" s="99">
        <f>+X281+Z281+AB281+AD281+AF281+AH281+AJ281+AL281+AN281</f>
        <v>28500000</v>
      </c>
      <c r="AQ281" s="100">
        <f>Y281+AA281+AC281+AE281+AG281+AI281+AK281+AM281+AO281</f>
        <v>27050000</v>
      </c>
      <c r="AR281" s="109"/>
      <c r="AS281" s="109"/>
      <c r="AT281" s="109">
        <v>28500000</v>
      </c>
      <c r="AU281" s="109"/>
      <c r="AV281" s="109"/>
      <c r="AW281" s="109"/>
      <c r="AX281" s="109"/>
      <c r="AY281" s="109"/>
      <c r="AZ281" s="109"/>
      <c r="BA281" s="109">
        <f>SUM(AR281:AY281)+AZ281</f>
        <v>28500000</v>
      </c>
      <c r="BB281" s="109"/>
      <c r="BC281" s="109"/>
      <c r="BD281" s="109">
        <v>28500000</v>
      </c>
      <c r="BE281" s="109"/>
      <c r="BF281" s="109"/>
      <c r="BG281" s="109"/>
      <c r="BH281" s="109"/>
      <c r="BI281" s="109"/>
      <c r="BJ281" s="109"/>
      <c r="BK281" s="109">
        <f>SUM(BB281:BJ281)</f>
        <v>28500000</v>
      </c>
      <c r="BL281" s="109"/>
      <c r="BM281" s="109"/>
      <c r="BN281" s="109">
        <v>28500000</v>
      </c>
      <c r="BO281" s="109"/>
      <c r="BP281" s="109"/>
      <c r="BQ281" s="109"/>
      <c r="BR281" s="109"/>
      <c r="BS281" s="109"/>
      <c r="BT281" s="109"/>
      <c r="BU281" s="109">
        <f>SUM(BL281:BT281)</f>
        <v>28500000</v>
      </c>
      <c r="BV281" s="103">
        <f t="shared" si="124"/>
        <v>171000000</v>
      </c>
    </row>
    <row r="282" spans="1:74" ht="27.75" customHeight="1" x14ac:dyDescent="0.2">
      <c r="A282" s="105"/>
      <c r="B282" s="84"/>
      <c r="C282" s="173"/>
      <c r="D282" s="173"/>
      <c r="E282" s="71">
        <v>60</v>
      </c>
      <c r="F282" s="72" t="s">
        <v>643</v>
      </c>
      <c r="G282" s="75"/>
      <c r="H282" s="75"/>
      <c r="I282" s="74"/>
      <c r="J282" s="75"/>
      <c r="K282" s="75"/>
      <c r="L282" s="74"/>
      <c r="M282" s="76"/>
      <c r="N282" s="77"/>
      <c r="O282" s="75"/>
      <c r="P282" s="75"/>
      <c r="Q282" s="78"/>
      <c r="R282" s="75"/>
      <c r="S282" s="75"/>
      <c r="T282" s="76"/>
      <c r="U282" s="174"/>
      <c r="V282" s="76"/>
      <c r="W282" s="76"/>
      <c r="X282" s="80">
        <f t="shared" ref="X282:AO282" si="129">SUM(X283:X285)</f>
        <v>0</v>
      </c>
      <c r="Y282" s="80">
        <f t="shared" si="129"/>
        <v>0</v>
      </c>
      <c r="Z282" s="80">
        <f t="shared" si="129"/>
        <v>0</v>
      </c>
      <c r="AA282" s="80">
        <f t="shared" si="129"/>
        <v>0</v>
      </c>
      <c r="AB282" s="80">
        <f t="shared" si="129"/>
        <v>175000000</v>
      </c>
      <c r="AC282" s="80">
        <f t="shared" si="129"/>
        <v>175000000</v>
      </c>
      <c r="AD282" s="80">
        <f t="shared" si="129"/>
        <v>0</v>
      </c>
      <c r="AE282" s="80">
        <f t="shared" si="129"/>
        <v>0</v>
      </c>
      <c r="AF282" s="80">
        <f t="shared" si="129"/>
        <v>0</v>
      </c>
      <c r="AG282" s="80">
        <f t="shared" si="129"/>
        <v>0</v>
      </c>
      <c r="AH282" s="80">
        <f t="shared" si="129"/>
        <v>0</v>
      </c>
      <c r="AI282" s="80">
        <f t="shared" si="129"/>
        <v>0</v>
      </c>
      <c r="AJ282" s="80">
        <f t="shared" si="129"/>
        <v>0</v>
      </c>
      <c r="AK282" s="80">
        <f t="shared" si="129"/>
        <v>0</v>
      </c>
      <c r="AL282" s="80">
        <f t="shared" si="129"/>
        <v>0</v>
      </c>
      <c r="AM282" s="80">
        <f t="shared" si="129"/>
        <v>0</v>
      </c>
      <c r="AN282" s="80">
        <f t="shared" si="129"/>
        <v>0</v>
      </c>
      <c r="AO282" s="80">
        <f t="shared" si="129"/>
        <v>0</v>
      </c>
      <c r="AP282" s="81">
        <f>SUM(AP283:AP285)</f>
        <v>175000000</v>
      </c>
      <c r="AQ282" s="80">
        <f>SUM(AQ283:AQ285)</f>
        <v>175000000</v>
      </c>
      <c r="AR282" s="82"/>
      <c r="AS282" s="82"/>
      <c r="AT282" s="82"/>
      <c r="AU282" s="82"/>
      <c r="AV282" s="82"/>
      <c r="AW282" s="82"/>
      <c r="AX282" s="82"/>
      <c r="AY282" s="82"/>
      <c r="AZ282" s="82"/>
      <c r="BA282" s="82">
        <f>SUM(BA283:BA285)</f>
        <v>100000000</v>
      </c>
      <c r="BB282" s="82"/>
      <c r="BC282" s="82"/>
      <c r="BD282" s="82"/>
      <c r="BE282" s="82"/>
      <c r="BF282" s="82"/>
      <c r="BG282" s="82"/>
      <c r="BH282" s="82"/>
      <c r="BI282" s="82"/>
      <c r="BJ282" s="82"/>
      <c r="BK282" s="82">
        <f>SUM(BK283:BK285)</f>
        <v>100000000</v>
      </c>
      <c r="BL282" s="82"/>
      <c r="BM282" s="82"/>
      <c r="BN282" s="82"/>
      <c r="BO282" s="82"/>
      <c r="BP282" s="82"/>
      <c r="BQ282" s="82"/>
      <c r="BR282" s="82"/>
      <c r="BS282" s="82"/>
      <c r="BT282" s="82"/>
      <c r="BU282" s="82">
        <f>SUM(BU283:BU285)</f>
        <v>100000000</v>
      </c>
      <c r="BV282" s="83">
        <f t="shared" si="124"/>
        <v>300000000</v>
      </c>
    </row>
    <row r="283" spans="1:74" ht="179.25" customHeight="1" x14ac:dyDescent="0.2">
      <c r="A283" s="84">
        <v>187</v>
      </c>
      <c r="B283" s="84">
        <v>3</v>
      </c>
      <c r="C283" s="173"/>
      <c r="D283" s="173"/>
      <c r="E283" s="85"/>
      <c r="F283" s="169"/>
      <c r="G283" s="169"/>
      <c r="H283" s="169"/>
      <c r="I283" s="94">
        <v>187</v>
      </c>
      <c r="J283" s="90" t="s">
        <v>644</v>
      </c>
      <c r="K283" s="346" t="s">
        <v>645</v>
      </c>
      <c r="L283" s="91" t="s">
        <v>626</v>
      </c>
      <c r="M283" s="91">
        <v>14</v>
      </c>
      <c r="N283" s="147" t="s">
        <v>44</v>
      </c>
      <c r="O283" s="117">
        <v>1</v>
      </c>
      <c r="P283" s="117">
        <v>1</v>
      </c>
      <c r="Q283" s="248">
        <v>1</v>
      </c>
      <c r="R283" s="117">
        <v>1</v>
      </c>
      <c r="S283" s="117">
        <v>1</v>
      </c>
      <c r="T283" s="117">
        <v>1</v>
      </c>
      <c r="U283" s="340">
        <f>AP283/$AP$282</f>
        <v>0.42485714285714288</v>
      </c>
      <c r="V283" s="95">
        <v>8</v>
      </c>
      <c r="W283" s="92" t="s">
        <v>121</v>
      </c>
      <c r="X283" s="141"/>
      <c r="Y283" s="142"/>
      <c r="Z283" s="141"/>
      <c r="AA283" s="142"/>
      <c r="AB283" s="141">
        <f>24350000+50000000</f>
        <v>74350000</v>
      </c>
      <c r="AC283" s="100">
        <v>45449950</v>
      </c>
      <c r="AD283" s="141"/>
      <c r="AE283" s="142"/>
      <c r="AF283" s="141"/>
      <c r="AG283" s="142"/>
      <c r="AH283" s="141"/>
      <c r="AI283" s="142"/>
      <c r="AJ283" s="141"/>
      <c r="AK283" s="142"/>
      <c r="AL283" s="141"/>
      <c r="AM283" s="142"/>
      <c r="AN283" s="141"/>
      <c r="AO283" s="142"/>
      <c r="AP283" s="99">
        <f>+X283+Z283+AB283+AD283+AF283+AH283+AJ283+AL283+AN283</f>
        <v>74350000</v>
      </c>
      <c r="AQ283" s="100">
        <f>Y283+AA283+AC283+AE283+AG283+AI283+AK283+AM283+AO283</f>
        <v>45449950</v>
      </c>
      <c r="AR283" s="109"/>
      <c r="AS283" s="109"/>
      <c r="AT283" s="109">
        <v>24350000</v>
      </c>
      <c r="AU283" s="109"/>
      <c r="AV283" s="109"/>
      <c r="AW283" s="109"/>
      <c r="AX283" s="109"/>
      <c r="AY283" s="109"/>
      <c r="AZ283" s="109"/>
      <c r="BA283" s="109">
        <f>SUM(AR283:AY283)+AZ283</f>
        <v>24350000</v>
      </c>
      <c r="BB283" s="109"/>
      <c r="BC283" s="109"/>
      <c r="BD283" s="109">
        <v>24350000</v>
      </c>
      <c r="BE283" s="109"/>
      <c r="BF283" s="109"/>
      <c r="BG283" s="109"/>
      <c r="BH283" s="109"/>
      <c r="BI283" s="109"/>
      <c r="BJ283" s="109"/>
      <c r="BK283" s="109">
        <f>SUM(BB283:BJ283)</f>
        <v>24350000</v>
      </c>
      <c r="BL283" s="109"/>
      <c r="BM283" s="109"/>
      <c r="BN283" s="109">
        <v>24350000</v>
      </c>
      <c r="BO283" s="109"/>
      <c r="BP283" s="109"/>
      <c r="BQ283" s="109"/>
      <c r="BR283" s="109"/>
      <c r="BS283" s="109"/>
      <c r="BT283" s="109"/>
      <c r="BU283" s="109">
        <f>SUM(BL283:BT283)</f>
        <v>24350000</v>
      </c>
      <c r="BV283" s="103">
        <f t="shared" si="124"/>
        <v>146100000</v>
      </c>
    </row>
    <row r="284" spans="1:74" ht="140.25" customHeight="1" x14ac:dyDescent="0.2">
      <c r="A284" s="105">
        <v>188</v>
      </c>
      <c r="B284" s="84">
        <v>3</v>
      </c>
      <c r="C284" s="173"/>
      <c r="D284" s="173"/>
      <c r="E284" s="179">
        <v>32</v>
      </c>
      <c r="F284" s="306" t="s">
        <v>646</v>
      </c>
      <c r="G284" s="435" t="s">
        <v>238</v>
      </c>
      <c r="H284" s="435" t="s">
        <v>239</v>
      </c>
      <c r="I284" s="94">
        <v>188</v>
      </c>
      <c r="J284" s="90" t="s">
        <v>647</v>
      </c>
      <c r="K284" s="346" t="s">
        <v>648</v>
      </c>
      <c r="L284" s="91" t="s">
        <v>626</v>
      </c>
      <c r="M284" s="91">
        <v>14</v>
      </c>
      <c r="N284" s="147" t="s">
        <v>44</v>
      </c>
      <c r="O284" s="117" t="s">
        <v>39</v>
      </c>
      <c r="P284" s="117">
        <v>2</v>
      </c>
      <c r="Q284" s="248">
        <v>2</v>
      </c>
      <c r="R284" s="117">
        <v>2</v>
      </c>
      <c r="S284" s="117">
        <v>2</v>
      </c>
      <c r="T284" s="117">
        <v>2</v>
      </c>
      <c r="U284" s="340">
        <f>AP284/$AP$282</f>
        <v>0.18085714285714286</v>
      </c>
      <c r="V284" s="95">
        <v>16</v>
      </c>
      <c r="W284" s="92" t="s">
        <v>363</v>
      </c>
      <c r="X284" s="141"/>
      <c r="Y284" s="142"/>
      <c r="Z284" s="141"/>
      <c r="AA284" s="142"/>
      <c r="AB284" s="141">
        <f>25000000+6650000</f>
        <v>31650000</v>
      </c>
      <c r="AC284" s="142">
        <v>48800050</v>
      </c>
      <c r="AD284" s="141"/>
      <c r="AE284" s="142"/>
      <c r="AF284" s="141"/>
      <c r="AG284" s="142"/>
      <c r="AH284" s="141"/>
      <c r="AI284" s="142"/>
      <c r="AJ284" s="141"/>
      <c r="AK284" s="142"/>
      <c r="AL284" s="141"/>
      <c r="AM284" s="142"/>
      <c r="AN284" s="141"/>
      <c r="AO284" s="142"/>
      <c r="AP284" s="99">
        <f>+X284+Z284+AB284+AD284+AF284+AH284+AJ284+AL284+AN284</f>
        <v>31650000</v>
      </c>
      <c r="AQ284" s="100">
        <f>Y284+AA284+AC284+AE284+AG284+AI284+AK284+AM284+AO284</f>
        <v>48800050</v>
      </c>
      <c r="AR284" s="109"/>
      <c r="AS284" s="109"/>
      <c r="AT284" s="109">
        <v>31650000</v>
      </c>
      <c r="AU284" s="109"/>
      <c r="AV284" s="109"/>
      <c r="AW284" s="109"/>
      <c r="AX284" s="109"/>
      <c r="AY284" s="109"/>
      <c r="AZ284" s="109"/>
      <c r="BA284" s="109">
        <f>SUM(AR284:AY284)+AZ284</f>
        <v>31650000</v>
      </c>
      <c r="BB284" s="109"/>
      <c r="BC284" s="109"/>
      <c r="BD284" s="109">
        <v>31650000</v>
      </c>
      <c r="BE284" s="109"/>
      <c r="BF284" s="109"/>
      <c r="BG284" s="109"/>
      <c r="BH284" s="109"/>
      <c r="BI284" s="109"/>
      <c r="BJ284" s="109"/>
      <c r="BK284" s="109">
        <f>SUM(BB284:BJ284)</f>
        <v>31650000</v>
      </c>
      <c r="BL284" s="109"/>
      <c r="BM284" s="109"/>
      <c r="BN284" s="109">
        <v>44000000</v>
      </c>
      <c r="BO284" s="109"/>
      <c r="BP284" s="109"/>
      <c r="BQ284" s="109"/>
      <c r="BR284" s="109"/>
      <c r="BS284" s="109"/>
      <c r="BT284" s="109"/>
      <c r="BU284" s="109">
        <f>SUM(BL284:BT284)</f>
        <v>44000000</v>
      </c>
      <c r="BV284" s="103">
        <f t="shared" si="124"/>
        <v>214600000</v>
      </c>
    </row>
    <row r="285" spans="1:74" ht="85.5" x14ac:dyDescent="0.2">
      <c r="A285" s="84">
        <v>189</v>
      </c>
      <c r="B285" s="84">
        <v>3</v>
      </c>
      <c r="C285" s="173"/>
      <c r="D285" s="173"/>
      <c r="E285" s="110"/>
      <c r="F285" s="114"/>
      <c r="G285" s="116"/>
      <c r="H285" s="116"/>
      <c r="I285" s="94">
        <v>189</v>
      </c>
      <c r="J285" s="90" t="s">
        <v>649</v>
      </c>
      <c r="K285" s="346" t="s">
        <v>650</v>
      </c>
      <c r="L285" s="91" t="s">
        <v>626</v>
      </c>
      <c r="M285" s="91">
        <v>14</v>
      </c>
      <c r="N285" s="147" t="s">
        <v>44</v>
      </c>
      <c r="O285" s="117" t="s">
        <v>39</v>
      </c>
      <c r="P285" s="117">
        <v>1</v>
      </c>
      <c r="Q285" s="248">
        <v>1</v>
      </c>
      <c r="R285" s="117">
        <v>1</v>
      </c>
      <c r="S285" s="117">
        <v>1</v>
      </c>
      <c r="T285" s="117">
        <v>1</v>
      </c>
      <c r="U285" s="340">
        <f>AP285/$AP$282</f>
        <v>0.39428571428571429</v>
      </c>
      <c r="V285" s="95">
        <v>3</v>
      </c>
      <c r="W285" s="92" t="s">
        <v>442</v>
      </c>
      <c r="X285" s="141"/>
      <c r="Y285" s="142"/>
      <c r="Z285" s="141"/>
      <c r="AA285" s="142"/>
      <c r="AB285" s="141">
        <f>15000000+19000000+10000000+25000000</f>
        <v>69000000</v>
      </c>
      <c r="AC285" s="142">
        <v>80750000</v>
      </c>
      <c r="AD285" s="141"/>
      <c r="AE285" s="142"/>
      <c r="AF285" s="141"/>
      <c r="AG285" s="142"/>
      <c r="AH285" s="141"/>
      <c r="AI285" s="142"/>
      <c r="AJ285" s="141"/>
      <c r="AK285" s="142"/>
      <c r="AL285" s="141"/>
      <c r="AM285" s="142"/>
      <c r="AN285" s="141"/>
      <c r="AO285" s="142"/>
      <c r="AP285" s="99">
        <f>+X285+Z285+AB285+AD285+AF285+AH285+AJ285+AL285+AN285</f>
        <v>69000000</v>
      </c>
      <c r="AQ285" s="100">
        <f>Y285+AA285+AC285+AE285+AG285+AI285+AK285+AM285+AO285</f>
        <v>80750000</v>
      </c>
      <c r="AR285" s="109"/>
      <c r="AS285" s="109"/>
      <c r="AT285" s="109">
        <v>44000000</v>
      </c>
      <c r="AU285" s="109"/>
      <c r="AV285" s="109"/>
      <c r="AW285" s="109"/>
      <c r="AX285" s="109"/>
      <c r="AY285" s="109"/>
      <c r="AZ285" s="109"/>
      <c r="BA285" s="109">
        <f>SUM(AR285:AY285)+AZ285</f>
        <v>44000000</v>
      </c>
      <c r="BB285" s="109"/>
      <c r="BC285" s="109"/>
      <c r="BD285" s="109">
        <v>44000000</v>
      </c>
      <c r="BE285" s="109"/>
      <c r="BF285" s="109"/>
      <c r="BG285" s="109"/>
      <c r="BH285" s="109"/>
      <c r="BI285" s="109"/>
      <c r="BJ285" s="109"/>
      <c r="BK285" s="109">
        <f>SUM(BB285:BJ285)</f>
        <v>44000000</v>
      </c>
      <c r="BL285" s="109"/>
      <c r="BM285" s="109"/>
      <c r="BN285" s="109">
        <v>31650000</v>
      </c>
      <c r="BO285" s="109"/>
      <c r="BP285" s="109"/>
      <c r="BQ285" s="109"/>
      <c r="BR285" s="109"/>
      <c r="BS285" s="109"/>
      <c r="BT285" s="109"/>
      <c r="BU285" s="109">
        <f>SUM(BL285:BT285)</f>
        <v>31650000</v>
      </c>
      <c r="BV285" s="103">
        <f t="shared" si="124"/>
        <v>239300000</v>
      </c>
    </row>
    <row r="286" spans="1:74" ht="27.75" customHeight="1" x14ac:dyDescent="0.2">
      <c r="A286" s="84"/>
      <c r="B286" s="84"/>
      <c r="C286" s="173"/>
      <c r="D286" s="173"/>
      <c r="E286" s="71">
        <v>61</v>
      </c>
      <c r="F286" s="229" t="s">
        <v>651</v>
      </c>
      <c r="G286" s="125"/>
      <c r="H286" s="125"/>
      <c r="I286" s="74"/>
      <c r="J286" s="125"/>
      <c r="K286" s="125"/>
      <c r="L286" s="74"/>
      <c r="M286" s="74"/>
      <c r="N286" s="126"/>
      <c r="O286" s="125"/>
      <c r="P286" s="125"/>
      <c r="Q286" s="127"/>
      <c r="R286" s="125"/>
      <c r="S286" s="125"/>
      <c r="T286" s="74"/>
      <c r="U286" s="128"/>
      <c r="V286" s="74"/>
      <c r="W286" s="74"/>
      <c r="X286" s="130">
        <f t="shared" ref="X286:AO286" si="130">SUM(X287)</f>
        <v>0</v>
      </c>
      <c r="Y286" s="130">
        <f t="shared" si="130"/>
        <v>0</v>
      </c>
      <c r="Z286" s="130">
        <f t="shared" si="130"/>
        <v>0</v>
      </c>
      <c r="AA286" s="130">
        <f t="shared" si="130"/>
        <v>0</v>
      </c>
      <c r="AB286" s="130">
        <f t="shared" si="130"/>
        <v>180000000</v>
      </c>
      <c r="AC286" s="130">
        <f t="shared" si="130"/>
        <v>180000000</v>
      </c>
      <c r="AD286" s="130">
        <f t="shared" si="130"/>
        <v>0</v>
      </c>
      <c r="AE286" s="130">
        <f t="shared" si="130"/>
        <v>0</v>
      </c>
      <c r="AF286" s="130">
        <f t="shared" si="130"/>
        <v>0</v>
      </c>
      <c r="AG286" s="130">
        <f t="shared" si="130"/>
        <v>0</v>
      </c>
      <c r="AH286" s="130">
        <f t="shared" si="130"/>
        <v>0</v>
      </c>
      <c r="AI286" s="130">
        <f t="shared" si="130"/>
        <v>0</v>
      </c>
      <c r="AJ286" s="130">
        <f t="shared" si="130"/>
        <v>0</v>
      </c>
      <c r="AK286" s="130">
        <f t="shared" si="130"/>
        <v>0</v>
      </c>
      <c r="AL286" s="130">
        <f t="shared" si="130"/>
        <v>0</v>
      </c>
      <c r="AM286" s="130">
        <f t="shared" si="130"/>
        <v>0</v>
      </c>
      <c r="AN286" s="130">
        <f t="shared" si="130"/>
        <v>0</v>
      </c>
      <c r="AO286" s="130">
        <f t="shared" si="130"/>
        <v>0</v>
      </c>
      <c r="AP286" s="130">
        <f>SUM(AP287)</f>
        <v>180000000</v>
      </c>
      <c r="AQ286" s="130">
        <f>SUM(AQ287)</f>
        <v>180000000</v>
      </c>
      <c r="AR286" s="131"/>
      <c r="AS286" s="131"/>
      <c r="AT286" s="131"/>
      <c r="AU286" s="131"/>
      <c r="AV286" s="131"/>
      <c r="AW286" s="131"/>
      <c r="AX286" s="131"/>
      <c r="AY286" s="131"/>
      <c r="AZ286" s="131"/>
      <c r="BA286" s="131">
        <f>SUM(BA287)</f>
        <v>190000000</v>
      </c>
      <c r="BB286" s="131"/>
      <c r="BC286" s="131"/>
      <c r="BD286" s="131"/>
      <c r="BE286" s="131"/>
      <c r="BF286" s="131"/>
      <c r="BG286" s="131"/>
      <c r="BH286" s="131"/>
      <c r="BI286" s="131"/>
      <c r="BJ286" s="131"/>
      <c r="BK286" s="131">
        <f>SUM(BK287)</f>
        <v>180000000</v>
      </c>
      <c r="BL286" s="131"/>
      <c r="BM286" s="131"/>
      <c r="BN286" s="131"/>
      <c r="BO286" s="131"/>
      <c r="BP286" s="131"/>
      <c r="BQ286" s="131"/>
      <c r="BR286" s="131"/>
      <c r="BS286" s="131"/>
      <c r="BT286" s="131"/>
      <c r="BU286" s="131">
        <f>SUM(BU287)</f>
        <v>180000000</v>
      </c>
      <c r="BV286" s="132">
        <f t="shared" si="124"/>
        <v>550000000</v>
      </c>
    </row>
    <row r="287" spans="1:74" ht="194.25" customHeight="1" x14ac:dyDescent="0.2">
      <c r="A287" s="105">
        <v>190</v>
      </c>
      <c r="B287" s="84">
        <v>3</v>
      </c>
      <c r="C287" s="173"/>
      <c r="D287" s="237"/>
      <c r="E287" s="117">
        <v>34</v>
      </c>
      <c r="F287" s="86" t="s">
        <v>652</v>
      </c>
      <c r="G287" s="117" t="s">
        <v>39</v>
      </c>
      <c r="H287" s="257">
        <v>0.4</v>
      </c>
      <c r="I287" s="94">
        <v>190</v>
      </c>
      <c r="J287" s="90" t="s">
        <v>653</v>
      </c>
      <c r="K287" s="298" t="s">
        <v>654</v>
      </c>
      <c r="L287" s="91" t="s">
        <v>626</v>
      </c>
      <c r="M287" s="91">
        <v>14</v>
      </c>
      <c r="N287" s="107" t="s">
        <v>44</v>
      </c>
      <c r="O287" s="93">
        <v>1</v>
      </c>
      <c r="P287" s="93">
        <v>1</v>
      </c>
      <c r="Q287" s="108">
        <v>1</v>
      </c>
      <c r="R287" s="93">
        <v>1</v>
      </c>
      <c r="S287" s="93">
        <v>1</v>
      </c>
      <c r="T287" s="93">
        <v>1</v>
      </c>
      <c r="U287" s="157">
        <f>AP287/AP286</f>
        <v>1</v>
      </c>
      <c r="V287" s="95">
        <v>10</v>
      </c>
      <c r="W287" s="92" t="s">
        <v>376</v>
      </c>
      <c r="X287" s="99"/>
      <c r="Y287" s="100"/>
      <c r="Z287" s="99"/>
      <c r="AA287" s="100"/>
      <c r="AB287" s="141">
        <f>150400000+22000000+7600000</f>
        <v>180000000</v>
      </c>
      <c r="AC287" s="142">
        <v>180000000</v>
      </c>
      <c r="AD287" s="141"/>
      <c r="AE287" s="142"/>
      <c r="AF287" s="99"/>
      <c r="AG287" s="100"/>
      <c r="AH287" s="99"/>
      <c r="AI287" s="100"/>
      <c r="AJ287" s="99"/>
      <c r="AK287" s="100"/>
      <c r="AL287" s="99"/>
      <c r="AM287" s="100"/>
      <c r="AN287" s="99"/>
      <c r="AO287" s="100"/>
      <c r="AP287" s="99">
        <f>+X287+Z287+AB287+AD287+AF287+AH287+AJ287+AL287+AN287</f>
        <v>180000000</v>
      </c>
      <c r="AQ287" s="100">
        <f>Y287+AA287+AC287+AE287+AG287+AI287+AK287+AM287+AO287</f>
        <v>180000000</v>
      </c>
      <c r="AR287" s="109"/>
      <c r="AS287" s="109"/>
      <c r="AT287" s="192">
        <v>190000000</v>
      </c>
      <c r="AU287" s="109"/>
      <c r="AV287" s="109"/>
      <c r="AW287" s="109"/>
      <c r="AX287" s="109"/>
      <c r="AY287" s="109"/>
      <c r="AZ287" s="109"/>
      <c r="BA287" s="109">
        <f>SUM(AR287:AY287)+AZ287</f>
        <v>190000000</v>
      </c>
      <c r="BB287" s="192"/>
      <c r="BC287" s="192"/>
      <c r="BD287" s="192">
        <v>180000000</v>
      </c>
      <c r="BE287" s="192"/>
      <c r="BF287" s="192"/>
      <c r="BG287" s="192"/>
      <c r="BH287" s="192"/>
      <c r="BI287" s="192"/>
      <c r="BJ287" s="192"/>
      <c r="BK287" s="192">
        <f>SUM(BB287:BJ287)</f>
        <v>180000000</v>
      </c>
      <c r="BL287" s="109"/>
      <c r="BM287" s="109"/>
      <c r="BN287" s="109">
        <v>180000000</v>
      </c>
      <c r="BO287" s="109"/>
      <c r="BP287" s="109"/>
      <c r="BQ287" s="109"/>
      <c r="BR287" s="109"/>
      <c r="BS287" s="109"/>
      <c r="BT287" s="109"/>
      <c r="BU287" s="109">
        <f>SUM(BL287:BT287)</f>
        <v>180000000</v>
      </c>
      <c r="BV287" s="103">
        <f t="shared" si="124"/>
        <v>1100000000</v>
      </c>
    </row>
    <row r="288" spans="1:74" ht="26.25" customHeight="1" x14ac:dyDescent="0.2">
      <c r="A288" s="105"/>
      <c r="B288" s="84"/>
      <c r="C288" s="173"/>
      <c r="D288" s="56">
        <v>18</v>
      </c>
      <c r="E288" s="170" t="s">
        <v>655</v>
      </c>
      <c r="F288" s="58"/>
      <c r="G288" s="58"/>
      <c r="H288" s="58"/>
      <c r="I288" s="358"/>
      <c r="J288" s="61"/>
      <c r="K288" s="61"/>
      <c r="L288" s="62"/>
      <c r="M288" s="60"/>
      <c r="N288" s="63"/>
      <c r="O288" s="61"/>
      <c r="P288" s="61"/>
      <c r="Q288" s="64"/>
      <c r="R288" s="61"/>
      <c r="S288" s="61"/>
      <c r="T288" s="60"/>
      <c r="U288" s="171"/>
      <c r="V288" s="60"/>
      <c r="W288" s="60"/>
      <c r="X288" s="66">
        <f t="shared" ref="X288:AO288" si="131">X289+X292+X295+X297+X299</f>
        <v>0</v>
      </c>
      <c r="Y288" s="66">
        <f t="shared" si="131"/>
        <v>0</v>
      </c>
      <c r="Z288" s="66">
        <f t="shared" si="131"/>
        <v>0</v>
      </c>
      <c r="AA288" s="66">
        <f t="shared" si="131"/>
        <v>0</v>
      </c>
      <c r="AB288" s="66">
        <f t="shared" si="131"/>
        <v>435000000</v>
      </c>
      <c r="AC288" s="66">
        <f t="shared" si="131"/>
        <v>435000000</v>
      </c>
      <c r="AD288" s="66">
        <f t="shared" si="131"/>
        <v>0</v>
      </c>
      <c r="AE288" s="66">
        <f t="shared" si="131"/>
        <v>0</v>
      </c>
      <c r="AF288" s="66">
        <f t="shared" si="131"/>
        <v>0</v>
      </c>
      <c r="AG288" s="66">
        <f t="shared" si="131"/>
        <v>0</v>
      </c>
      <c r="AH288" s="66">
        <f t="shared" si="131"/>
        <v>0</v>
      </c>
      <c r="AI288" s="66">
        <f t="shared" si="131"/>
        <v>0</v>
      </c>
      <c r="AJ288" s="66">
        <f t="shared" si="131"/>
        <v>0</v>
      </c>
      <c r="AK288" s="66">
        <f t="shared" si="131"/>
        <v>0</v>
      </c>
      <c r="AL288" s="66">
        <f t="shared" si="131"/>
        <v>0</v>
      </c>
      <c r="AM288" s="66">
        <f t="shared" si="131"/>
        <v>0</v>
      </c>
      <c r="AN288" s="66">
        <f t="shared" si="131"/>
        <v>500000000</v>
      </c>
      <c r="AO288" s="66">
        <f t="shared" si="131"/>
        <v>0</v>
      </c>
      <c r="AP288" s="67">
        <f>AP289+AP292+AP295+AP297+AP299</f>
        <v>935000000</v>
      </c>
      <c r="AQ288" s="66">
        <f>AQ289+AQ292+AQ295+AQ297+AQ299</f>
        <v>435000000</v>
      </c>
      <c r="AR288" s="68"/>
      <c r="AS288" s="68"/>
      <c r="AT288" s="68"/>
      <c r="AU288" s="68"/>
      <c r="AV288" s="68"/>
      <c r="AW288" s="68"/>
      <c r="AX288" s="68"/>
      <c r="AY288" s="68"/>
      <c r="AZ288" s="68"/>
      <c r="BA288" s="68">
        <f>BA289+BA292+BA295+BA297+BA299</f>
        <v>743000000</v>
      </c>
      <c r="BB288" s="68"/>
      <c r="BC288" s="68"/>
      <c r="BD288" s="68"/>
      <c r="BE288" s="68"/>
      <c r="BF288" s="68"/>
      <c r="BG288" s="68"/>
      <c r="BH288" s="68"/>
      <c r="BI288" s="68"/>
      <c r="BJ288" s="68"/>
      <c r="BK288" s="68">
        <f>BK289+BK292+BK295+BK297+BK299</f>
        <v>735000000</v>
      </c>
      <c r="BL288" s="68"/>
      <c r="BM288" s="68"/>
      <c r="BN288" s="68"/>
      <c r="BO288" s="68"/>
      <c r="BP288" s="68"/>
      <c r="BQ288" s="68"/>
      <c r="BR288" s="68"/>
      <c r="BS288" s="68"/>
      <c r="BT288" s="68"/>
      <c r="BU288" s="68">
        <f>BU289+BU292+BU295+BU297+BU299</f>
        <v>1737000000</v>
      </c>
      <c r="BV288" s="172">
        <f t="shared" si="124"/>
        <v>3215000000</v>
      </c>
    </row>
    <row r="289" spans="1:74" ht="26.25" customHeight="1" x14ac:dyDescent="0.2">
      <c r="A289" s="105"/>
      <c r="B289" s="84"/>
      <c r="C289" s="173"/>
      <c r="D289" s="169"/>
      <c r="E289" s="71">
        <v>62</v>
      </c>
      <c r="F289" s="72" t="s">
        <v>656</v>
      </c>
      <c r="G289" s="75"/>
      <c r="H289" s="75"/>
      <c r="I289" s="71"/>
      <c r="J289" s="72"/>
      <c r="K289" s="75"/>
      <c r="L289" s="74"/>
      <c r="M289" s="76"/>
      <c r="N289" s="77"/>
      <c r="O289" s="75"/>
      <c r="P289" s="75"/>
      <c r="Q289" s="78"/>
      <c r="R289" s="75"/>
      <c r="S289" s="75"/>
      <c r="T289" s="76"/>
      <c r="U289" s="174"/>
      <c r="V289" s="76"/>
      <c r="W289" s="76"/>
      <c r="X289" s="80">
        <f t="shared" ref="X289:AO289" si="132">SUM(X290:X291)</f>
        <v>0</v>
      </c>
      <c r="Y289" s="80">
        <f t="shared" si="132"/>
        <v>0</v>
      </c>
      <c r="Z289" s="80">
        <f t="shared" si="132"/>
        <v>0</v>
      </c>
      <c r="AA289" s="80">
        <f t="shared" si="132"/>
        <v>0</v>
      </c>
      <c r="AB289" s="80">
        <f t="shared" si="132"/>
        <v>145000000</v>
      </c>
      <c r="AC289" s="80">
        <f t="shared" si="132"/>
        <v>145000000</v>
      </c>
      <c r="AD289" s="80">
        <f t="shared" si="132"/>
        <v>0</v>
      </c>
      <c r="AE289" s="80">
        <f t="shared" si="132"/>
        <v>0</v>
      </c>
      <c r="AF289" s="80">
        <f t="shared" si="132"/>
        <v>0</v>
      </c>
      <c r="AG289" s="80">
        <f t="shared" si="132"/>
        <v>0</v>
      </c>
      <c r="AH289" s="80">
        <f t="shared" si="132"/>
        <v>0</v>
      </c>
      <c r="AI289" s="80">
        <f t="shared" si="132"/>
        <v>0</v>
      </c>
      <c r="AJ289" s="80">
        <f t="shared" si="132"/>
        <v>0</v>
      </c>
      <c r="AK289" s="80">
        <f t="shared" si="132"/>
        <v>0</v>
      </c>
      <c r="AL289" s="80">
        <f t="shared" si="132"/>
        <v>0</v>
      </c>
      <c r="AM289" s="80">
        <f t="shared" si="132"/>
        <v>0</v>
      </c>
      <c r="AN289" s="80">
        <f t="shared" si="132"/>
        <v>500000000</v>
      </c>
      <c r="AO289" s="80">
        <f t="shared" si="132"/>
        <v>0</v>
      </c>
      <c r="AP289" s="81">
        <f>SUM(AP290:AP291)</f>
        <v>645000000</v>
      </c>
      <c r="AQ289" s="80">
        <f>SUM(AQ290:AQ291)</f>
        <v>145000000</v>
      </c>
      <c r="AR289" s="82"/>
      <c r="AS289" s="82"/>
      <c r="AT289" s="82"/>
      <c r="AU289" s="82"/>
      <c r="AV289" s="82"/>
      <c r="AW289" s="82"/>
      <c r="AX289" s="82"/>
      <c r="AY289" s="82"/>
      <c r="AZ289" s="82"/>
      <c r="BA289" s="82">
        <f>SUM(BA290:BA291)</f>
        <v>570000000</v>
      </c>
      <c r="BB289" s="82"/>
      <c r="BC289" s="82"/>
      <c r="BD289" s="82"/>
      <c r="BE289" s="82"/>
      <c r="BF289" s="82"/>
      <c r="BG289" s="82"/>
      <c r="BH289" s="82"/>
      <c r="BI289" s="82"/>
      <c r="BJ289" s="82"/>
      <c r="BK289" s="82">
        <f>SUM(BK290:BK291)</f>
        <v>570000000</v>
      </c>
      <c r="BL289" s="82"/>
      <c r="BM289" s="82"/>
      <c r="BN289" s="82"/>
      <c r="BO289" s="82"/>
      <c r="BP289" s="82"/>
      <c r="BQ289" s="82"/>
      <c r="BR289" s="82"/>
      <c r="BS289" s="82"/>
      <c r="BT289" s="82"/>
      <c r="BU289" s="82">
        <f>SUM(BU290:BU291)</f>
        <v>1570000000</v>
      </c>
      <c r="BV289" s="83">
        <f t="shared" si="124"/>
        <v>2710000000</v>
      </c>
    </row>
    <row r="290" spans="1:74" ht="128.25" x14ac:dyDescent="0.2">
      <c r="A290" s="84">
        <v>191</v>
      </c>
      <c r="B290" s="84">
        <v>3</v>
      </c>
      <c r="C290" s="173"/>
      <c r="D290" s="173"/>
      <c r="E290" s="117">
        <v>5</v>
      </c>
      <c r="F290" s="280" t="s">
        <v>398</v>
      </c>
      <c r="G290" s="106" t="s">
        <v>107</v>
      </c>
      <c r="H290" s="106" t="s">
        <v>108</v>
      </c>
      <c r="I290" s="94">
        <v>191</v>
      </c>
      <c r="J290" s="90" t="s">
        <v>657</v>
      </c>
      <c r="K290" s="86" t="s">
        <v>658</v>
      </c>
      <c r="L290" s="91" t="s">
        <v>626</v>
      </c>
      <c r="M290" s="91">
        <v>14</v>
      </c>
      <c r="N290" s="92" t="s">
        <v>44</v>
      </c>
      <c r="O290" s="95" t="s">
        <v>39</v>
      </c>
      <c r="P290" s="95">
        <v>1</v>
      </c>
      <c r="Q290" s="94">
        <v>1</v>
      </c>
      <c r="R290" s="95">
        <v>1</v>
      </c>
      <c r="S290" s="95">
        <v>1</v>
      </c>
      <c r="T290" s="95">
        <v>1</v>
      </c>
      <c r="U290" s="157">
        <f>AP290/AP289</f>
        <v>0.90697674418604646</v>
      </c>
      <c r="V290" s="95">
        <v>10</v>
      </c>
      <c r="W290" s="92" t="s">
        <v>376</v>
      </c>
      <c r="X290" s="99"/>
      <c r="Y290" s="100"/>
      <c r="Z290" s="99"/>
      <c r="AA290" s="100"/>
      <c r="AB290" s="101">
        <f>10000000+75000000</f>
        <v>85000000</v>
      </c>
      <c r="AC290" s="101">
        <v>85000000</v>
      </c>
      <c r="AD290" s="99"/>
      <c r="AE290" s="100"/>
      <c r="AF290" s="99"/>
      <c r="AG290" s="100"/>
      <c r="AH290" s="99"/>
      <c r="AI290" s="100"/>
      <c r="AJ290" s="99"/>
      <c r="AK290" s="100"/>
      <c r="AL290" s="99"/>
      <c r="AM290" s="100"/>
      <c r="AN290" s="99">
        <v>500000000</v>
      </c>
      <c r="AO290" s="100"/>
      <c r="AP290" s="99">
        <f>+X290+Z290+AB290+AD290+AF290+AH290+AJ290+AL290+AN290</f>
        <v>585000000</v>
      </c>
      <c r="AQ290" s="100">
        <f>Y290+AA290+AC290+AE290+AG290+AI290+AK290+AM290+AO290</f>
        <v>85000000</v>
      </c>
      <c r="AR290" s="109"/>
      <c r="AS290" s="109"/>
      <c r="AT290" s="109">
        <v>10000000</v>
      </c>
      <c r="AU290" s="109"/>
      <c r="AV290" s="109"/>
      <c r="AW290" s="109"/>
      <c r="AX290" s="109"/>
      <c r="AY290" s="109"/>
      <c r="AZ290" s="109">
        <v>500000000</v>
      </c>
      <c r="BA290" s="109">
        <f>SUM(AR290:AZ290)</f>
        <v>510000000</v>
      </c>
      <c r="BB290" s="109"/>
      <c r="BC290" s="109"/>
      <c r="BD290" s="109">
        <v>10000000</v>
      </c>
      <c r="BE290" s="109"/>
      <c r="BF290" s="109"/>
      <c r="BG290" s="109"/>
      <c r="BH290" s="109"/>
      <c r="BI290" s="109"/>
      <c r="BJ290" s="109">
        <v>500000000</v>
      </c>
      <c r="BK290" s="109">
        <f>SUM(BB290:BJ290)</f>
        <v>510000000</v>
      </c>
      <c r="BL290" s="109"/>
      <c r="BM290" s="109"/>
      <c r="BN290" s="109">
        <v>62631579</v>
      </c>
      <c r="BO290" s="109"/>
      <c r="BP290" s="109"/>
      <c r="BQ290" s="109"/>
      <c r="BR290" s="109"/>
      <c r="BS290" s="109"/>
      <c r="BT290" s="109">
        <v>1500000000</v>
      </c>
      <c r="BU290" s="109">
        <f>SUM(BL290:BT290)</f>
        <v>1562631579</v>
      </c>
      <c r="BV290" s="103">
        <f t="shared" si="124"/>
        <v>5165263158</v>
      </c>
    </row>
    <row r="291" spans="1:74" ht="71.25" x14ac:dyDescent="0.2">
      <c r="A291" s="105">
        <v>192</v>
      </c>
      <c r="B291" s="84">
        <v>3</v>
      </c>
      <c r="C291" s="173"/>
      <c r="D291" s="173"/>
      <c r="E291" s="110">
        <v>27</v>
      </c>
      <c r="F291" s="86" t="s">
        <v>567</v>
      </c>
      <c r="G291" s="176" t="s">
        <v>659</v>
      </c>
      <c r="H291" s="176">
        <v>0.92</v>
      </c>
      <c r="I291" s="94">
        <v>192</v>
      </c>
      <c r="J291" s="90" t="s">
        <v>660</v>
      </c>
      <c r="K291" s="86" t="s">
        <v>661</v>
      </c>
      <c r="L291" s="91" t="s">
        <v>626</v>
      </c>
      <c r="M291" s="91">
        <v>14</v>
      </c>
      <c r="N291" s="92" t="s">
        <v>44</v>
      </c>
      <c r="O291" s="95">
        <v>1</v>
      </c>
      <c r="P291" s="95">
        <v>1</v>
      </c>
      <c r="Q291" s="94">
        <v>1</v>
      </c>
      <c r="R291" s="95">
        <v>1</v>
      </c>
      <c r="S291" s="95">
        <v>1</v>
      </c>
      <c r="T291" s="95">
        <v>1</v>
      </c>
      <c r="U291" s="157">
        <f>AP291/AP289</f>
        <v>9.3023255813953487E-2</v>
      </c>
      <c r="V291" s="95">
        <v>8</v>
      </c>
      <c r="W291" s="92" t="s">
        <v>121</v>
      </c>
      <c r="X291" s="99"/>
      <c r="Y291" s="100"/>
      <c r="Z291" s="99"/>
      <c r="AA291" s="100"/>
      <c r="AB291" s="99">
        <v>60000000</v>
      </c>
      <c r="AC291" s="100">
        <v>60000000</v>
      </c>
      <c r="AD291" s="99"/>
      <c r="AE291" s="100"/>
      <c r="AF291" s="99"/>
      <c r="AG291" s="100"/>
      <c r="AH291" s="99"/>
      <c r="AI291" s="100"/>
      <c r="AJ291" s="99"/>
      <c r="AK291" s="100"/>
      <c r="AL291" s="99"/>
      <c r="AM291" s="100"/>
      <c r="AN291" s="99"/>
      <c r="AO291" s="100"/>
      <c r="AP291" s="99">
        <f>+X291+Z291+AB291+AD291+AF291+AH291+AJ291+AL291+AN291</f>
        <v>60000000</v>
      </c>
      <c r="AQ291" s="100">
        <f>Y291+AA291+AC291+AE291+AG291+AI291+AK291+AM291+AO291</f>
        <v>60000000</v>
      </c>
      <c r="AR291" s="109"/>
      <c r="AS291" s="109"/>
      <c r="AT291" s="109">
        <v>60000000</v>
      </c>
      <c r="AU291" s="109"/>
      <c r="AV291" s="109"/>
      <c r="AW291" s="109"/>
      <c r="AX291" s="109"/>
      <c r="AY291" s="109"/>
      <c r="AZ291" s="109" t="s">
        <v>0</v>
      </c>
      <c r="BA291" s="109">
        <f>SUM(AR291:AZ291)</f>
        <v>60000000</v>
      </c>
      <c r="BB291" s="109"/>
      <c r="BC291" s="109"/>
      <c r="BD291" s="109">
        <v>60000000</v>
      </c>
      <c r="BE291" s="109"/>
      <c r="BF291" s="109"/>
      <c r="BG291" s="109"/>
      <c r="BH291" s="109"/>
      <c r="BI291" s="109"/>
      <c r="BJ291" s="109"/>
      <c r="BK291" s="109">
        <f>SUM(BB291:BJ291)</f>
        <v>60000000</v>
      </c>
      <c r="BL291" s="109"/>
      <c r="BM291" s="109"/>
      <c r="BN291" s="109">
        <v>7368421</v>
      </c>
      <c r="BO291" s="109"/>
      <c r="BP291" s="109"/>
      <c r="BQ291" s="109"/>
      <c r="BR291" s="109"/>
      <c r="BS291" s="109"/>
      <c r="BT291" s="109"/>
      <c r="BU291" s="109">
        <f>SUM(BL291:BT291)</f>
        <v>7368421</v>
      </c>
      <c r="BV291" s="103">
        <f t="shared" si="124"/>
        <v>254736842</v>
      </c>
    </row>
    <row r="292" spans="1:74" ht="26.25" customHeight="1" x14ac:dyDescent="0.2">
      <c r="A292" s="105"/>
      <c r="B292" s="84"/>
      <c r="C292" s="173"/>
      <c r="D292" s="173"/>
      <c r="E292" s="71">
        <v>63</v>
      </c>
      <c r="F292" s="72" t="s">
        <v>662</v>
      </c>
      <c r="G292" s="72"/>
      <c r="H292" s="75"/>
      <c r="I292" s="76"/>
      <c r="J292" s="75"/>
      <c r="K292" s="75"/>
      <c r="L292" s="74"/>
      <c r="M292" s="76"/>
      <c r="N292" s="77"/>
      <c r="O292" s="75"/>
      <c r="P292" s="75"/>
      <c r="Q292" s="78"/>
      <c r="R292" s="75"/>
      <c r="S292" s="75"/>
      <c r="T292" s="76"/>
      <c r="U292" s="174"/>
      <c r="V292" s="76"/>
      <c r="W292" s="76"/>
      <c r="X292" s="80">
        <f t="shared" ref="X292:AO292" si="133">SUM(X293:X294)</f>
        <v>0</v>
      </c>
      <c r="Y292" s="80">
        <f t="shared" si="133"/>
        <v>0</v>
      </c>
      <c r="Z292" s="80">
        <f t="shared" si="133"/>
        <v>0</v>
      </c>
      <c r="AA292" s="80">
        <f t="shared" si="133"/>
        <v>0</v>
      </c>
      <c r="AB292" s="80">
        <f t="shared" si="133"/>
        <v>100000000</v>
      </c>
      <c r="AC292" s="80">
        <f t="shared" si="133"/>
        <v>100000000</v>
      </c>
      <c r="AD292" s="80">
        <f t="shared" si="133"/>
        <v>0</v>
      </c>
      <c r="AE292" s="80">
        <f t="shared" si="133"/>
        <v>0</v>
      </c>
      <c r="AF292" s="80">
        <f t="shared" si="133"/>
        <v>0</v>
      </c>
      <c r="AG292" s="80">
        <f t="shared" si="133"/>
        <v>0</v>
      </c>
      <c r="AH292" s="80">
        <f t="shared" si="133"/>
        <v>0</v>
      </c>
      <c r="AI292" s="80">
        <f t="shared" si="133"/>
        <v>0</v>
      </c>
      <c r="AJ292" s="80">
        <f t="shared" si="133"/>
        <v>0</v>
      </c>
      <c r="AK292" s="80">
        <f t="shared" si="133"/>
        <v>0</v>
      </c>
      <c r="AL292" s="80">
        <f t="shared" si="133"/>
        <v>0</v>
      </c>
      <c r="AM292" s="80">
        <f t="shared" si="133"/>
        <v>0</v>
      </c>
      <c r="AN292" s="80">
        <f t="shared" si="133"/>
        <v>0</v>
      </c>
      <c r="AO292" s="80">
        <f t="shared" si="133"/>
        <v>0</v>
      </c>
      <c r="AP292" s="187">
        <f>SUM(AP293:AP294)</f>
        <v>100000000</v>
      </c>
      <c r="AQ292" s="80">
        <f>SUM(AQ293:AQ294)</f>
        <v>100000000</v>
      </c>
      <c r="AR292" s="188"/>
      <c r="AS292" s="188"/>
      <c r="AT292" s="188"/>
      <c r="AU292" s="188"/>
      <c r="AV292" s="188"/>
      <c r="AW292" s="188"/>
      <c r="AX292" s="188"/>
      <c r="AY292" s="188"/>
      <c r="AZ292" s="188"/>
      <c r="BA292" s="188">
        <f>SUM(BA293:BA294)</f>
        <v>50000000</v>
      </c>
      <c r="BB292" s="188"/>
      <c r="BC292" s="188"/>
      <c r="BD292" s="188"/>
      <c r="BE292" s="188"/>
      <c r="BF292" s="188"/>
      <c r="BG292" s="188"/>
      <c r="BH292" s="188"/>
      <c r="BI292" s="188"/>
      <c r="BJ292" s="188"/>
      <c r="BK292" s="188">
        <f>SUM(BK293:BK294)</f>
        <v>50000000</v>
      </c>
      <c r="BL292" s="82"/>
      <c r="BM292" s="82"/>
      <c r="BN292" s="82"/>
      <c r="BO292" s="82"/>
      <c r="BP292" s="82"/>
      <c r="BQ292" s="82"/>
      <c r="BR292" s="82"/>
      <c r="BS292" s="82"/>
      <c r="BT292" s="82"/>
      <c r="BU292" s="189">
        <f>SUM(BU293:BU294)</f>
        <v>50000000</v>
      </c>
      <c r="BV292" s="83">
        <f t="shared" si="124"/>
        <v>150000000</v>
      </c>
    </row>
    <row r="293" spans="1:74" ht="132" customHeight="1" x14ac:dyDescent="0.2">
      <c r="A293" s="84">
        <v>193</v>
      </c>
      <c r="B293" s="84">
        <v>3</v>
      </c>
      <c r="C293" s="173"/>
      <c r="D293" s="173"/>
      <c r="E293" s="117">
        <v>14</v>
      </c>
      <c r="F293" s="346" t="s">
        <v>400</v>
      </c>
      <c r="G293" s="176">
        <v>6.2E-2</v>
      </c>
      <c r="H293" s="176">
        <v>0.03</v>
      </c>
      <c r="I293" s="94">
        <v>193</v>
      </c>
      <c r="J293" s="90" t="s">
        <v>663</v>
      </c>
      <c r="K293" s="86" t="s">
        <v>664</v>
      </c>
      <c r="L293" s="91" t="s">
        <v>626</v>
      </c>
      <c r="M293" s="91">
        <v>14</v>
      </c>
      <c r="N293" s="92" t="s">
        <v>44</v>
      </c>
      <c r="O293" s="95">
        <v>1</v>
      </c>
      <c r="P293" s="95">
        <v>1</v>
      </c>
      <c r="Q293" s="94">
        <v>1</v>
      </c>
      <c r="R293" s="95">
        <v>1</v>
      </c>
      <c r="S293" s="95">
        <v>1</v>
      </c>
      <c r="T293" s="95">
        <v>1</v>
      </c>
      <c r="U293" s="157">
        <f>AP293/AP292</f>
        <v>0.4</v>
      </c>
      <c r="V293" s="95">
        <v>4</v>
      </c>
      <c r="W293" s="92" t="s">
        <v>100</v>
      </c>
      <c r="X293" s="99"/>
      <c r="Y293" s="100"/>
      <c r="Z293" s="99"/>
      <c r="AA293" s="100"/>
      <c r="AB293" s="141">
        <f>15000000+25000000</f>
        <v>40000000</v>
      </c>
      <c r="AC293" s="101">
        <f>15000000+25000000</f>
        <v>40000000</v>
      </c>
      <c r="AD293" s="141"/>
      <c r="AE293" s="142"/>
      <c r="AF293" s="99"/>
      <c r="AG293" s="100"/>
      <c r="AH293" s="99"/>
      <c r="AI293" s="100"/>
      <c r="AJ293" s="99"/>
      <c r="AK293" s="100"/>
      <c r="AL293" s="99"/>
      <c r="AM293" s="100"/>
      <c r="AN293" s="99"/>
      <c r="AO293" s="100"/>
      <c r="AP293" s="99">
        <f>+X293+Z293+AB293+AD293+AF293+AH293+AJ293+AL293+AN293</f>
        <v>40000000</v>
      </c>
      <c r="AQ293" s="100">
        <f>Y293+AA293+AC293+AE293+AG293+AI293+AK293+AM293+AO293</f>
        <v>40000000</v>
      </c>
      <c r="AR293" s="109"/>
      <c r="AS293" s="109"/>
      <c r="AT293" s="109">
        <v>15000000</v>
      </c>
      <c r="AU293" s="109"/>
      <c r="AV293" s="109"/>
      <c r="AW293" s="109"/>
      <c r="AX293" s="109"/>
      <c r="AY293" s="109"/>
      <c r="AZ293" s="109"/>
      <c r="BA293" s="109">
        <f>SUM(AR293:AY293)+AZ293</f>
        <v>15000000</v>
      </c>
      <c r="BB293" s="109"/>
      <c r="BC293" s="109"/>
      <c r="BD293" s="109">
        <v>15000000</v>
      </c>
      <c r="BE293" s="109"/>
      <c r="BF293" s="109"/>
      <c r="BG293" s="109"/>
      <c r="BH293" s="109"/>
      <c r="BI293" s="109"/>
      <c r="BJ293" s="109"/>
      <c r="BK293" s="109">
        <f>SUM(BB293:BJ293)</f>
        <v>15000000</v>
      </c>
      <c r="BL293" s="109"/>
      <c r="BM293" s="109"/>
      <c r="BN293" s="109">
        <v>15000000</v>
      </c>
      <c r="BO293" s="109"/>
      <c r="BP293" s="109"/>
      <c r="BQ293" s="109"/>
      <c r="BR293" s="109"/>
      <c r="BS293" s="109"/>
      <c r="BT293" s="109"/>
      <c r="BU293" s="109">
        <f>SUM(BL293:BT293)</f>
        <v>15000000</v>
      </c>
      <c r="BV293" s="103">
        <f t="shared" si="124"/>
        <v>90000000</v>
      </c>
    </row>
    <row r="294" spans="1:74" ht="71.25" x14ac:dyDescent="0.2">
      <c r="A294" s="105">
        <v>194</v>
      </c>
      <c r="B294" s="84">
        <v>3</v>
      </c>
      <c r="C294" s="173"/>
      <c r="D294" s="173"/>
      <c r="E294" s="110">
        <v>13</v>
      </c>
      <c r="F294" s="280" t="s">
        <v>527</v>
      </c>
      <c r="G294" s="116" t="s">
        <v>665</v>
      </c>
      <c r="H294" s="120" t="s">
        <v>529</v>
      </c>
      <c r="I294" s="94">
        <v>194</v>
      </c>
      <c r="J294" s="90" t="s">
        <v>666</v>
      </c>
      <c r="K294" s="86" t="s">
        <v>667</v>
      </c>
      <c r="L294" s="91" t="s">
        <v>626</v>
      </c>
      <c r="M294" s="91">
        <v>14</v>
      </c>
      <c r="N294" s="92" t="s">
        <v>44</v>
      </c>
      <c r="O294" s="95">
        <v>1</v>
      </c>
      <c r="P294" s="95">
        <v>1</v>
      </c>
      <c r="Q294" s="94">
        <v>1</v>
      </c>
      <c r="R294" s="95">
        <v>1</v>
      </c>
      <c r="S294" s="95">
        <v>1</v>
      </c>
      <c r="T294" s="95">
        <v>1</v>
      </c>
      <c r="U294" s="157">
        <f>AP294/AP292</f>
        <v>0.6</v>
      </c>
      <c r="V294" s="95">
        <v>2</v>
      </c>
      <c r="W294" s="92" t="s">
        <v>127</v>
      </c>
      <c r="X294" s="99"/>
      <c r="Y294" s="100"/>
      <c r="Z294" s="99"/>
      <c r="AA294" s="100"/>
      <c r="AB294" s="141">
        <f>35000000+25000000</f>
        <v>60000000</v>
      </c>
      <c r="AC294" s="101">
        <v>60000000</v>
      </c>
      <c r="AD294" s="141"/>
      <c r="AE294" s="142"/>
      <c r="AF294" s="99"/>
      <c r="AG294" s="100"/>
      <c r="AH294" s="99"/>
      <c r="AI294" s="100"/>
      <c r="AJ294" s="99"/>
      <c r="AK294" s="100"/>
      <c r="AL294" s="99"/>
      <c r="AM294" s="100"/>
      <c r="AN294" s="99"/>
      <c r="AO294" s="100"/>
      <c r="AP294" s="99">
        <f>+X294+Z294+AB294+AD294+AF294+AH294+AJ294+AL294+AN294</f>
        <v>60000000</v>
      </c>
      <c r="AQ294" s="100">
        <f>Y294+AA294+AC294+AE294+AG294+AI294+AK294+AM294+AO294</f>
        <v>60000000</v>
      </c>
      <c r="AR294" s="109"/>
      <c r="AS294" s="109"/>
      <c r="AT294" s="109">
        <v>35000000</v>
      </c>
      <c r="AU294" s="109"/>
      <c r="AV294" s="109"/>
      <c r="AW294" s="109"/>
      <c r="AX294" s="109"/>
      <c r="AY294" s="109"/>
      <c r="AZ294" s="109"/>
      <c r="BA294" s="109">
        <f>SUM(AR294:AY294)+AZ294</f>
        <v>35000000</v>
      </c>
      <c r="BB294" s="109"/>
      <c r="BC294" s="109"/>
      <c r="BD294" s="109">
        <v>35000000</v>
      </c>
      <c r="BE294" s="109"/>
      <c r="BF294" s="109"/>
      <c r="BG294" s="109"/>
      <c r="BH294" s="109"/>
      <c r="BI294" s="109"/>
      <c r="BJ294" s="109"/>
      <c r="BK294" s="109">
        <f>SUM(BB294:BJ294)</f>
        <v>35000000</v>
      </c>
      <c r="BL294" s="109"/>
      <c r="BM294" s="109"/>
      <c r="BN294" s="109">
        <v>35000000</v>
      </c>
      <c r="BO294" s="109"/>
      <c r="BP294" s="109"/>
      <c r="BQ294" s="109"/>
      <c r="BR294" s="109"/>
      <c r="BS294" s="109"/>
      <c r="BT294" s="109"/>
      <c r="BU294" s="109">
        <f>SUM(BL294:BT294)</f>
        <v>35000000</v>
      </c>
      <c r="BV294" s="103">
        <f t="shared" si="124"/>
        <v>210000000</v>
      </c>
    </row>
    <row r="295" spans="1:74" ht="26.25" customHeight="1" x14ac:dyDescent="0.2">
      <c r="A295" s="105"/>
      <c r="B295" s="84"/>
      <c r="C295" s="173"/>
      <c r="D295" s="173"/>
      <c r="E295" s="71">
        <v>64</v>
      </c>
      <c r="F295" s="72" t="s">
        <v>668</v>
      </c>
      <c r="G295" s="75"/>
      <c r="H295" s="75"/>
      <c r="I295" s="74"/>
      <c r="J295" s="75"/>
      <c r="K295" s="75"/>
      <c r="L295" s="74"/>
      <c r="M295" s="76"/>
      <c r="N295" s="77"/>
      <c r="O295" s="75"/>
      <c r="P295" s="75"/>
      <c r="Q295" s="78"/>
      <c r="R295" s="75"/>
      <c r="S295" s="75"/>
      <c r="T295" s="76"/>
      <c r="U295" s="174"/>
      <c r="V295" s="76"/>
      <c r="W295" s="76"/>
      <c r="X295" s="80">
        <f t="shared" ref="X295:AO295" si="134">SUM(X296)</f>
        <v>0</v>
      </c>
      <c r="Y295" s="80">
        <f t="shared" si="134"/>
        <v>0</v>
      </c>
      <c r="Z295" s="80">
        <f t="shared" si="134"/>
        <v>0</v>
      </c>
      <c r="AA295" s="80">
        <f t="shared" si="134"/>
        <v>0</v>
      </c>
      <c r="AB295" s="80">
        <f t="shared" si="134"/>
        <v>100000000</v>
      </c>
      <c r="AC295" s="80">
        <f t="shared" si="134"/>
        <v>100000000</v>
      </c>
      <c r="AD295" s="80">
        <f t="shared" si="134"/>
        <v>0</v>
      </c>
      <c r="AE295" s="80">
        <f t="shared" si="134"/>
        <v>0</v>
      </c>
      <c r="AF295" s="80">
        <f t="shared" si="134"/>
        <v>0</v>
      </c>
      <c r="AG295" s="80">
        <f t="shared" si="134"/>
        <v>0</v>
      </c>
      <c r="AH295" s="80">
        <f t="shared" si="134"/>
        <v>0</v>
      </c>
      <c r="AI295" s="80">
        <f t="shared" si="134"/>
        <v>0</v>
      </c>
      <c r="AJ295" s="80">
        <f t="shared" si="134"/>
        <v>0</v>
      </c>
      <c r="AK295" s="80">
        <f t="shared" si="134"/>
        <v>0</v>
      </c>
      <c r="AL295" s="80">
        <f t="shared" si="134"/>
        <v>0</v>
      </c>
      <c r="AM295" s="80">
        <f t="shared" si="134"/>
        <v>0</v>
      </c>
      <c r="AN295" s="80">
        <f t="shared" si="134"/>
        <v>0</v>
      </c>
      <c r="AO295" s="80">
        <f t="shared" si="134"/>
        <v>0</v>
      </c>
      <c r="AP295" s="81">
        <f>SUM(AP296)</f>
        <v>100000000</v>
      </c>
      <c r="AQ295" s="80">
        <f>SUM(AQ296)</f>
        <v>100000000</v>
      </c>
      <c r="AR295" s="82"/>
      <c r="AS295" s="82"/>
      <c r="AT295" s="82"/>
      <c r="AU295" s="82"/>
      <c r="AV295" s="82"/>
      <c r="AW295" s="82"/>
      <c r="AX295" s="82"/>
      <c r="AY295" s="82"/>
      <c r="AZ295" s="82"/>
      <c r="BA295" s="82">
        <f>SUM(BA296)</f>
        <v>60000000</v>
      </c>
      <c r="BB295" s="82"/>
      <c r="BC295" s="82"/>
      <c r="BD295" s="82"/>
      <c r="BE295" s="82"/>
      <c r="BF295" s="82"/>
      <c r="BG295" s="82"/>
      <c r="BH295" s="82"/>
      <c r="BI295" s="82"/>
      <c r="BJ295" s="82"/>
      <c r="BK295" s="82">
        <f>SUM(BK296)</f>
        <v>50000000</v>
      </c>
      <c r="BL295" s="82"/>
      <c r="BM295" s="82"/>
      <c r="BN295" s="82"/>
      <c r="BO295" s="82"/>
      <c r="BP295" s="82"/>
      <c r="BQ295" s="82"/>
      <c r="BR295" s="82"/>
      <c r="BS295" s="82"/>
      <c r="BT295" s="82"/>
      <c r="BU295" s="82">
        <f>SUM(BU296)</f>
        <v>50000000</v>
      </c>
      <c r="BV295" s="83">
        <f t="shared" si="124"/>
        <v>160000000</v>
      </c>
    </row>
    <row r="296" spans="1:74" ht="142.5" customHeight="1" x14ac:dyDescent="0.2">
      <c r="A296" s="84">
        <v>195</v>
      </c>
      <c r="B296" s="84">
        <v>3</v>
      </c>
      <c r="C296" s="173"/>
      <c r="D296" s="173"/>
      <c r="E296" s="117">
        <v>37</v>
      </c>
      <c r="F296" s="280" t="s">
        <v>523</v>
      </c>
      <c r="G296" s="436">
        <v>0.54610000000000003</v>
      </c>
      <c r="H296" s="338">
        <v>0.6</v>
      </c>
      <c r="I296" s="94">
        <v>195</v>
      </c>
      <c r="J296" s="90" t="s">
        <v>669</v>
      </c>
      <c r="K296" s="86" t="s">
        <v>670</v>
      </c>
      <c r="L296" s="91" t="s">
        <v>626</v>
      </c>
      <c r="M296" s="91">
        <v>14</v>
      </c>
      <c r="N296" s="92" t="s">
        <v>44</v>
      </c>
      <c r="O296" s="95">
        <v>0</v>
      </c>
      <c r="P296" s="95">
        <v>1</v>
      </c>
      <c r="Q296" s="94">
        <v>1</v>
      </c>
      <c r="R296" s="95">
        <v>1</v>
      </c>
      <c r="S296" s="95">
        <v>1</v>
      </c>
      <c r="T296" s="95">
        <v>1</v>
      </c>
      <c r="U296" s="432">
        <f>AP296/AP295</f>
        <v>1</v>
      </c>
      <c r="V296" s="95">
        <v>10</v>
      </c>
      <c r="W296" s="92" t="s">
        <v>376</v>
      </c>
      <c r="X296" s="153"/>
      <c r="Y296" s="143"/>
      <c r="Z296" s="153"/>
      <c r="AA296" s="143"/>
      <c r="AB296" s="141">
        <v>100000000</v>
      </c>
      <c r="AC296" s="142">
        <v>100000000</v>
      </c>
      <c r="AD296" s="141"/>
      <c r="AE296" s="142"/>
      <c r="AF296" s="153"/>
      <c r="AG296" s="143"/>
      <c r="AH296" s="153"/>
      <c r="AI296" s="143"/>
      <c r="AJ296" s="153"/>
      <c r="AK296" s="143"/>
      <c r="AL296" s="153"/>
      <c r="AM296" s="143"/>
      <c r="AN296" s="153"/>
      <c r="AO296" s="143"/>
      <c r="AP296" s="99">
        <f>+X296+Z296+AB296+AD296+AF296+AH296+AJ296+AL296+AN296</f>
        <v>100000000</v>
      </c>
      <c r="AQ296" s="100">
        <f>Y296+AA296+AC296+AE296+AG296+AI296+AK296+AM296+AO296</f>
        <v>100000000</v>
      </c>
      <c r="AR296" s="109"/>
      <c r="AS296" s="109"/>
      <c r="AT296" s="109">
        <v>60000000</v>
      </c>
      <c r="AU296" s="109"/>
      <c r="AV296" s="109"/>
      <c r="AW296" s="109"/>
      <c r="AX296" s="109"/>
      <c r="AY296" s="109"/>
      <c r="AZ296" s="109"/>
      <c r="BA296" s="109">
        <f>SUM(AR296:AZ296)</f>
        <v>60000000</v>
      </c>
      <c r="BB296" s="109"/>
      <c r="BC296" s="109"/>
      <c r="BD296" s="109">
        <v>50000000</v>
      </c>
      <c r="BE296" s="109"/>
      <c r="BF296" s="109"/>
      <c r="BG296" s="109"/>
      <c r="BH296" s="109"/>
      <c r="BI296" s="109"/>
      <c r="BJ296" s="109"/>
      <c r="BK296" s="109">
        <f>SUM(BB296:BJ296)</f>
        <v>50000000</v>
      </c>
      <c r="BL296" s="109"/>
      <c r="BM296" s="109"/>
      <c r="BN296" s="109">
        <v>50000000</v>
      </c>
      <c r="BO296" s="109"/>
      <c r="BP296" s="109"/>
      <c r="BQ296" s="109"/>
      <c r="BR296" s="109"/>
      <c r="BS296" s="109"/>
      <c r="BT296" s="109"/>
      <c r="BU296" s="109">
        <f>SUM(BL296:BT296)</f>
        <v>50000000</v>
      </c>
      <c r="BV296" s="103">
        <f t="shared" si="124"/>
        <v>320000000</v>
      </c>
    </row>
    <row r="297" spans="1:74" ht="26.25" customHeight="1" x14ac:dyDescent="0.2">
      <c r="A297" s="84"/>
      <c r="B297" s="84"/>
      <c r="C297" s="173"/>
      <c r="D297" s="173"/>
      <c r="E297" s="71">
        <v>65</v>
      </c>
      <c r="F297" s="72" t="s">
        <v>671</v>
      </c>
      <c r="G297" s="75"/>
      <c r="H297" s="75"/>
      <c r="I297" s="74"/>
      <c r="J297" s="75"/>
      <c r="K297" s="75"/>
      <c r="L297" s="74"/>
      <c r="M297" s="76"/>
      <c r="N297" s="77"/>
      <c r="O297" s="75"/>
      <c r="P297" s="75"/>
      <c r="Q297" s="78"/>
      <c r="R297" s="75"/>
      <c r="S297" s="75"/>
      <c r="T297" s="76"/>
      <c r="U297" s="174"/>
      <c r="V297" s="76"/>
      <c r="W297" s="76"/>
      <c r="X297" s="80">
        <f t="shared" ref="X297:AO297" si="135">SUM(X298)</f>
        <v>0</v>
      </c>
      <c r="Y297" s="80">
        <f t="shared" si="135"/>
        <v>0</v>
      </c>
      <c r="Z297" s="80">
        <f t="shared" si="135"/>
        <v>0</v>
      </c>
      <c r="AA297" s="80">
        <f t="shared" si="135"/>
        <v>0</v>
      </c>
      <c r="AB297" s="80">
        <f t="shared" si="135"/>
        <v>40000000</v>
      </c>
      <c r="AC297" s="80">
        <f t="shared" si="135"/>
        <v>40000000</v>
      </c>
      <c r="AD297" s="80">
        <f t="shared" si="135"/>
        <v>0</v>
      </c>
      <c r="AE297" s="80">
        <f t="shared" si="135"/>
        <v>0</v>
      </c>
      <c r="AF297" s="80">
        <f t="shared" si="135"/>
        <v>0</v>
      </c>
      <c r="AG297" s="80">
        <f t="shared" si="135"/>
        <v>0</v>
      </c>
      <c r="AH297" s="80">
        <f t="shared" si="135"/>
        <v>0</v>
      </c>
      <c r="AI297" s="80">
        <f t="shared" si="135"/>
        <v>0</v>
      </c>
      <c r="AJ297" s="80">
        <f t="shared" si="135"/>
        <v>0</v>
      </c>
      <c r="AK297" s="80">
        <f t="shared" si="135"/>
        <v>0</v>
      </c>
      <c r="AL297" s="80">
        <f t="shared" si="135"/>
        <v>0</v>
      </c>
      <c r="AM297" s="80">
        <f t="shared" si="135"/>
        <v>0</v>
      </c>
      <c r="AN297" s="80">
        <f t="shared" si="135"/>
        <v>0</v>
      </c>
      <c r="AO297" s="80">
        <f t="shared" si="135"/>
        <v>0</v>
      </c>
      <c r="AP297" s="81">
        <f>SUM(AP298)</f>
        <v>40000000</v>
      </c>
      <c r="AQ297" s="80">
        <f>SUM(AQ298)</f>
        <v>40000000</v>
      </c>
      <c r="AR297" s="82"/>
      <c r="AS297" s="82"/>
      <c r="AT297" s="82"/>
      <c r="AU297" s="82"/>
      <c r="AV297" s="82"/>
      <c r="AW297" s="82"/>
      <c r="AX297" s="82"/>
      <c r="AY297" s="82"/>
      <c r="AZ297" s="82"/>
      <c r="BA297" s="82">
        <f>SUM(BA298)</f>
        <v>21000000</v>
      </c>
      <c r="BB297" s="82"/>
      <c r="BC297" s="82"/>
      <c r="BD297" s="82"/>
      <c r="BE297" s="82"/>
      <c r="BF297" s="82"/>
      <c r="BG297" s="82"/>
      <c r="BH297" s="82"/>
      <c r="BI297" s="82"/>
      <c r="BJ297" s="82"/>
      <c r="BK297" s="82">
        <f>SUM(BK298)</f>
        <v>22000000</v>
      </c>
      <c r="BL297" s="82"/>
      <c r="BM297" s="82"/>
      <c r="BN297" s="82"/>
      <c r="BO297" s="82"/>
      <c r="BP297" s="82"/>
      <c r="BQ297" s="82"/>
      <c r="BR297" s="82"/>
      <c r="BS297" s="82"/>
      <c r="BT297" s="82"/>
      <c r="BU297" s="82">
        <f>SUM(BU298)</f>
        <v>23000000</v>
      </c>
      <c r="BV297" s="83">
        <f t="shared" si="124"/>
        <v>66000000</v>
      </c>
    </row>
    <row r="298" spans="1:74" ht="141" customHeight="1" x14ac:dyDescent="0.2">
      <c r="A298" s="105">
        <v>196</v>
      </c>
      <c r="B298" s="84">
        <v>3</v>
      </c>
      <c r="C298" s="173"/>
      <c r="D298" s="173"/>
      <c r="E298" s="437" t="s">
        <v>672</v>
      </c>
      <c r="F298" s="90" t="s">
        <v>673</v>
      </c>
      <c r="G298" s="90" t="s">
        <v>674</v>
      </c>
      <c r="H298" s="90" t="s">
        <v>675</v>
      </c>
      <c r="I298" s="94">
        <v>196</v>
      </c>
      <c r="J298" s="90" t="s">
        <v>676</v>
      </c>
      <c r="K298" s="86" t="s">
        <v>677</v>
      </c>
      <c r="L298" s="91" t="s">
        <v>626</v>
      </c>
      <c r="M298" s="91">
        <v>14</v>
      </c>
      <c r="N298" s="92" t="s">
        <v>44</v>
      </c>
      <c r="O298" s="95">
        <v>0</v>
      </c>
      <c r="P298" s="95">
        <v>1</v>
      </c>
      <c r="Q298" s="94">
        <v>1</v>
      </c>
      <c r="R298" s="95">
        <v>1</v>
      </c>
      <c r="S298" s="95">
        <v>1</v>
      </c>
      <c r="T298" s="95">
        <v>1</v>
      </c>
      <c r="U298" s="157">
        <f>AP298/AP297</f>
        <v>1</v>
      </c>
      <c r="V298" s="95">
        <v>5</v>
      </c>
      <c r="W298" s="92" t="s">
        <v>678</v>
      </c>
      <c r="X298" s="99"/>
      <c r="Y298" s="100"/>
      <c r="Z298" s="99"/>
      <c r="AA298" s="100"/>
      <c r="AB298" s="141">
        <f>20000000+20000000</f>
        <v>40000000</v>
      </c>
      <c r="AC298" s="101">
        <v>40000000</v>
      </c>
      <c r="AD298" s="141"/>
      <c r="AE298" s="142"/>
      <c r="AF298" s="99"/>
      <c r="AG298" s="100"/>
      <c r="AH298" s="99"/>
      <c r="AI298" s="100"/>
      <c r="AJ298" s="99"/>
      <c r="AK298" s="100"/>
      <c r="AL298" s="99"/>
      <c r="AM298" s="100"/>
      <c r="AN298" s="99"/>
      <c r="AO298" s="100"/>
      <c r="AP298" s="99">
        <f>+X298+Z298+AB298+AD298+AF298+AH298+AJ298+AL298+AN298</f>
        <v>40000000</v>
      </c>
      <c r="AQ298" s="100">
        <f>Y298+AA298+AC298+AE298+AG298+AI298+AK298+AM298+AO298</f>
        <v>40000000</v>
      </c>
      <c r="AR298" s="109"/>
      <c r="AS298" s="109"/>
      <c r="AT298" s="206">
        <v>21000000</v>
      </c>
      <c r="AU298" s="205"/>
      <c r="AV298" s="109"/>
      <c r="AW298" s="109"/>
      <c r="AX298" s="109"/>
      <c r="AY298" s="109"/>
      <c r="AZ298" s="109"/>
      <c r="BA298" s="109">
        <f>SUM(AR298:AZ298)</f>
        <v>21000000</v>
      </c>
      <c r="BB298" s="206"/>
      <c r="BC298" s="206"/>
      <c r="BD298" s="192">
        <v>22000000</v>
      </c>
      <c r="BE298" s="192"/>
      <c r="BF298" s="206"/>
      <c r="BG298" s="206"/>
      <c r="BH298" s="206"/>
      <c r="BI298" s="206"/>
      <c r="BJ298" s="206"/>
      <c r="BK298" s="206">
        <f>SUM(BB298:BJ298)</f>
        <v>22000000</v>
      </c>
      <c r="BL298" s="109"/>
      <c r="BM298" s="109"/>
      <c r="BN298" s="109">
        <v>23000000</v>
      </c>
      <c r="BO298" s="109"/>
      <c r="BP298" s="109"/>
      <c r="BQ298" s="109"/>
      <c r="BR298" s="109"/>
      <c r="BS298" s="109"/>
      <c r="BT298" s="109"/>
      <c r="BU298" s="109">
        <f>SUM(BL298:BT298)</f>
        <v>23000000</v>
      </c>
      <c r="BV298" s="103">
        <f t="shared" si="124"/>
        <v>132000000</v>
      </c>
    </row>
    <row r="299" spans="1:74" ht="24" customHeight="1" x14ac:dyDescent="0.2">
      <c r="A299" s="105"/>
      <c r="B299" s="84"/>
      <c r="C299" s="173"/>
      <c r="D299" s="173"/>
      <c r="E299" s="71">
        <v>66</v>
      </c>
      <c r="F299" s="72" t="s">
        <v>679</v>
      </c>
      <c r="G299" s="75"/>
      <c r="H299" s="75"/>
      <c r="I299" s="74"/>
      <c r="J299" s="75"/>
      <c r="K299" s="75"/>
      <c r="L299" s="74"/>
      <c r="M299" s="76"/>
      <c r="N299" s="77"/>
      <c r="O299" s="75"/>
      <c r="P299" s="75"/>
      <c r="Q299" s="78"/>
      <c r="R299" s="75"/>
      <c r="S299" s="75"/>
      <c r="T299" s="76"/>
      <c r="U299" s="174"/>
      <c r="V299" s="76"/>
      <c r="W299" s="76"/>
      <c r="X299" s="80">
        <f t="shared" ref="X299:AO299" si="136">SUM(X300)</f>
        <v>0</v>
      </c>
      <c r="Y299" s="80">
        <f t="shared" si="136"/>
        <v>0</v>
      </c>
      <c r="Z299" s="80">
        <f t="shared" si="136"/>
        <v>0</v>
      </c>
      <c r="AA299" s="80">
        <f t="shared" si="136"/>
        <v>0</v>
      </c>
      <c r="AB299" s="80">
        <f t="shared" si="136"/>
        <v>50000000</v>
      </c>
      <c r="AC299" s="80">
        <f t="shared" si="136"/>
        <v>50000000</v>
      </c>
      <c r="AD299" s="80">
        <f t="shared" si="136"/>
        <v>0</v>
      </c>
      <c r="AE299" s="80">
        <f t="shared" si="136"/>
        <v>0</v>
      </c>
      <c r="AF299" s="80">
        <f t="shared" si="136"/>
        <v>0</v>
      </c>
      <c r="AG299" s="80">
        <f t="shared" si="136"/>
        <v>0</v>
      </c>
      <c r="AH299" s="80">
        <f t="shared" si="136"/>
        <v>0</v>
      </c>
      <c r="AI299" s="80">
        <f t="shared" si="136"/>
        <v>0</v>
      </c>
      <c r="AJ299" s="80">
        <f t="shared" si="136"/>
        <v>0</v>
      </c>
      <c r="AK299" s="80">
        <f t="shared" si="136"/>
        <v>0</v>
      </c>
      <c r="AL299" s="80">
        <f t="shared" si="136"/>
        <v>0</v>
      </c>
      <c r="AM299" s="80">
        <f t="shared" si="136"/>
        <v>0</v>
      </c>
      <c r="AN299" s="80">
        <f t="shared" si="136"/>
        <v>0</v>
      </c>
      <c r="AO299" s="80">
        <f t="shared" si="136"/>
        <v>0</v>
      </c>
      <c r="AP299" s="81">
        <f>SUM(AP300)</f>
        <v>50000000</v>
      </c>
      <c r="AQ299" s="80">
        <f>SUM(AQ300)</f>
        <v>50000000</v>
      </c>
      <c r="AR299" s="82"/>
      <c r="AS299" s="82"/>
      <c r="AT299" s="82"/>
      <c r="AU299" s="82"/>
      <c r="AV299" s="82"/>
      <c r="AW299" s="82"/>
      <c r="AX299" s="82"/>
      <c r="AY299" s="82"/>
      <c r="AZ299" s="82"/>
      <c r="BA299" s="82">
        <f>SUM(BA300)</f>
        <v>42000000</v>
      </c>
      <c r="BB299" s="82"/>
      <c r="BC299" s="82"/>
      <c r="BD299" s="82"/>
      <c r="BE299" s="82"/>
      <c r="BF299" s="82"/>
      <c r="BG299" s="82"/>
      <c r="BH299" s="82"/>
      <c r="BI299" s="82"/>
      <c r="BJ299" s="82"/>
      <c r="BK299" s="82">
        <f>SUM(BK300)</f>
        <v>43000000</v>
      </c>
      <c r="BL299" s="82"/>
      <c r="BM299" s="82"/>
      <c r="BN299" s="82"/>
      <c r="BO299" s="82"/>
      <c r="BP299" s="82"/>
      <c r="BQ299" s="82"/>
      <c r="BR299" s="82"/>
      <c r="BS299" s="82"/>
      <c r="BT299" s="82"/>
      <c r="BU299" s="82">
        <f>SUM(BU300)</f>
        <v>44000000</v>
      </c>
      <c r="BV299" s="83">
        <f t="shared" si="124"/>
        <v>129000000</v>
      </c>
    </row>
    <row r="300" spans="1:74" ht="72" customHeight="1" x14ac:dyDescent="0.2">
      <c r="A300" s="84">
        <v>197</v>
      </c>
      <c r="B300" s="84">
        <v>3</v>
      </c>
      <c r="C300" s="173"/>
      <c r="D300" s="173"/>
      <c r="E300" s="117">
        <v>21</v>
      </c>
      <c r="F300" s="438" t="s">
        <v>680</v>
      </c>
      <c r="G300" s="439">
        <v>0.307</v>
      </c>
      <c r="H300" s="440">
        <v>0.27</v>
      </c>
      <c r="I300" s="577">
        <v>197</v>
      </c>
      <c r="J300" s="627" t="s">
        <v>681</v>
      </c>
      <c r="K300" s="607" t="s">
        <v>682</v>
      </c>
      <c r="L300" s="577" t="s">
        <v>626</v>
      </c>
      <c r="M300" s="577">
        <v>14</v>
      </c>
      <c r="N300" s="607" t="s">
        <v>44</v>
      </c>
      <c r="O300" s="607">
        <v>1</v>
      </c>
      <c r="P300" s="607">
        <v>1</v>
      </c>
      <c r="Q300" s="577">
        <v>1</v>
      </c>
      <c r="R300" s="607">
        <v>1</v>
      </c>
      <c r="S300" s="607">
        <v>1</v>
      </c>
      <c r="T300" s="607">
        <v>1</v>
      </c>
      <c r="U300" s="667">
        <f>AP300/AP299</f>
        <v>1</v>
      </c>
      <c r="V300" s="87">
        <v>5</v>
      </c>
      <c r="W300" s="87" t="s">
        <v>678</v>
      </c>
      <c r="X300" s="664"/>
      <c r="Y300" s="666"/>
      <c r="Z300" s="664"/>
      <c r="AA300" s="666"/>
      <c r="AB300" s="664">
        <v>50000000</v>
      </c>
      <c r="AC300" s="666">
        <f>[4]METAS!$J$22</f>
        <v>50000000</v>
      </c>
      <c r="AD300" s="664"/>
      <c r="AE300" s="666"/>
      <c r="AF300" s="664"/>
      <c r="AG300" s="666"/>
      <c r="AH300" s="664"/>
      <c r="AI300" s="666"/>
      <c r="AJ300" s="664"/>
      <c r="AK300" s="666"/>
      <c r="AL300" s="664"/>
      <c r="AM300" s="666"/>
      <c r="AN300" s="664"/>
      <c r="AO300" s="666"/>
      <c r="AP300" s="640">
        <f>+X300+Z300+AB300+AD300+AF300+AH300+AJ300+AL300+AN300</f>
        <v>50000000</v>
      </c>
      <c r="AQ300" s="640">
        <f>Y300+AA300+AC300+AE300+AG300+AI300+AK300+AM300+AO300</f>
        <v>50000000</v>
      </c>
      <c r="AR300" s="609"/>
      <c r="AS300" s="609"/>
      <c r="AT300" s="609">
        <v>42000000</v>
      </c>
      <c r="AU300" s="380"/>
      <c r="AV300" s="609"/>
      <c r="AW300" s="609"/>
      <c r="AX300" s="609"/>
      <c r="AY300" s="609"/>
      <c r="AZ300" s="609"/>
      <c r="BA300" s="609">
        <f>SUM(AR300:AZ301)</f>
        <v>42000000</v>
      </c>
      <c r="BB300" s="609"/>
      <c r="BC300" s="609"/>
      <c r="BD300" s="609">
        <v>43000000</v>
      </c>
      <c r="BE300" s="380"/>
      <c r="BF300" s="609"/>
      <c r="BG300" s="609"/>
      <c r="BH300" s="609"/>
      <c r="BI300" s="609"/>
      <c r="BJ300" s="609"/>
      <c r="BK300" s="609">
        <f>SUM(BB300:BJ301)</f>
        <v>43000000</v>
      </c>
      <c r="BL300" s="609"/>
      <c r="BM300" s="609"/>
      <c r="BN300" s="609">
        <v>44000000</v>
      </c>
      <c r="BO300" s="380"/>
      <c r="BP300" s="609"/>
      <c r="BQ300" s="609"/>
      <c r="BR300" s="609"/>
      <c r="BS300" s="609"/>
      <c r="BT300" s="609"/>
      <c r="BU300" s="609">
        <f>SUM(BL300:BT301)</f>
        <v>44000000</v>
      </c>
      <c r="BV300" s="613">
        <f t="shared" si="124"/>
        <v>258000000</v>
      </c>
    </row>
    <row r="301" spans="1:74" ht="76.5" customHeight="1" x14ac:dyDescent="0.2">
      <c r="A301" s="84"/>
      <c r="B301" s="84"/>
      <c r="C301" s="173"/>
      <c r="D301" s="237"/>
      <c r="E301" s="110">
        <v>22</v>
      </c>
      <c r="F301" s="427" t="s">
        <v>229</v>
      </c>
      <c r="G301" s="262" t="s">
        <v>230</v>
      </c>
      <c r="H301" s="88" t="s">
        <v>234</v>
      </c>
      <c r="I301" s="578"/>
      <c r="J301" s="629"/>
      <c r="K301" s="608"/>
      <c r="L301" s="578"/>
      <c r="M301" s="578"/>
      <c r="N301" s="608"/>
      <c r="O301" s="608"/>
      <c r="P301" s="608"/>
      <c r="Q301" s="578"/>
      <c r="R301" s="608"/>
      <c r="S301" s="608"/>
      <c r="T301" s="608"/>
      <c r="U301" s="668"/>
      <c r="V301" s="115"/>
      <c r="W301" s="115"/>
      <c r="X301" s="665"/>
      <c r="Y301" s="666"/>
      <c r="Z301" s="665"/>
      <c r="AA301" s="666"/>
      <c r="AB301" s="665"/>
      <c r="AC301" s="666"/>
      <c r="AD301" s="665"/>
      <c r="AE301" s="666"/>
      <c r="AF301" s="665"/>
      <c r="AG301" s="666"/>
      <c r="AH301" s="665"/>
      <c r="AI301" s="666"/>
      <c r="AJ301" s="665"/>
      <c r="AK301" s="666"/>
      <c r="AL301" s="665"/>
      <c r="AM301" s="666"/>
      <c r="AN301" s="665"/>
      <c r="AO301" s="666"/>
      <c r="AP301" s="642"/>
      <c r="AQ301" s="642"/>
      <c r="AR301" s="610"/>
      <c r="AS301" s="610"/>
      <c r="AT301" s="610"/>
      <c r="AU301" s="409"/>
      <c r="AV301" s="610"/>
      <c r="AW301" s="610"/>
      <c r="AX301" s="610"/>
      <c r="AY301" s="610"/>
      <c r="AZ301" s="610"/>
      <c r="BA301" s="610"/>
      <c r="BB301" s="610"/>
      <c r="BC301" s="610"/>
      <c r="BD301" s="610"/>
      <c r="BE301" s="409"/>
      <c r="BF301" s="610"/>
      <c r="BG301" s="610"/>
      <c r="BH301" s="610"/>
      <c r="BI301" s="610"/>
      <c r="BJ301" s="610"/>
      <c r="BK301" s="610"/>
      <c r="BL301" s="610"/>
      <c r="BM301" s="610"/>
      <c r="BN301" s="610"/>
      <c r="BO301" s="409"/>
      <c r="BP301" s="610"/>
      <c r="BQ301" s="610"/>
      <c r="BR301" s="610"/>
      <c r="BS301" s="610"/>
      <c r="BT301" s="610"/>
      <c r="BU301" s="610"/>
      <c r="BV301" s="614"/>
    </row>
    <row r="302" spans="1:74" ht="22.5" customHeight="1" x14ac:dyDescent="0.2">
      <c r="A302" s="84"/>
      <c r="B302" s="84"/>
      <c r="C302" s="173"/>
      <c r="D302" s="56">
        <v>19</v>
      </c>
      <c r="E302" s="170" t="s">
        <v>683</v>
      </c>
      <c r="F302" s="58"/>
      <c r="G302" s="58"/>
      <c r="H302" s="58"/>
      <c r="I302" s="358"/>
      <c r="J302" s="61"/>
      <c r="K302" s="61"/>
      <c r="L302" s="62"/>
      <c r="M302" s="60"/>
      <c r="N302" s="63"/>
      <c r="O302" s="61"/>
      <c r="P302" s="61"/>
      <c r="Q302" s="64"/>
      <c r="R302" s="61"/>
      <c r="S302" s="61"/>
      <c r="T302" s="60"/>
      <c r="U302" s="171"/>
      <c r="V302" s="60"/>
      <c r="W302" s="60"/>
      <c r="X302" s="66">
        <f t="shared" ref="X302:AO302" si="137">X303</f>
        <v>0</v>
      </c>
      <c r="Y302" s="66">
        <f t="shared" si="137"/>
        <v>0</v>
      </c>
      <c r="Z302" s="66">
        <f t="shared" si="137"/>
        <v>3245382763</v>
      </c>
      <c r="AA302" s="66">
        <f t="shared" si="137"/>
        <v>3247557575</v>
      </c>
      <c r="AB302" s="66">
        <f t="shared" si="137"/>
        <v>40000000</v>
      </c>
      <c r="AC302" s="66">
        <f t="shared" si="137"/>
        <v>40000000</v>
      </c>
      <c r="AD302" s="66">
        <f t="shared" si="137"/>
        <v>0</v>
      </c>
      <c r="AE302" s="66">
        <f t="shared" si="137"/>
        <v>0</v>
      </c>
      <c r="AF302" s="66">
        <f t="shared" si="137"/>
        <v>0</v>
      </c>
      <c r="AG302" s="66">
        <f t="shared" si="137"/>
        <v>0</v>
      </c>
      <c r="AH302" s="66">
        <f t="shared" si="137"/>
        <v>0</v>
      </c>
      <c r="AI302" s="66">
        <f t="shared" si="137"/>
        <v>0</v>
      </c>
      <c r="AJ302" s="66">
        <f t="shared" si="137"/>
        <v>0</v>
      </c>
      <c r="AK302" s="66">
        <f t="shared" si="137"/>
        <v>0</v>
      </c>
      <c r="AL302" s="66">
        <f t="shared" si="137"/>
        <v>0</v>
      </c>
      <c r="AM302" s="66">
        <f t="shared" si="137"/>
        <v>0</v>
      </c>
      <c r="AN302" s="66">
        <f t="shared" si="137"/>
        <v>0</v>
      </c>
      <c r="AO302" s="66">
        <f t="shared" si="137"/>
        <v>0</v>
      </c>
      <c r="AP302" s="67">
        <f>AP303</f>
        <v>3285382763</v>
      </c>
      <c r="AQ302" s="66">
        <f>AQ303</f>
        <v>3287557575</v>
      </c>
      <c r="AR302" s="68"/>
      <c r="AS302" s="68"/>
      <c r="AT302" s="68"/>
      <c r="AU302" s="68"/>
      <c r="AV302" s="68"/>
      <c r="AW302" s="68"/>
      <c r="AX302" s="68"/>
      <c r="AY302" s="68"/>
      <c r="AZ302" s="68"/>
      <c r="BA302" s="68">
        <f>BA303</f>
        <v>2557920000</v>
      </c>
      <c r="BB302" s="68"/>
      <c r="BC302" s="68"/>
      <c r="BD302" s="68"/>
      <c r="BE302" s="68"/>
      <c r="BF302" s="68"/>
      <c r="BG302" s="68"/>
      <c r="BH302" s="68"/>
      <c r="BI302" s="68"/>
      <c r="BJ302" s="68"/>
      <c r="BK302" s="68">
        <f>BK303</f>
        <v>2634057600</v>
      </c>
      <c r="BL302" s="68"/>
      <c r="BM302" s="68"/>
      <c r="BN302" s="68"/>
      <c r="BO302" s="68"/>
      <c r="BP302" s="68"/>
      <c r="BQ302" s="68"/>
      <c r="BR302" s="68"/>
      <c r="BS302" s="68"/>
      <c r="BT302" s="68"/>
      <c r="BU302" s="68">
        <f>BU303</f>
        <v>2712479328</v>
      </c>
      <c r="BV302" s="172">
        <f t="shared" ref="BV302:BV333" si="138">SUM(AR302:BU302)</f>
        <v>7904456928</v>
      </c>
    </row>
    <row r="303" spans="1:74" ht="22.5" customHeight="1" x14ac:dyDescent="0.2">
      <c r="A303" s="84"/>
      <c r="B303" s="84"/>
      <c r="C303" s="173"/>
      <c r="D303" s="169"/>
      <c r="E303" s="71">
        <v>67</v>
      </c>
      <c r="F303" s="72" t="s">
        <v>684</v>
      </c>
      <c r="G303" s="75"/>
      <c r="H303" s="75"/>
      <c r="I303" s="71"/>
      <c r="J303" s="72"/>
      <c r="K303" s="75"/>
      <c r="L303" s="74"/>
      <c r="M303" s="76"/>
      <c r="N303" s="77"/>
      <c r="O303" s="75"/>
      <c r="P303" s="75"/>
      <c r="Q303" s="78"/>
      <c r="R303" s="75"/>
      <c r="S303" s="75"/>
      <c r="T303" s="76"/>
      <c r="U303" s="174"/>
      <c r="V303" s="76"/>
      <c r="W303" s="76"/>
      <c r="X303" s="80">
        <f t="shared" ref="X303:AO303" si="139">SUM(X304:X307)</f>
        <v>0</v>
      </c>
      <c r="Y303" s="80">
        <f t="shared" si="139"/>
        <v>0</v>
      </c>
      <c r="Z303" s="80">
        <f t="shared" si="139"/>
        <v>3245382763</v>
      </c>
      <c r="AA303" s="80">
        <f t="shared" si="139"/>
        <v>3247557575</v>
      </c>
      <c r="AB303" s="80">
        <f t="shared" si="139"/>
        <v>40000000</v>
      </c>
      <c r="AC303" s="80">
        <f t="shared" si="139"/>
        <v>40000000</v>
      </c>
      <c r="AD303" s="80">
        <f t="shared" si="139"/>
        <v>0</v>
      </c>
      <c r="AE303" s="80">
        <f t="shared" si="139"/>
        <v>0</v>
      </c>
      <c r="AF303" s="80">
        <f t="shared" si="139"/>
        <v>0</v>
      </c>
      <c r="AG303" s="80">
        <f t="shared" si="139"/>
        <v>0</v>
      </c>
      <c r="AH303" s="80">
        <f t="shared" si="139"/>
        <v>0</v>
      </c>
      <c r="AI303" s="80">
        <f t="shared" si="139"/>
        <v>0</v>
      </c>
      <c r="AJ303" s="80">
        <f t="shared" si="139"/>
        <v>0</v>
      </c>
      <c r="AK303" s="80">
        <f t="shared" si="139"/>
        <v>0</v>
      </c>
      <c r="AL303" s="80">
        <f t="shared" si="139"/>
        <v>0</v>
      </c>
      <c r="AM303" s="80">
        <f t="shared" si="139"/>
        <v>0</v>
      </c>
      <c r="AN303" s="80">
        <f t="shared" si="139"/>
        <v>0</v>
      </c>
      <c r="AO303" s="80">
        <f t="shared" si="139"/>
        <v>0</v>
      </c>
      <c r="AP303" s="81">
        <f>SUM(AP304:AP307)</f>
        <v>3285382763</v>
      </c>
      <c r="AQ303" s="80">
        <f>SUM(AQ304:AQ307)</f>
        <v>3287557575</v>
      </c>
      <c r="AR303" s="82"/>
      <c r="AS303" s="82"/>
      <c r="AT303" s="82"/>
      <c r="AU303" s="82"/>
      <c r="AV303" s="82"/>
      <c r="AW303" s="82"/>
      <c r="AX303" s="82"/>
      <c r="AY303" s="82"/>
      <c r="AZ303" s="82"/>
      <c r="BA303" s="82">
        <f>SUM(BA304:BA307)</f>
        <v>2557920000</v>
      </c>
      <c r="BB303" s="82"/>
      <c r="BC303" s="82"/>
      <c r="BD303" s="82"/>
      <c r="BE303" s="82"/>
      <c r="BF303" s="82"/>
      <c r="BG303" s="82"/>
      <c r="BH303" s="82"/>
      <c r="BI303" s="82"/>
      <c r="BJ303" s="82"/>
      <c r="BK303" s="82">
        <f>SUM(BK304:BK307)</f>
        <v>2634057600</v>
      </c>
      <c r="BL303" s="82"/>
      <c r="BM303" s="82"/>
      <c r="BN303" s="82"/>
      <c r="BO303" s="82"/>
      <c r="BP303" s="82"/>
      <c r="BQ303" s="82"/>
      <c r="BR303" s="82"/>
      <c r="BS303" s="82"/>
      <c r="BT303" s="82"/>
      <c r="BU303" s="82">
        <f>SUM(BU304:BU307)</f>
        <v>2712479328</v>
      </c>
      <c r="BV303" s="83">
        <f t="shared" si="138"/>
        <v>7904456928</v>
      </c>
    </row>
    <row r="304" spans="1:74" ht="156" customHeight="1" x14ac:dyDescent="0.2">
      <c r="A304" s="105">
        <v>198</v>
      </c>
      <c r="B304" s="84">
        <v>3</v>
      </c>
      <c r="C304" s="173"/>
      <c r="D304" s="173"/>
      <c r="E304" s="85">
        <v>35</v>
      </c>
      <c r="F304" s="112" t="s">
        <v>685</v>
      </c>
      <c r="G304" s="360" t="s">
        <v>686</v>
      </c>
      <c r="H304" s="360" t="s">
        <v>687</v>
      </c>
      <c r="I304" s="94">
        <v>198</v>
      </c>
      <c r="J304" s="90" t="s">
        <v>688</v>
      </c>
      <c r="K304" s="86" t="s">
        <v>689</v>
      </c>
      <c r="L304" s="91" t="s">
        <v>690</v>
      </c>
      <c r="M304" s="91">
        <v>14</v>
      </c>
      <c r="N304" s="92" t="s">
        <v>44</v>
      </c>
      <c r="O304" s="95">
        <v>1</v>
      </c>
      <c r="P304" s="95">
        <v>1</v>
      </c>
      <c r="Q304" s="94">
        <v>1</v>
      </c>
      <c r="R304" s="95">
        <v>1</v>
      </c>
      <c r="S304" s="95">
        <v>1</v>
      </c>
      <c r="T304" s="95">
        <v>1</v>
      </c>
      <c r="U304" s="432">
        <f>AP304/$AP$303</f>
        <v>1.2175141493551447E-2</v>
      </c>
      <c r="V304" s="94">
        <v>10</v>
      </c>
      <c r="W304" s="91" t="s">
        <v>376</v>
      </c>
      <c r="X304" s="153"/>
      <c r="Y304" s="143"/>
      <c r="Z304" s="153"/>
      <c r="AA304" s="143"/>
      <c r="AB304" s="153">
        <f>20000000+20000000</f>
        <v>40000000</v>
      </c>
      <c r="AC304" s="101">
        <v>40000000</v>
      </c>
      <c r="AD304" s="153"/>
      <c r="AE304" s="143"/>
      <c r="AF304" s="153"/>
      <c r="AG304" s="143"/>
      <c r="AH304" s="153"/>
      <c r="AI304" s="143"/>
      <c r="AJ304" s="153"/>
      <c r="AK304" s="143"/>
      <c r="AL304" s="153"/>
      <c r="AM304" s="143"/>
      <c r="AN304" s="153"/>
      <c r="AO304" s="143"/>
      <c r="AP304" s="99">
        <f>+X304+Z304+AB304+AD304+AF304+AH304+AJ304+AL304+AN304</f>
        <v>40000000</v>
      </c>
      <c r="AQ304" s="100">
        <f>Y304+AA304+AC304+AE304+AG304+AI304+AK304+AM304+AO304</f>
        <v>40000000</v>
      </c>
      <c r="AR304" s="109"/>
      <c r="AS304" s="109"/>
      <c r="AT304" s="109">
        <v>10000000</v>
      </c>
      <c r="AU304" s="109"/>
      <c r="AV304" s="109"/>
      <c r="AW304" s="109"/>
      <c r="AX304" s="109"/>
      <c r="AY304" s="109"/>
      <c r="AZ304" s="109"/>
      <c r="BA304" s="109">
        <f>SUM(AR304:AY304)+AZ304</f>
        <v>10000000</v>
      </c>
      <c r="BB304" s="109"/>
      <c r="BC304" s="109"/>
      <c r="BD304" s="109">
        <v>10000000</v>
      </c>
      <c r="BE304" s="109"/>
      <c r="BF304" s="109"/>
      <c r="BG304" s="109"/>
      <c r="BH304" s="109"/>
      <c r="BI304" s="109"/>
      <c r="BJ304" s="109"/>
      <c r="BK304" s="109">
        <f>SUM(BB304:BJ304)</f>
        <v>10000000</v>
      </c>
      <c r="BL304" s="109"/>
      <c r="BM304" s="109"/>
      <c r="BN304" s="109">
        <v>10000000</v>
      </c>
      <c r="BO304" s="109"/>
      <c r="BP304" s="109"/>
      <c r="BQ304" s="109"/>
      <c r="BR304" s="109"/>
      <c r="BS304" s="109"/>
      <c r="BT304" s="109"/>
      <c r="BU304" s="109">
        <f>SUM(BL304:BT304)</f>
        <v>10000000</v>
      </c>
      <c r="BV304" s="103">
        <f t="shared" si="138"/>
        <v>60000000</v>
      </c>
    </row>
    <row r="305" spans="1:74" ht="66.75" customHeight="1" x14ac:dyDescent="0.2">
      <c r="A305" s="105"/>
      <c r="B305" s="84"/>
      <c r="C305" s="173"/>
      <c r="D305" s="173"/>
      <c r="E305" s="111"/>
      <c r="F305" s="154"/>
      <c r="G305" s="193"/>
      <c r="H305" s="193"/>
      <c r="I305" s="94">
        <v>199</v>
      </c>
      <c r="J305" s="90" t="s">
        <v>691</v>
      </c>
      <c r="K305" s="86" t="s">
        <v>692</v>
      </c>
      <c r="L305" s="91" t="s">
        <v>690</v>
      </c>
      <c r="M305" s="91">
        <v>14</v>
      </c>
      <c r="N305" s="91" t="s">
        <v>44</v>
      </c>
      <c r="O305" s="94">
        <v>0</v>
      </c>
      <c r="P305" s="94">
        <v>12</v>
      </c>
      <c r="Q305" s="94">
        <v>0</v>
      </c>
      <c r="R305" s="94">
        <v>4</v>
      </c>
      <c r="S305" s="94">
        <v>4</v>
      </c>
      <c r="T305" s="94">
        <v>4</v>
      </c>
      <c r="U305" s="432">
        <f>AP305/$AP$303</f>
        <v>0</v>
      </c>
      <c r="V305" s="94">
        <v>10</v>
      </c>
      <c r="W305" s="91" t="s">
        <v>376</v>
      </c>
      <c r="X305" s="99"/>
      <c r="Y305" s="100"/>
      <c r="Z305" s="99"/>
      <c r="AA305" s="100"/>
      <c r="AB305" s="99"/>
      <c r="AC305" s="100"/>
      <c r="AD305" s="99"/>
      <c r="AE305" s="100"/>
      <c r="AF305" s="99"/>
      <c r="AG305" s="100"/>
      <c r="AH305" s="99"/>
      <c r="AI305" s="100"/>
      <c r="AJ305" s="99"/>
      <c r="AK305" s="100"/>
      <c r="AL305" s="99"/>
      <c r="AM305" s="100"/>
      <c r="AN305" s="99"/>
      <c r="AO305" s="100"/>
      <c r="AP305" s="99">
        <f>+X305+Z305+AB305+AD305+AF305+AH305+AJ305+AL305+AN305</f>
        <v>0</v>
      </c>
      <c r="AQ305" s="100">
        <f>Y305+AA305+AC305+AE305+AG305+AI305+AK305+AM305+AO305</f>
        <v>0</v>
      </c>
      <c r="AR305" s="109"/>
      <c r="AS305" s="109"/>
      <c r="AT305" s="109">
        <v>10000000</v>
      </c>
      <c r="AU305" s="109"/>
      <c r="AV305" s="109"/>
      <c r="AW305" s="109"/>
      <c r="AX305" s="109"/>
      <c r="AY305" s="109"/>
      <c r="AZ305" s="109"/>
      <c r="BA305" s="109">
        <f>SUM(AR305:AY305)+AZ305</f>
        <v>10000000</v>
      </c>
      <c r="BB305" s="109"/>
      <c r="BC305" s="109"/>
      <c r="BD305" s="109">
        <v>10000000</v>
      </c>
      <c r="BE305" s="109"/>
      <c r="BF305" s="109"/>
      <c r="BG305" s="109"/>
      <c r="BH305" s="109"/>
      <c r="BI305" s="109"/>
      <c r="BJ305" s="109"/>
      <c r="BK305" s="109">
        <f>SUM(BB305:BJ305)</f>
        <v>10000000</v>
      </c>
      <c r="BL305" s="109"/>
      <c r="BM305" s="109"/>
      <c r="BN305" s="109">
        <v>10000000</v>
      </c>
      <c r="BO305" s="109"/>
      <c r="BP305" s="109"/>
      <c r="BQ305" s="109"/>
      <c r="BR305" s="109"/>
      <c r="BS305" s="109"/>
      <c r="BT305" s="109"/>
      <c r="BU305" s="109">
        <f>SUM(BL305:BT305)</f>
        <v>10000000</v>
      </c>
      <c r="BV305" s="103">
        <f t="shared" si="138"/>
        <v>60000000</v>
      </c>
    </row>
    <row r="306" spans="1:74" ht="144.75" customHeight="1" x14ac:dyDescent="0.2">
      <c r="A306" s="84">
        <v>199</v>
      </c>
      <c r="B306" s="84">
        <v>3</v>
      </c>
      <c r="C306" s="173"/>
      <c r="D306" s="173"/>
      <c r="E306" s="111"/>
      <c r="F306" s="154"/>
      <c r="G306" s="193"/>
      <c r="H306" s="193"/>
      <c r="I306" s="94">
        <v>200</v>
      </c>
      <c r="J306" s="90" t="s">
        <v>693</v>
      </c>
      <c r="K306" s="86" t="s">
        <v>694</v>
      </c>
      <c r="L306" s="91" t="s">
        <v>690</v>
      </c>
      <c r="M306" s="91">
        <v>14</v>
      </c>
      <c r="N306" s="92" t="s">
        <v>44</v>
      </c>
      <c r="O306" s="95">
        <v>12</v>
      </c>
      <c r="P306" s="95">
        <v>12</v>
      </c>
      <c r="Q306" s="94">
        <v>12</v>
      </c>
      <c r="R306" s="95">
        <v>12</v>
      </c>
      <c r="S306" s="95">
        <v>12</v>
      </c>
      <c r="T306" s="95">
        <v>12</v>
      </c>
      <c r="U306" s="432">
        <f>AP306/$AP$303</f>
        <v>0.29634745755193453</v>
      </c>
      <c r="V306" s="94">
        <v>3</v>
      </c>
      <c r="W306" s="91" t="s">
        <v>442</v>
      </c>
      <c r="X306" s="153"/>
      <c r="Y306" s="143"/>
      <c r="Z306" s="141">
        <v>973614828.89999998</v>
      </c>
      <c r="AA306" s="136">
        <v>974267272.89999998</v>
      </c>
      <c r="AB306" s="153"/>
      <c r="AC306" s="143"/>
      <c r="AD306" s="153"/>
      <c r="AE306" s="143"/>
      <c r="AF306" s="153"/>
      <c r="AG306" s="143"/>
      <c r="AH306" s="153"/>
      <c r="AI306" s="143"/>
      <c r="AJ306" s="153"/>
      <c r="AK306" s="143"/>
      <c r="AL306" s="153"/>
      <c r="AM306" s="143"/>
      <c r="AN306" s="153"/>
      <c r="AO306" s="143"/>
      <c r="AP306" s="99">
        <f>+X306+Z306+AB306+AD306+AF306+AH306+AJ306+AL306+AN306</f>
        <v>973614828.89999998</v>
      </c>
      <c r="AQ306" s="100">
        <f>Y306+AA306+AC306+AE306+AG306+AI306+AK306+AM306+AO306</f>
        <v>974267272.89999998</v>
      </c>
      <c r="AR306" s="109"/>
      <c r="AS306" s="109">
        <f>2537920000*0.3</f>
        <v>761376000</v>
      </c>
      <c r="AT306" s="109"/>
      <c r="AU306" s="109"/>
      <c r="AV306" s="109"/>
      <c r="AW306" s="109"/>
      <c r="AX306" s="109"/>
      <c r="AY306" s="109"/>
      <c r="AZ306" s="109"/>
      <c r="BA306" s="109">
        <f>SUM(AR306:AY306)+AZ306</f>
        <v>761376000</v>
      </c>
      <c r="BB306" s="109"/>
      <c r="BC306" s="109">
        <f>2614057600*0.3</f>
        <v>784217280</v>
      </c>
      <c r="BD306" s="109"/>
      <c r="BE306" s="109"/>
      <c r="BF306" s="109"/>
      <c r="BG306" s="109"/>
      <c r="BH306" s="109"/>
      <c r="BI306" s="109"/>
      <c r="BJ306" s="109"/>
      <c r="BK306" s="109">
        <f>SUM(BB306:BJ306)</f>
        <v>784217280</v>
      </c>
      <c r="BL306" s="109"/>
      <c r="BM306" s="109">
        <v>807743798.39999998</v>
      </c>
      <c r="BN306" s="109"/>
      <c r="BO306" s="109"/>
      <c r="BP306" s="109"/>
      <c r="BQ306" s="109"/>
      <c r="BR306" s="109"/>
      <c r="BS306" s="109"/>
      <c r="BT306" s="109"/>
      <c r="BU306" s="109">
        <f>SUM(BL306:BT306)</f>
        <v>807743798.39999998</v>
      </c>
      <c r="BV306" s="103">
        <f t="shared" si="138"/>
        <v>4706674156.8000002</v>
      </c>
    </row>
    <row r="307" spans="1:74" ht="127.5" customHeight="1" x14ac:dyDescent="0.2">
      <c r="A307" s="105">
        <v>200</v>
      </c>
      <c r="B307" s="84">
        <v>3</v>
      </c>
      <c r="C307" s="173"/>
      <c r="D307" s="237"/>
      <c r="E307" s="110"/>
      <c r="F307" s="114"/>
      <c r="G307" s="196"/>
      <c r="H307" s="196"/>
      <c r="I307" s="94">
        <v>201</v>
      </c>
      <c r="J307" s="90" t="s">
        <v>695</v>
      </c>
      <c r="K307" s="86" t="s">
        <v>696</v>
      </c>
      <c r="L307" s="91" t="s">
        <v>690</v>
      </c>
      <c r="M307" s="91">
        <v>14</v>
      </c>
      <c r="N307" s="107" t="s">
        <v>44</v>
      </c>
      <c r="O307" s="93">
        <v>14</v>
      </c>
      <c r="P307" s="93">
        <v>14</v>
      </c>
      <c r="Q307" s="108">
        <v>14</v>
      </c>
      <c r="R307" s="93">
        <v>14</v>
      </c>
      <c r="S307" s="93">
        <v>14</v>
      </c>
      <c r="T307" s="93">
        <v>14</v>
      </c>
      <c r="U307" s="432">
        <f>AP307/$AP$303</f>
        <v>0.69147740095451393</v>
      </c>
      <c r="V307" s="94">
        <v>3</v>
      </c>
      <c r="W307" s="91" t="s">
        <v>442</v>
      </c>
      <c r="X307" s="153"/>
      <c r="Y307" s="143"/>
      <c r="Z307" s="141">
        <v>2271767934.0999999</v>
      </c>
      <c r="AA307" s="136">
        <v>2273290302.0999999</v>
      </c>
      <c r="AB307" s="153"/>
      <c r="AC307" s="143"/>
      <c r="AD307" s="153"/>
      <c r="AE307" s="143"/>
      <c r="AF307" s="153"/>
      <c r="AG307" s="143"/>
      <c r="AH307" s="153"/>
      <c r="AI307" s="143"/>
      <c r="AJ307" s="153"/>
      <c r="AK307" s="143"/>
      <c r="AL307" s="153"/>
      <c r="AM307" s="143"/>
      <c r="AN307" s="153"/>
      <c r="AO307" s="143"/>
      <c r="AP307" s="99">
        <f>+X307+Z307+AB307+AD307+AF307+AH307+AJ307+AL307+AN307</f>
        <v>2271767934.0999999</v>
      </c>
      <c r="AQ307" s="100">
        <f>Y307+AA307+AC307+AE307+AG307+AI307+AK307+AM307+AO307</f>
        <v>2273290302.0999999</v>
      </c>
      <c r="AR307" s="109"/>
      <c r="AS307" s="109">
        <f>2537920000*0.7</f>
        <v>1776544000</v>
      </c>
      <c r="AT307" s="109"/>
      <c r="AU307" s="109"/>
      <c r="AV307" s="109"/>
      <c r="AW307" s="109"/>
      <c r="AX307" s="109"/>
      <c r="AY307" s="109"/>
      <c r="AZ307" s="109"/>
      <c r="BA307" s="109">
        <f>SUM(AR307:AY307)+AZ307</f>
        <v>1776544000</v>
      </c>
      <c r="BB307" s="109"/>
      <c r="BC307" s="109">
        <f>2614057600*0.7</f>
        <v>1829840320</v>
      </c>
      <c r="BD307" s="109"/>
      <c r="BE307" s="109"/>
      <c r="BF307" s="109"/>
      <c r="BG307" s="109"/>
      <c r="BH307" s="109"/>
      <c r="BI307" s="109"/>
      <c r="BJ307" s="109"/>
      <c r="BK307" s="109">
        <f>SUM(BB307:BJ307)</f>
        <v>1829840320</v>
      </c>
      <c r="BL307" s="109"/>
      <c r="BM307" s="109">
        <v>1884735529.5999999</v>
      </c>
      <c r="BN307" s="109"/>
      <c r="BO307" s="109"/>
      <c r="BP307" s="109"/>
      <c r="BQ307" s="109"/>
      <c r="BR307" s="109"/>
      <c r="BS307" s="109"/>
      <c r="BT307" s="109"/>
      <c r="BU307" s="109">
        <f>SUM(BL307:BT307)</f>
        <v>1884735529.5999999</v>
      </c>
      <c r="BV307" s="103">
        <f t="shared" si="138"/>
        <v>10982239699.200001</v>
      </c>
    </row>
    <row r="308" spans="1:74" ht="24.75" customHeight="1" x14ac:dyDescent="0.2">
      <c r="A308" s="105"/>
      <c r="B308" s="84"/>
      <c r="C308" s="173"/>
      <c r="D308" s="56">
        <v>20</v>
      </c>
      <c r="E308" s="170" t="s">
        <v>697</v>
      </c>
      <c r="F308" s="58"/>
      <c r="G308" s="59"/>
      <c r="H308" s="59"/>
      <c r="I308" s="60"/>
      <c r="J308" s="61"/>
      <c r="K308" s="61"/>
      <c r="L308" s="62"/>
      <c r="M308" s="60"/>
      <c r="N308" s="63"/>
      <c r="O308" s="61"/>
      <c r="P308" s="61"/>
      <c r="Q308" s="64"/>
      <c r="R308" s="61"/>
      <c r="S308" s="61"/>
      <c r="T308" s="60"/>
      <c r="U308" s="171"/>
      <c r="V308" s="60"/>
      <c r="W308" s="60"/>
      <c r="X308" s="66">
        <f t="shared" ref="X308:AO308" si="140">X309+X312+X314+X316</f>
        <v>0</v>
      </c>
      <c r="Y308" s="66">
        <f t="shared" si="140"/>
        <v>0</v>
      </c>
      <c r="Z308" s="66">
        <f t="shared" si="140"/>
        <v>311043032</v>
      </c>
      <c r="AA308" s="66">
        <f t="shared" si="140"/>
        <v>315032885</v>
      </c>
      <c r="AB308" s="66">
        <f t="shared" si="140"/>
        <v>432710567.63999999</v>
      </c>
      <c r="AC308" s="66">
        <f t="shared" si="140"/>
        <v>454846986.63999999</v>
      </c>
      <c r="AD308" s="66">
        <f t="shared" si="140"/>
        <v>0</v>
      </c>
      <c r="AE308" s="66">
        <f t="shared" si="140"/>
        <v>0</v>
      </c>
      <c r="AF308" s="66">
        <f t="shared" si="140"/>
        <v>0</v>
      </c>
      <c r="AG308" s="66">
        <f t="shared" si="140"/>
        <v>0</v>
      </c>
      <c r="AH308" s="66">
        <f t="shared" si="140"/>
        <v>0</v>
      </c>
      <c r="AI308" s="66">
        <f t="shared" si="140"/>
        <v>0</v>
      </c>
      <c r="AJ308" s="66">
        <f t="shared" si="140"/>
        <v>0</v>
      </c>
      <c r="AK308" s="66">
        <f t="shared" si="140"/>
        <v>0</v>
      </c>
      <c r="AL308" s="66">
        <f t="shared" si="140"/>
        <v>0</v>
      </c>
      <c r="AM308" s="66">
        <f t="shared" si="140"/>
        <v>0</v>
      </c>
      <c r="AN308" s="66">
        <f t="shared" si="140"/>
        <v>0</v>
      </c>
      <c r="AO308" s="66">
        <f t="shared" si="140"/>
        <v>0</v>
      </c>
      <c r="AP308" s="67">
        <f>AP309+AP312+AP314+AP316</f>
        <v>743753599.63999999</v>
      </c>
      <c r="AQ308" s="66">
        <f>AQ309+AQ312+AQ314+AQ316</f>
        <v>769879871.63999999</v>
      </c>
      <c r="AR308" s="68"/>
      <c r="AS308" s="68"/>
      <c r="AT308" s="68"/>
      <c r="AU308" s="68"/>
      <c r="AV308" s="68"/>
      <c r="AW308" s="68"/>
      <c r="AX308" s="68"/>
      <c r="AY308" s="68"/>
      <c r="AZ308" s="68"/>
      <c r="BA308" s="68">
        <f>BA309+BA312+BA314+BA316</f>
        <v>766066207.62919998</v>
      </c>
      <c r="BB308" s="68"/>
      <c r="BC308" s="68"/>
      <c r="BD308" s="68"/>
      <c r="BE308" s="68"/>
      <c r="BF308" s="68"/>
      <c r="BG308" s="68"/>
      <c r="BH308" s="68"/>
      <c r="BI308" s="68"/>
      <c r="BJ308" s="68"/>
      <c r="BK308" s="68">
        <f>BK309+BK312+BK314+BK316</f>
        <v>789048193.85807598</v>
      </c>
      <c r="BL308" s="68"/>
      <c r="BM308" s="68"/>
      <c r="BN308" s="68"/>
      <c r="BO308" s="68"/>
      <c r="BP308" s="68"/>
      <c r="BQ308" s="68"/>
      <c r="BR308" s="68"/>
      <c r="BS308" s="68"/>
      <c r="BT308" s="68"/>
      <c r="BU308" s="68">
        <f>BU309+BU312+BU314+BU316</f>
        <v>812719639.67381835</v>
      </c>
      <c r="BV308" s="172">
        <f t="shared" si="138"/>
        <v>2367834041.1610947</v>
      </c>
    </row>
    <row r="309" spans="1:74" ht="24.75" customHeight="1" x14ac:dyDescent="0.2">
      <c r="A309" s="105"/>
      <c r="B309" s="84"/>
      <c r="C309" s="173"/>
      <c r="D309" s="169"/>
      <c r="E309" s="71">
        <v>68</v>
      </c>
      <c r="F309" s="72" t="s">
        <v>698</v>
      </c>
      <c r="G309" s="125"/>
      <c r="H309" s="125"/>
      <c r="I309" s="74"/>
      <c r="J309" s="75"/>
      <c r="K309" s="125"/>
      <c r="L309" s="74"/>
      <c r="M309" s="74"/>
      <c r="N309" s="126"/>
      <c r="O309" s="125"/>
      <c r="P309" s="125"/>
      <c r="Q309" s="127"/>
      <c r="R309" s="125"/>
      <c r="S309" s="125"/>
      <c r="T309" s="74"/>
      <c r="U309" s="128"/>
      <c r="V309" s="74"/>
      <c r="W309" s="74"/>
      <c r="X309" s="129">
        <f t="shared" ref="X309:AO309" si="141">SUM(X310:X311)</f>
        <v>0</v>
      </c>
      <c r="Y309" s="129">
        <f t="shared" si="141"/>
        <v>0</v>
      </c>
      <c r="Z309" s="129">
        <f t="shared" si="141"/>
        <v>311043032</v>
      </c>
      <c r="AA309" s="129">
        <f t="shared" si="141"/>
        <v>311043032</v>
      </c>
      <c r="AB309" s="129">
        <f t="shared" si="141"/>
        <v>330833768</v>
      </c>
      <c r="AC309" s="129">
        <f t="shared" si="141"/>
        <v>238654472</v>
      </c>
      <c r="AD309" s="129">
        <f t="shared" si="141"/>
        <v>0</v>
      </c>
      <c r="AE309" s="129">
        <f t="shared" si="141"/>
        <v>0</v>
      </c>
      <c r="AF309" s="129">
        <f t="shared" si="141"/>
        <v>0</v>
      </c>
      <c r="AG309" s="129">
        <f t="shared" si="141"/>
        <v>0</v>
      </c>
      <c r="AH309" s="129">
        <f t="shared" si="141"/>
        <v>0</v>
      </c>
      <c r="AI309" s="129">
        <f t="shared" si="141"/>
        <v>0</v>
      </c>
      <c r="AJ309" s="129">
        <f t="shared" si="141"/>
        <v>0</v>
      </c>
      <c r="AK309" s="129">
        <f t="shared" si="141"/>
        <v>0</v>
      </c>
      <c r="AL309" s="129">
        <f t="shared" si="141"/>
        <v>0</v>
      </c>
      <c r="AM309" s="129">
        <f t="shared" si="141"/>
        <v>0</v>
      </c>
      <c r="AN309" s="129">
        <f t="shared" si="141"/>
        <v>0</v>
      </c>
      <c r="AO309" s="129">
        <f t="shared" si="141"/>
        <v>0</v>
      </c>
      <c r="AP309" s="130">
        <f>SUM(AP310:AP311)</f>
        <v>641876800</v>
      </c>
      <c r="AQ309" s="129">
        <f>SUM(AQ310:AQ311)</f>
        <v>549697504</v>
      </c>
      <c r="AR309" s="131"/>
      <c r="AS309" s="131"/>
      <c r="AT309" s="131"/>
      <c r="AU309" s="131"/>
      <c r="AV309" s="131"/>
      <c r="AW309" s="131"/>
      <c r="AX309" s="131"/>
      <c r="AY309" s="131"/>
      <c r="AZ309" s="131"/>
      <c r="BA309" s="131">
        <f>SUM(BA310:BA311)</f>
        <v>661133104</v>
      </c>
      <c r="BB309" s="131"/>
      <c r="BC309" s="131"/>
      <c r="BD309" s="131"/>
      <c r="BE309" s="131"/>
      <c r="BF309" s="131"/>
      <c r="BG309" s="131"/>
      <c r="BH309" s="131"/>
      <c r="BI309" s="131"/>
      <c r="BJ309" s="131"/>
      <c r="BK309" s="131">
        <f>SUM(BK310:BK311)</f>
        <v>680967097.12</v>
      </c>
      <c r="BL309" s="131"/>
      <c r="BM309" s="131"/>
      <c r="BN309" s="131"/>
      <c r="BO309" s="131"/>
      <c r="BP309" s="131"/>
      <c r="BQ309" s="131"/>
      <c r="BR309" s="131"/>
      <c r="BS309" s="131"/>
      <c r="BT309" s="131"/>
      <c r="BU309" s="131">
        <f>SUM(BU310:BU311)</f>
        <v>701396110.03360009</v>
      </c>
      <c r="BV309" s="132">
        <f t="shared" si="138"/>
        <v>2043496311.1536</v>
      </c>
    </row>
    <row r="310" spans="1:74" ht="57" x14ac:dyDescent="0.2">
      <c r="A310" s="84">
        <v>201</v>
      </c>
      <c r="B310" s="84">
        <v>3</v>
      </c>
      <c r="C310" s="173"/>
      <c r="D310" s="173"/>
      <c r="E310" s="85">
        <v>36</v>
      </c>
      <c r="F310" s="112" t="s">
        <v>699</v>
      </c>
      <c r="G310" s="402">
        <v>0.4</v>
      </c>
      <c r="H310" s="402">
        <v>0.6</v>
      </c>
      <c r="I310" s="94">
        <v>202</v>
      </c>
      <c r="J310" s="90" t="s">
        <v>700</v>
      </c>
      <c r="K310" s="346" t="s">
        <v>701</v>
      </c>
      <c r="L310" s="91" t="s">
        <v>702</v>
      </c>
      <c r="M310" s="308">
        <v>4</v>
      </c>
      <c r="N310" s="147" t="s">
        <v>44</v>
      </c>
      <c r="O310" s="117">
        <v>23</v>
      </c>
      <c r="P310" s="117">
        <v>23</v>
      </c>
      <c r="Q310" s="248">
        <v>23</v>
      </c>
      <c r="R310" s="117">
        <v>23</v>
      </c>
      <c r="S310" s="117">
        <v>23</v>
      </c>
      <c r="T310" s="117">
        <v>23</v>
      </c>
      <c r="U310" s="340">
        <f>AP310/AP309</f>
        <v>0.78564338359012198</v>
      </c>
      <c r="V310" s="95">
        <v>3</v>
      </c>
      <c r="W310" s="92" t="s">
        <v>442</v>
      </c>
      <c r="X310" s="141"/>
      <c r="Y310" s="142"/>
      <c r="Z310" s="441">
        <v>307593032</v>
      </c>
      <c r="AA310" s="136">
        <v>307593032</v>
      </c>
      <c r="AB310" s="441">
        <v>196693229</v>
      </c>
      <c r="AC310" s="136">
        <v>105582133</v>
      </c>
      <c r="AD310" s="141"/>
      <c r="AE310" s="142"/>
      <c r="AF310" s="141"/>
      <c r="AG310" s="142"/>
      <c r="AH310" s="141"/>
      <c r="AI310" s="142"/>
      <c r="AJ310" s="141"/>
      <c r="AK310" s="142"/>
      <c r="AL310" s="141"/>
      <c r="AM310" s="142"/>
      <c r="AN310" s="141"/>
      <c r="AO310" s="142"/>
      <c r="AP310" s="99">
        <f>+X310+Z310+AB310+AD310+AF310+AH310+AJ310+AL310+AN310</f>
        <v>504286261</v>
      </c>
      <c r="AQ310" s="100">
        <f>Y310+AA310+AC310+AE310+AG310+AI310+AK310+AM310+AO310</f>
        <v>413175165</v>
      </c>
      <c r="AR310" s="109"/>
      <c r="AS310" s="109">
        <f>379516448*1.03</f>
        <v>390901941.44</v>
      </c>
      <c r="AT310" s="192">
        <f>80910352*1.03</f>
        <v>83337662.560000002</v>
      </c>
      <c r="AU310" s="109"/>
      <c r="AV310" s="109"/>
      <c r="AW310" s="109"/>
      <c r="AX310" s="109"/>
      <c r="AY310" s="109"/>
      <c r="AZ310" s="109"/>
      <c r="BA310" s="109">
        <f>SUM(AR310:AY310)</f>
        <v>474239604</v>
      </c>
      <c r="BB310" s="192"/>
      <c r="BC310" s="109">
        <v>402628999.6832</v>
      </c>
      <c r="BD310" s="192">
        <v>85837792.436800003</v>
      </c>
      <c r="BE310" s="192"/>
      <c r="BF310" s="192"/>
      <c r="BG310" s="192"/>
      <c r="BH310" s="192"/>
      <c r="BI310" s="192"/>
      <c r="BJ310" s="192"/>
      <c r="BK310" s="192">
        <f>SUM(BB310:BJ310)</f>
        <v>488466792.12</v>
      </c>
      <c r="BL310" s="109"/>
      <c r="BM310" s="109">
        <f>402628999.6832*1.03</f>
        <v>414707869.67369604</v>
      </c>
      <c r="BN310" s="192">
        <f>85837792.4368*1.03</f>
        <v>88412926.209904</v>
      </c>
      <c r="BO310" s="109"/>
      <c r="BP310" s="109"/>
      <c r="BQ310" s="109"/>
      <c r="BR310" s="109"/>
      <c r="BS310" s="109"/>
      <c r="BT310" s="109"/>
      <c r="BU310" s="109">
        <f>SUM(BL310:BT310)</f>
        <v>503120795.88360006</v>
      </c>
      <c r="BV310" s="103">
        <f t="shared" si="138"/>
        <v>2931654384.0072002</v>
      </c>
    </row>
    <row r="311" spans="1:74" ht="110.25" customHeight="1" x14ac:dyDescent="0.2">
      <c r="A311" s="105">
        <v>202</v>
      </c>
      <c r="B311" s="84">
        <v>3</v>
      </c>
      <c r="C311" s="173"/>
      <c r="D311" s="173"/>
      <c r="E311" s="110"/>
      <c r="F311" s="114"/>
      <c r="G311" s="403"/>
      <c r="H311" s="403"/>
      <c r="I311" s="94">
        <v>203</v>
      </c>
      <c r="J311" s="90" t="s">
        <v>703</v>
      </c>
      <c r="K311" s="346" t="s">
        <v>704</v>
      </c>
      <c r="L311" s="91" t="s">
        <v>702</v>
      </c>
      <c r="M311" s="308">
        <v>4</v>
      </c>
      <c r="N311" s="147" t="s">
        <v>44</v>
      </c>
      <c r="O311" s="117">
        <v>20</v>
      </c>
      <c r="P311" s="117">
        <v>20</v>
      </c>
      <c r="Q311" s="248">
        <v>20</v>
      </c>
      <c r="R311" s="117">
        <v>20</v>
      </c>
      <c r="S311" s="117">
        <v>20</v>
      </c>
      <c r="T311" s="117">
        <v>20</v>
      </c>
      <c r="U311" s="340">
        <f>AP311/AP309</f>
        <v>0.21435661640987802</v>
      </c>
      <c r="V311" s="95">
        <v>3</v>
      </c>
      <c r="W311" s="92" t="s">
        <v>442</v>
      </c>
      <c r="X311" s="141"/>
      <c r="Y311" s="142"/>
      <c r="Z311" s="231">
        <v>3450000</v>
      </c>
      <c r="AA311" s="136">
        <v>3450000</v>
      </c>
      <c r="AB311" s="441">
        <v>134140539</v>
      </c>
      <c r="AC311" s="136">
        <v>133072339</v>
      </c>
      <c r="AD311" s="141"/>
      <c r="AE311" s="142"/>
      <c r="AF311" s="141"/>
      <c r="AG311" s="142"/>
      <c r="AH311" s="141"/>
      <c r="AI311" s="142"/>
      <c r="AJ311" s="141"/>
      <c r="AK311" s="142"/>
      <c r="AL311" s="141"/>
      <c r="AM311" s="142"/>
      <c r="AN311" s="141"/>
      <c r="AO311" s="142"/>
      <c r="AP311" s="99">
        <f>+X311+Z311+AB311+AD311+AF311+AH311+AJ311+AL311+AN311</f>
        <v>137590539</v>
      </c>
      <c r="AQ311" s="100">
        <f>Y311+AA311+AC311+AE311+AG311+AI311+AK311+AM311+AO311</f>
        <v>136522339</v>
      </c>
      <c r="AR311" s="109"/>
      <c r="AS311" s="109">
        <f>3450000*1.03</f>
        <v>3553500</v>
      </c>
      <c r="AT311" s="109">
        <f>178000000*1.03</f>
        <v>183340000</v>
      </c>
      <c r="AU311" s="109"/>
      <c r="AV311" s="109"/>
      <c r="AW311" s="109"/>
      <c r="AX311" s="109"/>
      <c r="AY311" s="109"/>
      <c r="AZ311" s="109"/>
      <c r="BA311" s="109">
        <f>SUM(AR311:AY311)</f>
        <v>186893500</v>
      </c>
      <c r="BB311" s="192"/>
      <c r="BC311" s="109">
        <v>3660105</v>
      </c>
      <c r="BD311" s="109">
        <v>188840200</v>
      </c>
      <c r="BE311" s="109"/>
      <c r="BF311" s="192"/>
      <c r="BG311" s="192"/>
      <c r="BH311" s="192"/>
      <c r="BI311" s="192"/>
      <c r="BJ311" s="192"/>
      <c r="BK311" s="192">
        <f>SUM(BB311:BJ311)</f>
        <v>192500305</v>
      </c>
      <c r="BL311" s="109"/>
      <c r="BM311" s="109">
        <f>3660105*1.03</f>
        <v>3769908.15</v>
      </c>
      <c r="BN311" s="109">
        <f>188840200*1.03</f>
        <v>194505406</v>
      </c>
      <c r="BO311" s="109"/>
      <c r="BP311" s="109"/>
      <c r="BQ311" s="109"/>
      <c r="BR311" s="109"/>
      <c r="BS311" s="109"/>
      <c r="BT311" s="109"/>
      <c r="BU311" s="109">
        <f>SUM(BL311:BT311)</f>
        <v>198275314.15000001</v>
      </c>
      <c r="BV311" s="103">
        <f t="shared" si="138"/>
        <v>1155338238.3</v>
      </c>
    </row>
    <row r="312" spans="1:74" ht="20.25" customHeight="1" x14ac:dyDescent="0.2">
      <c r="A312" s="105"/>
      <c r="B312" s="84"/>
      <c r="C312" s="173"/>
      <c r="D312" s="173"/>
      <c r="E312" s="71">
        <v>69</v>
      </c>
      <c r="F312" s="72" t="s">
        <v>705</v>
      </c>
      <c r="G312" s="75"/>
      <c r="H312" s="75"/>
      <c r="I312" s="71"/>
      <c r="J312" s="72"/>
      <c r="K312" s="75"/>
      <c r="L312" s="74"/>
      <c r="M312" s="76"/>
      <c r="N312" s="77"/>
      <c r="O312" s="75"/>
      <c r="P312" s="75"/>
      <c r="Q312" s="78"/>
      <c r="R312" s="75"/>
      <c r="S312" s="75"/>
      <c r="T312" s="76"/>
      <c r="U312" s="174"/>
      <c r="V312" s="76"/>
      <c r="W312" s="76"/>
      <c r="X312" s="80">
        <f t="shared" ref="X312:AO312" si="142">SUM(X313)</f>
        <v>0</v>
      </c>
      <c r="Y312" s="80">
        <f t="shared" si="142"/>
        <v>0</v>
      </c>
      <c r="Z312" s="80">
        <f t="shared" si="142"/>
        <v>0</v>
      </c>
      <c r="AA312" s="80">
        <f t="shared" si="142"/>
        <v>0</v>
      </c>
      <c r="AB312" s="80">
        <f t="shared" si="142"/>
        <v>30000000</v>
      </c>
      <c r="AC312" s="80">
        <f t="shared" si="142"/>
        <v>30000000</v>
      </c>
      <c r="AD312" s="80">
        <f t="shared" si="142"/>
        <v>0</v>
      </c>
      <c r="AE312" s="80">
        <f t="shared" si="142"/>
        <v>0</v>
      </c>
      <c r="AF312" s="80">
        <f t="shared" si="142"/>
        <v>0</v>
      </c>
      <c r="AG312" s="80">
        <f t="shared" si="142"/>
        <v>0</v>
      </c>
      <c r="AH312" s="80">
        <f t="shared" si="142"/>
        <v>0</v>
      </c>
      <c r="AI312" s="80">
        <f t="shared" si="142"/>
        <v>0</v>
      </c>
      <c r="AJ312" s="80">
        <f t="shared" si="142"/>
        <v>0</v>
      </c>
      <c r="AK312" s="80">
        <f t="shared" si="142"/>
        <v>0</v>
      </c>
      <c r="AL312" s="80">
        <f t="shared" si="142"/>
        <v>0</v>
      </c>
      <c r="AM312" s="80">
        <f t="shared" si="142"/>
        <v>0</v>
      </c>
      <c r="AN312" s="80">
        <f t="shared" si="142"/>
        <v>0</v>
      </c>
      <c r="AO312" s="80">
        <f t="shared" si="142"/>
        <v>0</v>
      </c>
      <c r="AP312" s="81">
        <f>SUM(AP313)</f>
        <v>30000000</v>
      </c>
      <c r="AQ312" s="80">
        <f>SUM(AQ313)</f>
        <v>30000000</v>
      </c>
      <c r="AR312" s="82"/>
      <c r="AS312" s="82"/>
      <c r="AT312" s="82"/>
      <c r="AU312" s="82"/>
      <c r="AV312" s="82"/>
      <c r="AW312" s="82"/>
      <c r="AX312" s="82"/>
      <c r="AY312" s="82"/>
      <c r="AZ312" s="82"/>
      <c r="BA312" s="82">
        <f>SUM(BA313)</f>
        <v>30900000</v>
      </c>
      <c r="BB312" s="82"/>
      <c r="BC312" s="82"/>
      <c r="BD312" s="82"/>
      <c r="BE312" s="82"/>
      <c r="BF312" s="82"/>
      <c r="BG312" s="82"/>
      <c r="BH312" s="82"/>
      <c r="BI312" s="82"/>
      <c r="BJ312" s="82"/>
      <c r="BK312" s="82">
        <f>SUM(BK313)</f>
        <v>31827000</v>
      </c>
      <c r="BL312" s="82"/>
      <c r="BM312" s="82"/>
      <c r="BN312" s="82"/>
      <c r="BO312" s="82"/>
      <c r="BP312" s="82"/>
      <c r="BQ312" s="82"/>
      <c r="BR312" s="82"/>
      <c r="BS312" s="82"/>
      <c r="BT312" s="82"/>
      <c r="BU312" s="82">
        <f>SUM(BU313)</f>
        <v>32781810</v>
      </c>
      <c r="BV312" s="83">
        <f t="shared" si="138"/>
        <v>95508810</v>
      </c>
    </row>
    <row r="313" spans="1:74" ht="79.5" customHeight="1" x14ac:dyDescent="0.2">
      <c r="A313" s="84">
        <v>203</v>
      </c>
      <c r="B313" s="84">
        <v>3</v>
      </c>
      <c r="C313" s="173"/>
      <c r="D313" s="173"/>
      <c r="E313" s="117">
        <v>36</v>
      </c>
      <c r="F313" s="112" t="s">
        <v>699</v>
      </c>
      <c r="G313" s="402">
        <v>0.4</v>
      </c>
      <c r="H313" s="402">
        <v>0.6</v>
      </c>
      <c r="I313" s="94">
        <v>204</v>
      </c>
      <c r="J313" s="90" t="s">
        <v>706</v>
      </c>
      <c r="K313" s="346" t="s">
        <v>707</v>
      </c>
      <c r="L313" s="91" t="s">
        <v>702</v>
      </c>
      <c r="M313" s="308">
        <v>4</v>
      </c>
      <c r="N313" s="147" t="s">
        <v>44</v>
      </c>
      <c r="O313" s="117">
        <v>13</v>
      </c>
      <c r="P313" s="117">
        <v>13</v>
      </c>
      <c r="Q313" s="248">
        <v>13</v>
      </c>
      <c r="R313" s="117">
        <v>13</v>
      </c>
      <c r="S313" s="117">
        <v>13</v>
      </c>
      <c r="T313" s="117">
        <v>13</v>
      </c>
      <c r="U313" s="340">
        <f>AP313/AP312</f>
        <v>1</v>
      </c>
      <c r="V313" s="95">
        <v>3</v>
      </c>
      <c r="W313" s="92" t="s">
        <v>442</v>
      </c>
      <c r="X313" s="141"/>
      <c r="Y313" s="142"/>
      <c r="Z313" s="141"/>
      <c r="AA313" s="142"/>
      <c r="AB313" s="141">
        <v>30000000</v>
      </c>
      <c r="AC313" s="101">
        <v>30000000</v>
      </c>
      <c r="AD313" s="141"/>
      <c r="AE313" s="142"/>
      <c r="AF313" s="141"/>
      <c r="AG313" s="142"/>
      <c r="AH313" s="141"/>
      <c r="AI313" s="142"/>
      <c r="AJ313" s="141"/>
      <c r="AK313" s="142"/>
      <c r="AL313" s="141"/>
      <c r="AM313" s="142"/>
      <c r="AN313" s="141"/>
      <c r="AO313" s="142"/>
      <c r="AP313" s="99">
        <f>+X313+Z313+AB313+AD313+AF313+AH313+AJ313+AL313+AN313</f>
        <v>30000000</v>
      </c>
      <c r="AQ313" s="100">
        <f>Y313+AA313+AC313+AE313+AG313+AI313+AK313+AM313+AO313</f>
        <v>30000000</v>
      </c>
      <c r="AR313" s="109"/>
      <c r="AS313" s="109"/>
      <c r="AT313" s="192">
        <v>30900000</v>
      </c>
      <c r="AU313" s="109"/>
      <c r="AV313" s="109"/>
      <c r="AW313" s="109"/>
      <c r="AX313" s="109"/>
      <c r="AY313" s="109"/>
      <c r="AZ313" s="109"/>
      <c r="BA313" s="109">
        <f>SUM(AR313:AZ313)</f>
        <v>30900000</v>
      </c>
      <c r="BB313" s="192"/>
      <c r="BC313" s="192"/>
      <c r="BD313" s="192">
        <v>31827000</v>
      </c>
      <c r="BE313" s="192"/>
      <c r="BF313" s="192"/>
      <c r="BG313" s="192"/>
      <c r="BH313" s="192"/>
      <c r="BI313" s="192"/>
      <c r="BJ313" s="192"/>
      <c r="BK313" s="192">
        <f>SUM(BB313:BJ313)</f>
        <v>31827000</v>
      </c>
      <c r="BL313" s="109"/>
      <c r="BM313" s="109"/>
      <c r="BN313" s="109">
        <v>32781810</v>
      </c>
      <c r="BO313" s="109"/>
      <c r="BP313" s="109"/>
      <c r="BQ313" s="109"/>
      <c r="BR313" s="109"/>
      <c r="BS313" s="109"/>
      <c r="BT313" s="109"/>
      <c r="BU313" s="109">
        <f>SUM(BL313:BT313)</f>
        <v>32781810</v>
      </c>
      <c r="BV313" s="103">
        <f t="shared" si="138"/>
        <v>191017620</v>
      </c>
    </row>
    <row r="314" spans="1:74" ht="20.25" customHeight="1" x14ac:dyDescent="0.2">
      <c r="A314" s="84"/>
      <c r="B314" s="84"/>
      <c r="C314" s="173"/>
      <c r="D314" s="173"/>
      <c r="E314" s="71">
        <v>70</v>
      </c>
      <c r="F314" s="229" t="s">
        <v>708</v>
      </c>
      <c r="G314" s="125"/>
      <c r="H314" s="125"/>
      <c r="I314" s="74"/>
      <c r="J314" s="125"/>
      <c r="K314" s="125"/>
      <c r="L314" s="74"/>
      <c r="M314" s="74"/>
      <c r="N314" s="126"/>
      <c r="O314" s="125"/>
      <c r="P314" s="125"/>
      <c r="Q314" s="127"/>
      <c r="R314" s="125"/>
      <c r="S314" s="125"/>
      <c r="T314" s="74"/>
      <c r="U314" s="128"/>
      <c r="V314" s="74"/>
      <c r="W314" s="74"/>
      <c r="X314" s="130">
        <f t="shared" ref="X314:AO314" si="143">SUM(X315)</f>
        <v>0</v>
      </c>
      <c r="Y314" s="130">
        <f t="shared" si="143"/>
        <v>0</v>
      </c>
      <c r="Z314" s="130">
        <f t="shared" si="143"/>
        <v>0</v>
      </c>
      <c r="AA314" s="130">
        <f t="shared" si="143"/>
        <v>3989853</v>
      </c>
      <c r="AB314" s="130">
        <f t="shared" si="143"/>
        <v>41876799.640000001</v>
      </c>
      <c r="AC314" s="130">
        <f t="shared" si="143"/>
        <v>156192514.63999999</v>
      </c>
      <c r="AD314" s="130">
        <f t="shared" si="143"/>
        <v>0</v>
      </c>
      <c r="AE314" s="130">
        <f t="shared" si="143"/>
        <v>0</v>
      </c>
      <c r="AF314" s="130">
        <f t="shared" si="143"/>
        <v>0</v>
      </c>
      <c r="AG314" s="130">
        <f t="shared" si="143"/>
        <v>0</v>
      </c>
      <c r="AH314" s="130">
        <f t="shared" si="143"/>
        <v>0</v>
      </c>
      <c r="AI314" s="130">
        <f t="shared" si="143"/>
        <v>0</v>
      </c>
      <c r="AJ314" s="130">
        <f t="shared" si="143"/>
        <v>0</v>
      </c>
      <c r="AK314" s="130">
        <f t="shared" si="143"/>
        <v>0</v>
      </c>
      <c r="AL314" s="130">
        <f t="shared" si="143"/>
        <v>0</v>
      </c>
      <c r="AM314" s="130">
        <f t="shared" si="143"/>
        <v>0</v>
      </c>
      <c r="AN314" s="130">
        <f t="shared" si="143"/>
        <v>0</v>
      </c>
      <c r="AO314" s="130">
        <f t="shared" si="143"/>
        <v>0</v>
      </c>
      <c r="AP314" s="130">
        <f>SUM(AP315)</f>
        <v>41876799.640000001</v>
      </c>
      <c r="AQ314" s="130">
        <f>SUM(AQ315)</f>
        <v>160182367.63999999</v>
      </c>
      <c r="AR314" s="131"/>
      <c r="AS314" s="131"/>
      <c r="AT314" s="131"/>
      <c r="AU314" s="131"/>
      <c r="AV314" s="131"/>
      <c r="AW314" s="131"/>
      <c r="AX314" s="131"/>
      <c r="AY314" s="131"/>
      <c r="AZ314" s="131"/>
      <c r="BA314" s="131">
        <f>SUM(BA315)</f>
        <v>43133103.629199989</v>
      </c>
      <c r="BB314" s="131"/>
      <c r="BC314" s="131"/>
      <c r="BD314" s="131"/>
      <c r="BE314" s="131"/>
      <c r="BF314" s="131"/>
      <c r="BG314" s="131"/>
      <c r="BH314" s="131"/>
      <c r="BI314" s="131"/>
      <c r="BJ314" s="131"/>
      <c r="BK314" s="131">
        <f>SUM(BK315)</f>
        <v>44427096.738075987</v>
      </c>
      <c r="BL314" s="82"/>
      <c r="BM314" s="82"/>
      <c r="BN314" s="82"/>
      <c r="BO314" s="82"/>
      <c r="BP314" s="82"/>
      <c r="BQ314" s="82"/>
      <c r="BR314" s="82"/>
      <c r="BS314" s="82"/>
      <c r="BT314" s="82"/>
      <c r="BU314" s="131">
        <f>SUM(BU315)</f>
        <v>45759909.640218265</v>
      </c>
      <c r="BV314" s="132">
        <f t="shared" si="138"/>
        <v>133320110.00749424</v>
      </c>
    </row>
    <row r="315" spans="1:74" ht="120" customHeight="1" x14ac:dyDescent="0.2">
      <c r="A315" s="105">
        <v>204</v>
      </c>
      <c r="B315" s="84">
        <v>3</v>
      </c>
      <c r="C315" s="173"/>
      <c r="D315" s="173"/>
      <c r="E315" s="117">
        <v>36</v>
      </c>
      <c r="F315" s="112" t="s">
        <v>699</v>
      </c>
      <c r="G315" s="402">
        <v>0.4</v>
      </c>
      <c r="H315" s="402">
        <v>0.6</v>
      </c>
      <c r="I315" s="94">
        <v>205</v>
      </c>
      <c r="J315" s="90" t="s">
        <v>709</v>
      </c>
      <c r="K315" s="346" t="s">
        <v>710</v>
      </c>
      <c r="L315" s="91" t="s">
        <v>702</v>
      </c>
      <c r="M315" s="308">
        <v>4</v>
      </c>
      <c r="N315" s="147" t="s">
        <v>58</v>
      </c>
      <c r="O315" s="117">
        <v>4</v>
      </c>
      <c r="P315" s="117">
        <v>4</v>
      </c>
      <c r="Q315" s="248">
        <v>1</v>
      </c>
      <c r="R315" s="117">
        <v>1</v>
      </c>
      <c r="S315" s="117">
        <v>1</v>
      </c>
      <c r="T315" s="117">
        <v>1</v>
      </c>
      <c r="U315" s="340">
        <f>AP315/AP314</f>
        <v>1</v>
      </c>
      <c r="V315" s="95">
        <v>10</v>
      </c>
      <c r="W315" s="92" t="s">
        <v>376</v>
      </c>
      <c r="X315" s="141"/>
      <c r="Y315" s="142"/>
      <c r="Z315" s="141"/>
      <c r="AA315" s="142">
        <f>'[1]SGTO POAI '!BL568</f>
        <v>3989853</v>
      </c>
      <c r="AB315" s="141">
        <v>41876799.640000001</v>
      </c>
      <c r="AC315" s="101">
        <v>156192514.63999999</v>
      </c>
      <c r="AD315" s="141"/>
      <c r="AE315" s="142"/>
      <c r="AF315" s="141"/>
      <c r="AG315" s="142"/>
      <c r="AH315" s="141"/>
      <c r="AI315" s="142"/>
      <c r="AJ315" s="141"/>
      <c r="AK315" s="142"/>
      <c r="AL315" s="141"/>
      <c r="AM315" s="142"/>
      <c r="AN315" s="141"/>
      <c r="AO315" s="142"/>
      <c r="AP315" s="99">
        <f>+X315+Z315+AB315+AD315+AF315+AH315+AJ315+AL315+AN315</f>
        <v>41876799.640000001</v>
      </c>
      <c r="AQ315" s="100">
        <f>Y315+AA315+AC315+AE315+AG315+AI315+AK315+AM315+AO315</f>
        <v>160182367.63999999</v>
      </c>
      <c r="AR315" s="109"/>
      <c r="AS315" s="109"/>
      <c r="AT315" s="192">
        <v>43133103.629199989</v>
      </c>
      <c r="AU315" s="109"/>
      <c r="AV315" s="109"/>
      <c r="AW315" s="109"/>
      <c r="AX315" s="109"/>
      <c r="AY315" s="109"/>
      <c r="AZ315" s="109"/>
      <c r="BA315" s="109">
        <f>SUM(AR315:AZ315)</f>
        <v>43133103.629199989</v>
      </c>
      <c r="BB315" s="192"/>
      <c r="BC315" s="192"/>
      <c r="BD315" s="192">
        <v>44427096.738075987</v>
      </c>
      <c r="BE315" s="192"/>
      <c r="BF315" s="192"/>
      <c r="BG315" s="192"/>
      <c r="BH315" s="192"/>
      <c r="BI315" s="192"/>
      <c r="BJ315" s="192"/>
      <c r="BK315" s="192">
        <f>SUM(BB315:BJ315)</f>
        <v>44427096.738075987</v>
      </c>
      <c r="BL315" s="442"/>
      <c r="BM315" s="109"/>
      <c r="BN315" s="109">
        <v>45759909.640218265</v>
      </c>
      <c r="BO315" s="109"/>
      <c r="BP315" s="109"/>
      <c r="BQ315" s="109"/>
      <c r="BR315" s="109"/>
      <c r="BS315" s="109"/>
      <c r="BT315" s="109"/>
      <c r="BU315" s="109">
        <f>SUM(BL315:BT315)</f>
        <v>45759909.640218265</v>
      </c>
      <c r="BV315" s="103">
        <f t="shared" si="138"/>
        <v>266640220.01498848</v>
      </c>
    </row>
    <row r="316" spans="1:74" ht="20.25" customHeight="1" x14ac:dyDescent="0.2">
      <c r="A316" s="105"/>
      <c r="B316" s="84"/>
      <c r="C316" s="173"/>
      <c r="D316" s="173"/>
      <c r="E316" s="71">
        <v>71</v>
      </c>
      <c r="F316" s="72" t="s">
        <v>711</v>
      </c>
      <c r="G316" s="75"/>
      <c r="H316" s="75"/>
      <c r="I316" s="74"/>
      <c r="J316" s="75"/>
      <c r="K316" s="75"/>
      <c r="L316" s="74"/>
      <c r="M316" s="76"/>
      <c r="N316" s="77"/>
      <c r="O316" s="75"/>
      <c r="P316" s="75"/>
      <c r="Q316" s="78"/>
      <c r="R316" s="75"/>
      <c r="S316" s="75"/>
      <c r="T316" s="76"/>
      <c r="U316" s="174"/>
      <c r="V316" s="76"/>
      <c r="W316" s="76"/>
      <c r="X316" s="80">
        <f t="shared" ref="X316:AO316" si="144">SUM(X317:X319)</f>
        <v>0</v>
      </c>
      <c r="Y316" s="80">
        <f t="shared" si="144"/>
        <v>0</v>
      </c>
      <c r="Z316" s="80">
        <f t="shared" si="144"/>
        <v>0</v>
      </c>
      <c r="AA316" s="80">
        <f t="shared" si="144"/>
        <v>0</v>
      </c>
      <c r="AB316" s="80">
        <f t="shared" si="144"/>
        <v>30000000</v>
      </c>
      <c r="AC316" s="80">
        <f t="shared" si="144"/>
        <v>30000000</v>
      </c>
      <c r="AD316" s="80">
        <f t="shared" si="144"/>
        <v>0</v>
      </c>
      <c r="AE316" s="80">
        <f t="shared" si="144"/>
        <v>0</v>
      </c>
      <c r="AF316" s="80">
        <f t="shared" si="144"/>
        <v>0</v>
      </c>
      <c r="AG316" s="80">
        <f t="shared" si="144"/>
        <v>0</v>
      </c>
      <c r="AH316" s="80">
        <f t="shared" si="144"/>
        <v>0</v>
      </c>
      <c r="AI316" s="80">
        <f t="shared" si="144"/>
        <v>0</v>
      </c>
      <c r="AJ316" s="80">
        <f t="shared" si="144"/>
        <v>0</v>
      </c>
      <c r="AK316" s="80">
        <f t="shared" si="144"/>
        <v>0</v>
      </c>
      <c r="AL316" s="80">
        <f t="shared" si="144"/>
        <v>0</v>
      </c>
      <c r="AM316" s="80">
        <f t="shared" si="144"/>
        <v>0</v>
      </c>
      <c r="AN316" s="80">
        <f t="shared" si="144"/>
        <v>0</v>
      </c>
      <c r="AO316" s="80">
        <f t="shared" si="144"/>
        <v>0</v>
      </c>
      <c r="AP316" s="81">
        <f>SUM(AP317:AP319)</f>
        <v>30000000</v>
      </c>
      <c r="AQ316" s="80">
        <f>SUM(AQ317:AQ319)</f>
        <v>30000000</v>
      </c>
      <c r="AR316" s="82"/>
      <c r="AS316" s="82"/>
      <c r="AT316" s="82"/>
      <c r="AU316" s="82"/>
      <c r="AV316" s="82"/>
      <c r="AW316" s="82"/>
      <c r="AX316" s="82"/>
      <c r="AY316" s="82"/>
      <c r="AZ316" s="82"/>
      <c r="BA316" s="82">
        <f>SUM(BA317:BA319)</f>
        <v>30900000</v>
      </c>
      <c r="BB316" s="82"/>
      <c r="BC316" s="82"/>
      <c r="BD316" s="82"/>
      <c r="BE316" s="82"/>
      <c r="BF316" s="82"/>
      <c r="BG316" s="82"/>
      <c r="BH316" s="82"/>
      <c r="BI316" s="82"/>
      <c r="BJ316" s="82"/>
      <c r="BK316" s="82">
        <f>SUM(BK317:BK319)</f>
        <v>31827000</v>
      </c>
      <c r="BL316" s="82"/>
      <c r="BM316" s="82"/>
      <c r="BN316" s="82"/>
      <c r="BO316" s="82"/>
      <c r="BP316" s="82"/>
      <c r="BQ316" s="82"/>
      <c r="BR316" s="82"/>
      <c r="BS316" s="82"/>
      <c r="BT316" s="82"/>
      <c r="BU316" s="82">
        <f>SUM(BU317:BU319)</f>
        <v>32781810</v>
      </c>
      <c r="BV316" s="83">
        <f t="shared" si="138"/>
        <v>95508810</v>
      </c>
    </row>
    <row r="317" spans="1:74" ht="99.75" x14ac:dyDescent="0.2">
      <c r="A317" s="84">
        <v>205</v>
      </c>
      <c r="B317" s="84">
        <v>3</v>
      </c>
      <c r="C317" s="173"/>
      <c r="D317" s="173"/>
      <c r="E317" s="85">
        <v>36</v>
      </c>
      <c r="F317" s="112" t="s">
        <v>699</v>
      </c>
      <c r="G317" s="402">
        <v>0.4</v>
      </c>
      <c r="H317" s="402">
        <v>0.6</v>
      </c>
      <c r="I317" s="94">
        <v>206</v>
      </c>
      <c r="J317" s="90" t="s">
        <v>712</v>
      </c>
      <c r="K317" s="346" t="s">
        <v>713</v>
      </c>
      <c r="L317" s="91" t="s">
        <v>702</v>
      </c>
      <c r="M317" s="308">
        <v>4</v>
      </c>
      <c r="N317" s="147" t="s">
        <v>44</v>
      </c>
      <c r="O317" s="117">
        <v>12</v>
      </c>
      <c r="P317" s="117">
        <v>12</v>
      </c>
      <c r="Q317" s="248">
        <v>12</v>
      </c>
      <c r="R317" s="117">
        <v>12</v>
      </c>
      <c r="S317" s="117">
        <v>12</v>
      </c>
      <c r="T317" s="117">
        <v>12</v>
      </c>
      <c r="U317" s="273">
        <f>AP317/$AP$316</f>
        <v>0.28999999999999998</v>
      </c>
      <c r="V317" s="95">
        <v>10</v>
      </c>
      <c r="W317" s="92" t="s">
        <v>376</v>
      </c>
      <c r="X317" s="231"/>
      <c r="Y317" s="136"/>
      <c r="Z317" s="231"/>
      <c r="AA317" s="136"/>
      <c r="AB317" s="141">
        <v>8700000</v>
      </c>
      <c r="AC317" s="136">
        <v>8700000</v>
      </c>
      <c r="AD317" s="141"/>
      <c r="AE317" s="142"/>
      <c r="AF317" s="231"/>
      <c r="AG317" s="136"/>
      <c r="AH317" s="231"/>
      <c r="AI317" s="136"/>
      <c r="AJ317" s="231"/>
      <c r="AK317" s="136"/>
      <c r="AL317" s="231"/>
      <c r="AM317" s="136"/>
      <c r="AN317" s="231"/>
      <c r="AO317" s="136"/>
      <c r="AP317" s="99">
        <f>+X317+Z317+AB317+AD317+AF317+AH317+AJ317+AL317+AN317</f>
        <v>8700000</v>
      </c>
      <c r="AQ317" s="100">
        <f>Y317+AA317+AC317+AE317+AG317+AI317+AK317+AM317+AO317</f>
        <v>8700000</v>
      </c>
      <c r="AR317" s="109"/>
      <c r="AS317" s="109"/>
      <c r="AT317" s="192">
        <v>5665000</v>
      </c>
      <c r="AU317" s="109"/>
      <c r="AV317" s="109"/>
      <c r="AW317" s="109"/>
      <c r="AX317" s="109"/>
      <c r="AY317" s="109"/>
      <c r="AZ317" s="109"/>
      <c r="BA317" s="109">
        <f>SUM(AR317:AZ317)</f>
        <v>5665000</v>
      </c>
      <c r="BB317" s="192"/>
      <c r="BC317" s="192"/>
      <c r="BD317" s="192">
        <v>9200000</v>
      </c>
      <c r="BE317" s="192"/>
      <c r="BF317" s="192"/>
      <c r="BG317" s="192"/>
      <c r="BH317" s="192"/>
      <c r="BI317" s="192"/>
      <c r="BJ317" s="192"/>
      <c r="BK317" s="192">
        <f>SUM(BB317:BJ317)</f>
        <v>9200000</v>
      </c>
      <c r="BL317" s="109"/>
      <c r="BM317" s="109"/>
      <c r="BN317" s="109">
        <v>6000000</v>
      </c>
      <c r="BO317" s="109"/>
      <c r="BP317" s="109"/>
      <c r="BQ317" s="109"/>
      <c r="BR317" s="109"/>
      <c r="BS317" s="109"/>
      <c r="BT317" s="109"/>
      <c r="BU317" s="109">
        <f>SUM(BL317:BT317)</f>
        <v>6000000</v>
      </c>
      <c r="BV317" s="103">
        <f t="shared" si="138"/>
        <v>41730000</v>
      </c>
    </row>
    <row r="318" spans="1:74" ht="66" customHeight="1" x14ac:dyDescent="0.2">
      <c r="A318" s="105">
        <v>206</v>
      </c>
      <c r="B318" s="84">
        <v>3</v>
      </c>
      <c r="C318" s="173"/>
      <c r="D318" s="173"/>
      <c r="E318" s="111"/>
      <c r="F318" s="154"/>
      <c r="G318" s="443"/>
      <c r="H318" s="443"/>
      <c r="I318" s="94">
        <v>207</v>
      </c>
      <c r="J318" s="90" t="s">
        <v>714</v>
      </c>
      <c r="K318" s="346" t="s">
        <v>715</v>
      </c>
      <c r="L318" s="91" t="s">
        <v>702</v>
      </c>
      <c r="M318" s="308">
        <v>4</v>
      </c>
      <c r="N318" s="147" t="s">
        <v>58</v>
      </c>
      <c r="O318" s="117">
        <v>4</v>
      </c>
      <c r="P318" s="117">
        <v>4</v>
      </c>
      <c r="Q318" s="248">
        <v>1</v>
      </c>
      <c r="R318" s="117">
        <v>1</v>
      </c>
      <c r="S318" s="117">
        <v>1</v>
      </c>
      <c r="T318" s="117">
        <v>1</v>
      </c>
      <c r="U318" s="273">
        <f>AP318/$AP$316</f>
        <v>0.54333333333333333</v>
      </c>
      <c r="V318" s="95">
        <v>3</v>
      </c>
      <c r="W318" s="92" t="s">
        <v>442</v>
      </c>
      <c r="X318" s="231"/>
      <c r="Y318" s="136"/>
      <c r="Z318" s="231"/>
      <c r="AA318" s="136"/>
      <c r="AB318" s="141">
        <v>16300000</v>
      </c>
      <c r="AC318" s="101">
        <v>16300000</v>
      </c>
      <c r="AD318" s="141"/>
      <c r="AE318" s="142"/>
      <c r="AF318" s="231"/>
      <c r="AG318" s="136"/>
      <c r="AH318" s="231"/>
      <c r="AI318" s="136"/>
      <c r="AJ318" s="231"/>
      <c r="AK318" s="136"/>
      <c r="AL318" s="231"/>
      <c r="AM318" s="136"/>
      <c r="AN318" s="231"/>
      <c r="AO318" s="136"/>
      <c r="AP318" s="99">
        <f>+X318+Z318+AB318+AD318+AF318+AH318+AJ318+AL318+AN318</f>
        <v>16300000</v>
      </c>
      <c r="AQ318" s="100">
        <f>Y318+AA318+AC318+AE318+AG318+AI318+AK318+AM318+AO318</f>
        <v>16300000</v>
      </c>
      <c r="AR318" s="109"/>
      <c r="AS318" s="109"/>
      <c r="AT318" s="192">
        <v>20085000</v>
      </c>
      <c r="AU318" s="109"/>
      <c r="AV318" s="109"/>
      <c r="AW318" s="109"/>
      <c r="AX318" s="109"/>
      <c r="AY318" s="109"/>
      <c r="AZ318" s="109"/>
      <c r="BA318" s="109">
        <f>SUM(AR318:AZ318)</f>
        <v>20085000</v>
      </c>
      <c r="BB318" s="192"/>
      <c r="BC318" s="192"/>
      <c r="BD318" s="192">
        <v>17250000</v>
      </c>
      <c r="BE318" s="192"/>
      <c r="BF318" s="192"/>
      <c r="BG318" s="192"/>
      <c r="BH318" s="192"/>
      <c r="BI318" s="192"/>
      <c r="BJ318" s="192"/>
      <c r="BK318" s="192">
        <f>SUM(BB318:BJ318)</f>
        <v>17250000</v>
      </c>
      <c r="BL318" s="109"/>
      <c r="BM318" s="109"/>
      <c r="BN318" s="109">
        <v>21300000</v>
      </c>
      <c r="BO318" s="109"/>
      <c r="BP318" s="109"/>
      <c r="BQ318" s="109"/>
      <c r="BR318" s="109"/>
      <c r="BS318" s="109"/>
      <c r="BT318" s="109"/>
      <c r="BU318" s="109">
        <f>SUM(BL318:BT318)</f>
        <v>21300000</v>
      </c>
      <c r="BV318" s="103">
        <f t="shared" si="138"/>
        <v>117270000</v>
      </c>
    </row>
    <row r="319" spans="1:74" ht="93.75" customHeight="1" x14ac:dyDescent="0.2">
      <c r="A319" s="84">
        <v>207</v>
      </c>
      <c r="B319" s="84">
        <v>3</v>
      </c>
      <c r="C319" s="173"/>
      <c r="D319" s="237"/>
      <c r="E319" s="110"/>
      <c r="F319" s="114"/>
      <c r="G319" s="403"/>
      <c r="H319" s="403"/>
      <c r="I319" s="94">
        <v>208</v>
      </c>
      <c r="J319" s="90" t="s">
        <v>716</v>
      </c>
      <c r="K319" s="346" t="s">
        <v>717</v>
      </c>
      <c r="L319" s="91" t="s">
        <v>702</v>
      </c>
      <c r="M319" s="308">
        <v>4</v>
      </c>
      <c r="N319" s="147" t="s">
        <v>44</v>
      </c>
      <c r="O319" s="117">
        <v>1</v>
      </c>
      <c r="P319" s="117">
        <v>1</v>
      </c>
      <c r="Q319" s="248">
        <v>1</v>
      </c>
      <c r="R319" s="117">
        <v>1</v>
      </c>
      <c r="S319" s="117">
        <v>1</v>
      </c>
      <c r="T319" s="117">
        <v>1</v>
      </c>
      <c r="U319" s="273">
        <f>AP319/$AP$316</f>
        <v>0.16666666666666666</v>
      </c>
      <c r="V319" s="95">
        <v>10</v>
      </c>
      <c r="W319" s="92" t="s">
        <v>376</v>
      </c>
      <c r="X319" s="231"/>
      <c r="Y319" s="136"/>
      <c r="Z319" s="231"/>
      <c r="AA319" s="136"/>
      <c r="AB319" s="141">
        <v>5000000</v>
      </c>
      <c r="AC319" s="101">
        <v>5000000</v>
      </c>
      <c r="AD319" s="141"/>
      <c r="AE319" s="142"/>
      <c r="AF319" s="231"/>
      <c r="AG319" s="136"/>
      <c r="AH319" s="231"/>
      <c r="AI319" s="136"/>
      <c r="AJ319" s="231"/>
      <c r="AK319" s="136"/>
      <c r="AL319" s="231"/>
      <c r="AM319" s="136"/>
      <c r="AN319" s="231"/>
      <c r="AO319" s="136"/>
      <c r="AP319" s="99">
        <f>+X319+Z319+AB319+AD319+AF319+AH319+AJ319+AL319+AN319</f>
        <v>5000000</v>
      </c>
      <c r="AQ319" s="100">
        <f>Y319+AA319+AC319+AE319+AG319+AI319+AK319+AM319+AO319</f>
        <v>5000000</v>
      </c>
      <c r="AR319" s="109"/>
      <c r="AS319" s="109"/>
      <c r="AT319" s="192">
        <v>5150000</v>
      </c>
      <c r="AU319" s="109"/>
      <c r="AV319" s="109"/>
      <c r="AW319" s="109"/>
      <c r="AX319" s="109"/>
      <c r="AY319" s="109"/>
      <c r="AZ319" s="109"/>
      <c r="BA319" s="109">
        <f>SUM(AR319:AZ319)</f>
        <v>5150000</v>
      </c>
      <c r="BB319" s="192"/>
      <c r="BC319" s="192"/>
      <c r="BD319" s="192">
        <v>5377000</v>
      </c>
      <c r="BE319" s="192"/>
      <c r="BF319" s="192"/>
      <c r="BG319" s="192"/>
      <c r="BH319" s="192"/>
      <c r="BI319" s="192"/>
      <c r="BJ319" s="192"/>
      <c r="BK319" s="192">
        <f>SUM(BB319:BJ319)</f>
        <v>5377000</v>
      </c>
      <c r="BL319" s="109"/>
      <c r="BM319" s="109"/>
      <c r="BN319" s="109">
        <v>5481810</v>
      </c>
      <c r="BO319" s="109"/>
      <c r="BP319" s="109"/>
      <c r="BQ319" s="109"/>
      <c r="BR319" s="109"/>
      <c r="BS319" s="109"/>
      <c r="BT319" s="109"/>
      <c r="BU319" s="109">
        <f>SUM(BL319:BT319)</f>
        <v>5481810</v>
      </c>
      <c r="BV319" s="103">
        <f t="shared" si="138"/>
        <v>32017620</v>
      </c>
    </row>
    <row r="320" spans="1:74" ht="20.25" customHeight="1" x14ac:dyDescent="0.2">
      <c r="A320" s="84"/>
      <c r="B320" s="84"/>
      <c r="C320" s="173"/>
      <c r="D320" s="56">
        <v>21</v>
      </c>
      <c r="E320" s="170" t="s">
        <v>718</v>
      </c>
      <c r="F320" s="58"/>
      <c r="G320" s="59"/>
      <c r="H320" s="58"/>
      <c r="I320" s="60"/>
      <c r="J320" s="61"/>
      <c r="K320" s="61"/>
      <c r="L320" s="62"/>
      <c r="M320" s="60"/>
      <c r="N320" s="63"/>
      <c r="O320" s="61"/>
      <c r="P320" s="61"/>
      <c r="Q320" s="64"/>
      <c r="R320" s="61"/>
      <c r="S320" s="61"/>
      <c r="T320" s="60"/>
      <c r="U320" s="171"/>
      <c r="V320" s="60"/>
      <c r="W320" s="60"/>
      <c r="X320" s="66">
        <f t="shared" ref="X320:AO320" si="145">X321+X325</f>
        <v>0</v>
      </c>
      <c r="Y320" s="66">
        <f t="shared" si="145"/>
        <v>0</v>
      </c>
      <c r="Z320" s="66">
        <f t="shared" si="145"/>
        <v>0</v>
      </c>
      <c r="AA320" s="66">
        <f t="shared" si="145"/>
        <v>71923416</v>
      </c>
      <c r="AB320" s="66">
        <f t="shared" si="145"/>
        <v>130000000</v>
      </c>
      <c r="AC320" s="66">
        <f t="shared" si="145"/>
        <v>107863581</v>
      </c>
      <c r="AD320" s="66">
        <f t="shared" si="145"/>
        <v>0</v>
      </c>
      <c r="AE320" s="66">
        <f t="shared" si="145"/>
        <v>0</v>
      </c>
      <c r="AF320" s="66">
        <f t="shared" si="145"/>
        <v>0</v>
      </c>
      <c r="AG320" s="66">
        <f t="shared" si="145"/>
        <v>0</v>
      </c>
      <c r="AH320" s="66">
        <f t="shared" si="145"/>
        <v>0</v>
      </c>
      <c r="AI320" s="66">
        <f t="shared" si="145"/>
        <v>0</v>
      </c>
      <c r="AJ320" s="66">
        <f t="shared" si="145"/>
        <v>0</v>
      </c>
      <c r="AK320" s="66">
        <f t="shared" si="145"/>
        <v>0</v>
      </c>
      <c r="AL320" s="66">
        <f t="shared" si="145"/>
        <v>0</v>
      </c>
      <c r="AM320" s="66">
        <f t="shared" si="145"/>
        <v>0</v>
      </c>
      <c r="AN320" s="66">
        <f t="shared" si="145"/>
        <v>0</v>
      </c>
      <c r="AO320" s="66">
        <f t="shared" si="145"/>
        <v>0</v>
      </c>
      <c r="AP320" s="67">
        <f>AP321+AP325</f>
        <v>130000000</v>
      </c>
      <c r="AQ320" s="66">
        <f>AQ321+AQ325</f>
        <v>179786997</v>
      </c>
      <c r="AR320" s="68"/>
      <c r="AS320" s="68"/>
      <c r="AT320" s="68"/>
      <c r="AU320" s="68"/>
      <c r="AV320" s="68"/>
      <c r="AW320" s="68"/>
      <c r="AX320" s="68"/>
      <c r="AY320" s="68"/>
      <c r="AZ320" s="68"/>
      <c r="BA320" s="68">
        <f>BA321+BA325</f>
        <v>207981118.48000002</v>
      </c>
      <c r="BB320" s="68"/>
      <c r="BC320" s="68"/>
      <c r="BD320" s="68"/>
      <c r="BE320" s="68"/>
      <c r="BF320" s="68"/>
      <c r="BG320" s="68"/>
      <c r="BH320" s="68"/>
      <c r="BI320" s="68"/>
      <c r="BJ320" s="68"/>
      <c r="BK320" s="68">
        <f>BK321+BK325</f>
        <v>214220552.03439999</v>
      </c>
      <c r="BL320" s="68"/>
      <c r="BM320" s="68"/>
      <c r="BN320" s="68"/>
      <c r="BO320" s="68"/>
      <c r="BP320" s="68"/>
      <c r="BQ320" s="68"/>
      <c r="BR320" s="68"/>
      <c r="BS320" s="68"/>
      <c r="BT320" s="68"/>
      <c r="BU320" s="68">
        <f>BU321+BU325</f>
        <v>220647168.59543198</v>
      </c>
      <c r="BV320" s="172">
        <f t="shared" si="138"/>
        <v>642848839.10983205</v>
      </c>
    </row>
    <row r="321" spans="1:74" ht="20.25" customHeight="1" x14ac:dyDescent="0.2">
      <c r="A321" s="84"/>
      <c r="B321" s="84"/>
      <c r="C321" s="173"/>
      <c r="D321" s="169"/>
      <c r="E321" s="71">
        <v>72</v>
      </c>
      <c r="F321" s="72" t="s">
        <v>719</v>
      </c>
      <c r="G321" s="75"/>
      <c r="H321" s="75"/>
      <c r="I321" s="74"/>
      <c r="J321" s="75"/>
      <c r="K321" s="75"/>
      <c r="L321" s="74"/>
      <c r="M321" s="76"/>
      <c r="N321" s="77"/>
      <c r="O321" s="75"/>
      <c r="P321" s="75"/>
      <c r="Q321" s="78"/>
      <c r="R321" s="75"/>
      <c r="S321" s="75"/>
      <c r="T321" s="76"/>
      <c r="U321" s="174"/>
      <c r="V321" s="76"/>
      <c r="W321" s="76"/>
      <c r="X321" s="80">
        <f t="shared" ref="X321:AO321" si="146">SUM(X322:X324)</f>
        <v>0</v>
      </c>
      <c r="Y321" s="80">
        <f t="shared" si="146"/>
        <v>0</v>
      </c>
      <c r="Z321" s="80">
        <f t="shared" si="146"/>
        <v>0</v>
      </c>
      <c r="AA321" s="80">
        <f t="shared" si="146"/>
        <v>0</v>
      </c>
      <c r="AB321" s="80">
        <f t="shared" si="146"/>
        <v>130000000</v>
      </c>
      <c r="AC321" s="80">
        <f t="shared" si="146"/>
        <v>103663581</v>
      </c>
      <c r="AD321" s="80">
        <f t="shared" si="146"/>
        <v>0</v>
      </c>
      <c r="AE321" s="80">
        <f t="shared" si="146"/>
        <v>0</v>
      </c>
      <c r="AF321" s="80">
        <f t="shared" si="146"/>
        <v>0</v>
      </c>
      <c r="AG321" s="80">
        <f t="shared" si="146"/>
        <v>0</v>
      </c>
      <c r="AH321" s="80">
        <f t="shared" si="146"/>
        <v>0</v>
      </c>
      <c r="AI321" s="80">
        <f t="shared" si="146"/>
        <v>0</v>
      </c>
      <c r="AJ321" s="80">
        <f t="shared" si="146"/>
        <v>0</v>
      </c>
      <c r="AK321" s="80">
        <f t="shared" si="146"/>
        <v>0</v>
      </c>
      <c r="AL321" s="80">
        <f t="shared" si="146"/>
        <v>0</v>
      </c>
      <c r="AM321" s="80">
        <f t="shared" si="146"/>
        <v>0</v>
      </c>
      <c r="AN321" s="80">
        <f t="shared" si="146"/>
        <v>0</v>
      </c>
      <c r="AO321" s="80">
        <f t="shared" si="146"/>
        <v>0</v>
      </c>
      <c r="AP321" s="81">
        <f>SUM(AP322:AP324)</f>
        <v>130000000</v>
      </c>
      <c r="AQ321" s="80">
        <f>SUM(AQ322:AQ324)</f>
        <v>103663581</v>
      </c>
      <c r="AR321" s="82"/>
      <c r="AS321" s="82"/>
      <c r="AT321" s="82"/>
      <c r="AU321" s="82"/>
      <c r="AV321" s="82"/>
      <c r="AW321" s="82"/>
      <c r="AX321" s="82"/>
      <c r="AY321" s="82"/>
      <c r="AZ321" s="82"/>
      <c r="BA321" s="82">
        <f>SUM(BA322:BA324)</f>
        <v>133900000</v>
      </c>
      <c r="BB321" s="82"/>
      <c r="BC321" s="82"/>
      <c r="BD321" s="82"/>
      <c r="BE321" s="82"/>
      <c r="BF321" s="82"/>
      <c r="BG321" s="82"/>
      <c r="BH321" s="82"/>
      <c r="BI321" s="82"/>
      <c r="BJ321" s="82"/>
      <c r="BK321" s="82">
        <f>SUM(BK322:BK324)</f>
        <v>137917000</v>
      </c>
      <c r="BL321" s="82"/>
      <c r="BM321" s="82"/>
      <c r="BN321" s="82"/>
      <c r="BO321" s="82"/>
      <c r="BP321" s="82"/>
      <c r="BQ321" s="82"/>
      <c r="BR321" s="82"/>
      <c r="BS321" s="82"/>
      <c r="BT321" s="82"/>
      <c r="BU321" s="82">
        <f>SUM(BU322:BU324)</f>
        <v>142054510</v>
      </c>
      <c r="BV321" s="83">
        <f t="shared" si="138"/>
        <v>413871510</v>
      </c>
    </row>
    <row r="322" spans="1:74" ht="57" x14ac:dyDescent="0.2">
      <c r="A322" s="105">
        <v>208</v>
      </c>
      <c r="B322" s="84">
        <v>3</v>
      </c>
      <c r="C322" s="173"/>
      <c r="D322" s="173"/>
      <c r="E322" s="85">
        <v>36</v>
      </c>
      <c r="F322" s="112" t="s">
        <v>699</v>
      </c>
      <c r="G322" s="402">
        <v>0.4</v>
      </c>
      <c r="H322" s="402">
        <v>0.6</v>
      </c>
      <c r="I322" s="94">
        <v>209</v>
      </c>
      <c r="J322" s="90" t="s">
        <v>720</v>
      </c>
      <c r="K322" s="346" t="s">
        <v>721</v>
      </c>
      <c r="L322" s="91" t="s">
        <v>702</v>
      </c>
      <c r="M322" s="308">
        <v>4</v>
      </c>
      <c r="N322" s="147" t="s">
        <v>44</v>
      </c>
      <c r="O322" s="117">
        <v>1</v>
      </c>
      <c r="P322" s="117">
        <v>1</v>
      </c>
      <c r="Q322" s="248">
        <v>1</v>
      </c>
      <c r="R322" s="117">
        <v>1</v>
      </c>
      <c r="S322" s="117">
        <v>1</v>
      </c>
      <c r="T322" s="117">
        <v>1</v>
      </c>
      <c r="U322" s="340">
        <f>AP322/$AP$321</f>
        <v>0.14246153846153847</v>
      </c>
      <c r="V322" s="95">
        <v>3</v>
      </c>
      <c r="W322" s="92" t="s">
        <v>442</v>
      </c>
      <c r="X322" s="141"/>
      <c r="Y322" s="142"/>
      <c r="Z322" s="141"/>
      <c r="AA322" s="142"/>
      <c r="AB322" s="141">
        <v>18520000</v>
      </c>
      <c r="AC322" s="142">
        <v>18520000</v>
      </c>
      <c r="AD322" s="141"/>
      <c r="AE322" s="142"/>
      <c r="AF322" s="141"/>
      <c r="AG322" s="142"/>
      <c r="AH322" s="141"/>
      <c r="AI322" s="142"/>
      <c r="AJ322" s="141"/>
      <c r="AK322" s="142"/>
      <c r="AL322" s="141"/>
      <c r="AM322" s="142"/>
      <c r="AN322" s="141"/>
      <c r="AO322" s="142"/>
      <c r="AP322" s="99">
        <f>+X322+Z322+AB322+AD322+AF322+AH322+AJ322+AL322+AN322</f>
        <v>18520000</v>
      </c>
      <c r="AQ322" s="100">
        <f>Y322+AA322+AC322+AE322+AG322+AI322+AK322+AM322+AO322</f>
        <v>18520000</v>
      </c>
      <c r="AR322" s="109"/>
      <c r="AS322" s="109"/>
      <c r="AT322" s="109">
        <v>19075600</v>
      </c>
      <c r="AU322" s="109"/>
      <c r="AV322" s="109"/>
      <c r="AW322" s="109"/>
      <c r="AX322" s="109"/>
      <c r="AY322" s="109"/>
      <c r="AZ322" s="109"/>
      <c r="BA322" s="109">
        <f>SUM(AR322:AY322)+AZ322</f>
        <v>19075600</v>
      </c>
      <c r="BB322" s="192"/>
      <c r="BC322" s="192"/>
      <c r="BD322" s="192">
        <v>19600000</v>
      </c>
      <c r="BE322" s="192"/>
      <c r="BF322" s="192"/>
      <c r="BG322" s="192"/>
      <c r="BH322" s="192"/>
      <c r="BI322" s="192"/>
      <c r="BJ322" s="192"/>
      <c r="BK322" s="192">
        <f>SUM(BB322:BJ322)</f>
        <v>19600000</v>
      </c>
      <c r="BL322" s="109"/>
      <c r="BM322" s="109"/>
      <c r="BN322" s="109">
        <v>20200000</v>
      </c>
      <c r="BO322" s="109"/>
      <c r="BP322" s="109"/>
      <c r="BQ322" s="109"/>
      <c r="BR322" s="109"/>
      <c r="BS322" s="109"/>
      <c r="BT322" s="109"/>
      <c r="BU322" s="109">
        <f>SUM(BL322:BT322)</f>
        <v>20200000</v>
      </c>
      <c r="BV322" s="103">
        <f t="shared" si="138"/>
        <v>117751200</v>
      </c>
    </row>
    <row r="323" spans="1:74" ht="74.25" customHeight="1" x14ac:dyDescent="0.2">
      <c r="A323" s="84">
        <v>209</v>
      </c>
      <c r="B323" s="84">
        <v>3</v>
      </c>
      <c r="C323" s="173"/>
      <c r="D323" s="173"/>
      <c r="E323" s="111"/>
      <c r="F323" s="154"/>
      <c r="G323" s="443"/>
      <c r="H323" s="443"/>
      <c r="I323" s="94">
        <v>210</v>
      </c>
      <c r="J323" s="90" t="s">
        <v>722</v>
      </c>
      <c r="K323" s="86" t="s">
        <v>723</v>
      </c>
      <c r="L323" s="91" t="s">
        <v>702</v>
      </c>
      <c r="M323" s="308">
        <v>4</v>
      </c>
      <c r="N323" s="92" t="s">
        <v>44</v>
      </c>
      <c r="O323" s="95">
        <v>1</v>
      </c>
      <c r="P323" s="95">
        <v>1</v>
      </c>
      <c r="Q323" s="94">
        <v>1</v>
      </c>
      <c r="R323" s="95">
        <v>1</v>
      </c>
      <c r="S323" s="95">
        <v>1</v>
      </c>
      <c r="T323" s="95">
        <v>1</v>
      </c>
      <c r="U323" s="340">
        <f>AP323/$AP$321</f>
        <v>9.0246230769230763E-3</v>
      </c>
      <c r="V323" s="95">
        <v>3</v>
      </c>
      <c r="W323" s="92" t="s">
        <v>442</v>
      </c>
      <c r="X323" s="141"/>
      <c r="Y323" s="142"/>
      <c r="Z323" s="141"/>
      <c r="AA323" s="142"/>
      <c r="AB323" s="142">
        <v>1173201</v>
      </c>
      <c r="AC323" s="142">
        <v>1173201</v>
      </c>
      <c r="AD323" s="141"/>
      <c r="AE323" s="142"/>
      <c r="AF323" s="141"/>
      <c r="AG323" s="142"/>
      <c r="AH323" s="141"/>
      <c r="AI323" s="142"/>
      <c r="AJ323" s="141"/>
      <c r="AK323" s="142"/>
      <c r="AL323" s="141"/>
      <c r="AM323" s="142"/>
      <c r="AN323" s="141"/>
      <c r="AO323" s="142"/>
      <c r="AP323" s="99">
        <f>+X323+Z323+AB323+AD323+AF323+AH323+AJ323+AL323+AN323</f>
        <v>1173201</v>
      </c>
      <c r="AQ323" s="100">
        <f>Y323+AA323+AC323+AE323+AG323+AI323+AK323+AM323+AO323</f>
        <v>1173201</v>
      </c>
      <c r="AR323" s="109"/>
      <c r="AS323" s="109"/>
      <c r="AT323" s="109">
        <v>3244500</v>
      </c>
      <c r="AU323" s="109"/>
      <c r="AV323" s="109"/>
      <c r="AW323" s="109"/>
      <c r="AX323" s="109"/>
      <c r="AY323" s="109"/>
      <c r="AZ323" s="109"/>
      <c r="BA323" s="109">
        <f>SUM(AR323:AY323)+AZ323</f>
        <v>3244500</v>
      </c>
      <c r="BB323" s="192"/>
      <c r="BC323" s="192"/>
      <c r="BD323" s="192">
        <v>3340000</v>
      </c>
      <c r="BE323" s="192"/>
      <c r="BF323" s="192"/>
      <c r="BG323" s="192"/>
      <c r="BH323" s="192"/>
      <c r="BI323" s="192"/>
      <c r="BJ323" s="192"/>
      <c r="BK323" s="192">
        <f>SUM(BB323:BJ323)</f>
        <v>3340000</v>
      </c>
      <c r="BL323" s="109"/>
      <c r="BM323" s="109"/>
      <c r="BN323" s="109">
        <v>3400000</v>
      </c>
      <c r="BO323" s="109"/>
      <c r="BP323" s="109"/>
      <c r="BQ323" s="109"/>
      <c r="BR323" s="109"/>
      <c r="BS323" s="109"/>
      <c r="BT323" s="109"/>
      <c r="BU323" s="109">
        <f>SUM(BL323:BT323)</f>
        <v>3400000</v>
      </c>
      <c r="BV323" s="103">
        <f t="shared" si="138"/>
        <v>19969000</v>
      </c>
    </row>
    <row r="324" spans="1:74" ht="85.5" x14ac:dyDescent="0.2">
      <c r="A324" s="105">
        <v>210</v>
      </c>
      <c r="B324" s="84">
        <v>3</v>
      </c>
      <c r="C324" s="173"/>
      <c r="D324" s="173"/>
      <c r="E324" s="110"/>
      <c r="F324" s="114"/>
      <c r="G324" s="403"/>
      <c r="H324" s="403"/>
      <c r="I324" s="94">
        <v>211</v>
      </c>
      <c r="J324" s="90" t="s">
        <v>724</v>
      </c>
      <c r="K324" s="86" t="s">
        <v>725</v>
      </c>
      <c r="L324" s="91" t="s">
        <v>702</v>
      </c>
      <c r="M324" s="308">
        <v>4</v>
      </c>
      <c r="N324" s="147" t="s">
        <v>44</v>
      </c>
      <c r="O324" s="117">
        <v>1</v>
      </c>
      <c r="P324" s="117">
        <v>1</v>
      </c>
      <c r="Q324" s="248">
        <v>1</v>
      </c>
      <c r="R324" s="117">
        <v>1</v>
      </c>
      <c r="S324" s="117">
        <v>1</v>
      </c>
      <c r="T324" s="117">
        <v>1</v>
      </c>
      <c r="U324" s="340">
        <f>AP324/$AP$321</f>
        <v>0.84851383846153849</v>
      </c>
      <c r="V324" s="95">
        <v>3</v>
      </c>
      <c r="W324" s="92" t="s">
        <v>442</v>
      </c>
      <c r="X324" s="141"/>
      <c r="Y324" s="142"/>
      <c r="Z324" s="141"/>
      <c r="AA324" s="142"/>
      <c r="AB324" s="444">
        <v>110306799</v>
      </c>
      <c r="AC324" s="142">
        <v>83970380</v>
      </c>
      <c r="AD324" s="141"/>
      <c r="AE324" s="142"/>
      <c r="AF324" s="141"/>
      <c r="AG324" s="142"/>
      <c r="AH324" s="141"/>
      <c r="AI324" s="142"/>
      <c r="AJ324" s="141"/>
      <c r="AK324" s="142"/>
      <c r="AL324" s="141"/>
      <c r="AM324" s="142"/>
      <c r="AN324" s="141"/>
      <c r="AO324" s="142"/>
      <c r="AP324" s="99">
        <f>+X324+Z324+AB324+AD324+AF324+AH324+AJ324+AL324+AN324</f>
        <v>110306799</v>
      </c>
      <c r="AQ324" s="100">
        <f>Y324+AA324+AC324+AE324+AG324+AI324+AK324+AM324+AO324</f>
        <v>83970380</v>
      </c>
      <c r="AR324" s="109"/>
      <c r="AS324" s="109"/>
      <c r="AT324" s="109">
        <v>111579900</v>
      </c>
      <c r="AU324" s="109"/>
      <c r="AV324" s="109"/>
      <c r="AW324" s="109"/>
      <c r="AX324" s="109"/>
      <c r="AY324" s="109"/>
      <c r="AZ324" s="109"/>
      <c r="BA324" s="109">
        <f>SUM(AR324:AY324)+AZ324</f>
        <v>111579900</v>
      </c>
      <c r="BB324" s="192"/>
      <c r="BC324" s="192"/>
      <c r="BD324" s="192">
        <v>114977000</v>
      </c>
      <c r="BE324" s="192"/>
      <c r="BF324" s="192"/>
      <c r="BG324" s="192"/>
      <c r="BH324" s="192"/>
      <c r="BI324" s="192"/>
      <c r="BJ324" s="192"/>
      <c r="BK324" s="192">
        <f>SUM(BB324:BJ324)</f>
        <v>114977000</v>
      </c>
      <c r="BL324" s="109"/>
      <c r="BM324" s="109"/>
      <c r="BN324" s="109">
        <v>118454510</v>
      </c>
      <c r="BO324" s="109"/>
      <c r="BP324" s="109"/>
      <c r="BQ324" s="109"/>
      <c r="BR324" s="109"/>
      <c r="BS324" s="109"/>
      <c r="BT324" s="109"/>
      <c r="BU324" s="109">
        <f>SUM(BL324:BT324)</f>
        <v>118454510</v>
      </c>
      <c r="BV324" s="103">
        <f t="shared" si="138"/>
        <v>690022820</v>
      </c>
    </row>
    <row r="325" spans="1:74" ht="20.25" customHeight="1" x14ac:dyDescent="0.2">
      <c r="A325" s="105"/>
      <c r="B325" s="84"/>
      <c r="C325" s="173"/>
      <c r="D325" s="173"/>
      <c r="E325" s="71">
        <v>73</v>
      </c>
      <c r="F325" s="72" t="s">
        <v>726</v>
      </c>
      <c r="G325" s="75"/>
      <c r="H325" s="75"/>
      <c r="I325" s="74"/>
      <c r="J325" s="75"/>
      <c r="K325" s="75"/>
      <c r="L325" s="74"/>
      <c r="M325" s="76"/>
      <c r="N325" s="77"/>
      <c r="O325" s="75"/>
      <c r="P325" s="75"/>
      <c r="Q325" s="78"/>
      <c r="R325" s="75"/>
      <c r="S325" s="75"/>
      <c r="T325" s="76"/>
      <c r="U325" s="174"/>
      <c r="V325" s="76"/>
      <c r="W325" s="76"/>
      <c r="X325" s="80">
        <f t="shared" ref="X325:AO325" si="147">SUM(X326)</f>
        <v>0</v>
      </c>
      <c r="Y325" s="80">
        <f t="shared" si="147"/>
        <v>0</v>
      </c>
      <c r="Z325" s="80">
        <f t="shared" si="147"/>
        <v>0</v>
      </c>
      <c r="AA325" s="80">
        <f t="shared" si="147"/>
        <v>71923416</v>
      </c>
      <c r="AB325" s="80">
        <f t="shared" si="147"/>
        <v>0</v>
      </c>
      <c r="AC325" s="80">
        <f t="shared" si="147"/>
        <v>4200000</v>
      </c>
      <c r="AD325" s="80">
        <f t="shared" si="147"/>
        <v>0</v>
      </c>
      <c r="AE325" s="80">
        <f t="shared" si="147"/>
        <v>0</v>
      </c>
      <c r="AF325" s="80">
        <f t="shared" si="147"/>
        <v>0</v>
      </c>
      <c r="AG325" s="80">
        <f t="shared" si="147"/>
        <v>0</v>
      </c>
      <c r="AH325" s="80">
        <f t="shared" si="147"/>
        <v>0</v>
      </c>
      <c r="AI325" s="80">
        <f t="shared" si="147"/>
        <v>0</v>
      </c>
      <c r="AJ325" s="80">
        <f t="shared" si="147"/>
        <v>0</v>
      </c>
      <c r="AK325" s="80">
        <f t="shared" si="147"/>
        <v>0</v>
      </c>
      <c r="AL325" s="80">
        <f t="shared" si="147"/>
        <v>0</v>
      </c>
      <c r="AM325" s="80">
        <f t="shared" si="147"/>
        <v>0</v>
      </c>
      <c r="AN325" s="80">
        <f t="shared" si="147"/>
        <v>0</v>
      </c>
      <c r="AO325" s="80">
        <f t="shared" si="147"/>
        <v>0</v>
      </c>
      <c r="AP325" s="81">
        <f>SUM(AP326)</f>
        <v>0</v>
      </c>
      <c r="AQ325" s="80">
        <f>SUM(AQ326)</f>
        <v>76123416</v>
      </c>
      <c r="AR325" s="82"/>
      <c r="AS325" s="82"/>
      <c r="AT325" s="82"/>
      <c r="AU325" s="82"/>
      <c r="AV325" s="82"/>
      <c r="AW325" s="82"/>
      <c r="AX325" s="82"/>
      <c r="AY325" s="82"/>
      <c r="AZ325" s="82"/>
      <c r="BA325" s="82">
        <f>SUM(BA326)</f>
        <v>74081118.480000004</v>
      </c>
      <c r="BB325" s="82"/>
      <c r="BC325" s="82"/>
      <c r="BD325" s="82"/>
      <c r="BE325" s="82"/>
      <c r="BF325" s="82"/>
      <c r="BG325" s="82"/>
      <c r="BH325" s="82"/>
      <c r="BI325" s="82"/>
      <c r="BJ325" s="82"/>
      <c r="BK325" s="82">
        <f>SUM(BK326)</f>
        <v>76303552.034400001</v>
      </c>
      <c r="BL325" s="82"/>
      <c r="BM325" s="82"/>
      <c r="BN325" s="82"/>
      <c r="BO325" s="82"/>
      <c r="BP325" s="82"/>
      <c r="BQ325" s="82"/>
      <c r="BR325" s="82"/>
      <c r="BS325" s="82"/>
      <c r="BT325" s="82"/>
      <c r="BU325" s="82">
        <f>SUM(BU326)</f>
        <v>78592658.595431998</v>
      </c>
      <c r="BV325" s="83">
        <f t="shared" si="138"/>
        <v>228977329.10983199</v>
      </c>
    </row>
    <row r="326" spans="1:74" ht="112.5" customHeight="1" x14ac:dyDescent="0.2">
      <c r="A326" s="84">
        <v>211</v>
      </c>
      <c r="B326" s="84">
        <v>3</v>
      </c>
      <c r="C326" s="173"/>
      <c r="D326" s="237"/>
      <c r="E326" s="117">
        <v>36</v>
      </c>
      <c r="F326" s="112" t="s">
        <v>699</v>
      </c>
      <c r="G326" s="402">
        <v>0.4</v>
      </c>
      <c r="H326" s="402">
        <v>0.6</v>
      </c>
      <c r="I326" s="94">
        <v>212</v>
      </c>
      <c r="J326" s="90" t="s">
        <v>727</v>
      </c>
      <c r="K326" s="346" t="s">
        <v>728</v>
      </c>
      <c r="L326" s="91" t="s">
        <v>702</v>
      </c>
      <c r="M326" s="308">
        <v>4</v>
      </c>
      <c r="N326" s="147" t="s">
        <v>44</v>
      </c>
      <c r="O326" s="117">
        <v>1</v>
      </c>
      <c r="P326" s="117">
        <v>1</v>
      </c>
      <c r="Q326" s="248">
        <v>1</v>
      </c>
      <c r="R326" s="117">
        <v>1</v>
      </c>
      <c r="S326" s="117">
        <v>1</v>
      </c>
      <c r="T326" s="117">
        <v>1</v>
      </c>
      <c r="U326" s="340">
        <v>1</v>
      </c>
      <c r="V326" s="95">
        <v>3</v>
      </c>
      <c r="W326" s="92" t="s">
        <v>442</v>
      </c>
      <c r="X326" s="141"/>
      <c r="Y326" s="142"/>
      <c r="Z326" s="141"/>
      <c r="AA326" s="101">
        <v>71923416</v>
      </c>
      <c r="AB326" s="141"/>
      <c r="AC326" s="142">
        <v>4200000</v>
      </c>
      <c r="AD326" s="141"/>
      <c r="AE326" s="142"/>
      <c r="AF326" s="141"/>
      <c r="AG326" s="142"/>
      <c r="AH326" s="141"/>
      <c r="AI326" s="142"/>
      <c r="AJ326" s="141"/>
      <c r="AK326" s="142"/>
      <c r="AL326" s="141"/>
      <c r="AM326" s="142"/>
      <c r="AN326" s="141"/>
      <c r="AO326" s="142"/>
      <c r="AP326" s="99">
        <f>+X326+Z326+AB326+AD326+AF326+AH326+AJ326+AL326+AN326</f>
        <v>0</v>
      </c>
      <c r="AQ326" s="100">
        <f>Y326+AA326+AC326+AE326+AG326+AI326+AK326+AM326+AO326</f>
        <v>76123416</v>
      </c>
      <c r="AR326" s="109"/>
      <c r="AS326" s="109"/>
      <c r="AT326" s="109">
        <v>74081118.480000004</v>
      </c>
      <c r="AU326" s="109"/>
      <c r="AV326" s="109"/>
      <c r="AW326" s="109"/>
      <c r="AX326" s="109"/>
      <c r="AY326" s="109"/>
      <c r="AZ326" s="109"/>
      <c r="BA326" s="109">
        <f>SUM(AR326:AY326)+AZ326</f>
        <v>74081118.480000004</v>
      </c>
      <c r="BB326" s="192"/>
      <c r="BC326" s="192"/>
      <c r="BD326" s="192">
        <v>76303552.034400001</v>
      </c>
      <c r="BE326" s="192"/>
      <c r="BF326" s="192"/>
      <c r="BG326" s="192"/>
      <c r="BH326" s="192"/>
      <c r="BI326" s="192"/>
      <c r="BJ326" s="192"/>
      <c r="BK326" s="192">
        <f>SUM(BB326:BJ326)</f>
        <v>76303552.034400001</v>
      </c>
      <c r="BL326" s="109"/>
      <c r="BM326" s="109"/>
      <c r="BN326" s="109">
        <v>78592658.595431998</v>
      </c>
      <c r="BO326" s="109"/>
      <c r="BP326" s="109"/>
      <c r="BQ326" s="109"/>
      <c r="BR326" s="109"/>
      <c r="BS326" s="109"/>
      <c r="BT326" s="109"/>
      <c r="BU326" s="109">
        <f>SUM(BL326:BT326)</f>
        <v>78592658.595431998</v>
      </c>
      <c r="BV326" s="103">
        <f t="shared" si="138"/>
        <v>457954658.21966398</v>
      </c>
    </row>
    <row r="327" spans="1:74" ht="20.25" customHeight="1" x14ac:dyDescent="0.2">
      <c r="A327" s="84"/>
      <c r="B327" s="84"/>
      <c r="C327" s="173"/>
      <c r="D327" s="56">
        <v>22</v>
      </c>
      <c r="E327" s="170" t="s">
        <v>729</v>
      </c>
      <c r="F327" s="58"/>
      <c r="G327" s="58"/>
      <c r="H327" s="58"/>
      <c r="I327" s="358"/>
      <c r="J327" s="61"/>
      <c r="K327" s="61"/>
      <c r="L327" s="62"/>
      <c r="M327" s="60"/>
      <c r="N327" s="63"/>
      <c r="O327" s="61"/>
      <c r="P327" s="61"/>
      <c r="Q327" s="64"/>
      <c r="R327" s="61"/>
      <c r="S327" s="61"/>
      <c r="T327" s="60"/>
      <c r="U327" s="171"/>
      <c r="V327" s="60"/>
      <c r="W327" s="60"/>
      <c r="X327" s="66">
        <f t="shared" ref="X327:AO327" si="148">X328</f>
        <v>0</v>
      </c>
      <c r="Y327" s="66">
        <f t="shared" si="148"/>
        <v>0</v>
      </c>
      <c r="Z327" s="66">
        <f t="shared" si="148"/>
        <v>230048382</v>
      </c>
      <c r="AA327" s="66">
        <f t="shared" si="148"/>
        <v>217969207</v>
      </c>
      <c r="AB327" s="66">
        <f t="shared" si="148"/>
        <v>0</v>
      </c>
      <c r="AC327" s="66">
        <f t="shared" si="148"/>
        <v>0</v>
      </c>
      <c r="AD327" s="66">
        <f t="shared" si="148"/>
        <v>0</v>
      </c>
      <c r="AE327" s="66">
        <f t="shared" si="148"/>
        <v>0</v>
      </c>
      <c r="AF327" s="66">
        <f t="shared" si="148"/>
        <v>0</v>
      </c>
      <c r="AG327" s="66">
        <f t="shared" si="148"/>
        <v>0</v>
      </c>
      <c r="AH327" s="66">
        <f t="shared" si="148"/>
        <v>0</v>
      </c>
      <c r="AI327" s="66">
        <f t="shared" si="148"/>
        <v>0</v>
      </c>
      <c r="AJ327" s="66">
        <f t="shared" si="148"/>
        <v>0</v>
      </c>
      <c r="AK327" s="66">
        <f t="shared" si="148"/>
        <v>0</v>
      </c>
      <c r="AL327" s="66">
        <f t="shared" si="148"/>
        <v>0</v>
      </c>
      <c r="AM327" s="66">
        <f t="shared" si="148"/>
        <v>0</v>
      </c>
      <c r="AN327" s="66">
        <f t="shared" si="148"/>
        <v>0</v>
      </c>
      <c r="AO327" s="66">
        <f t="shared" si="148"/>
        <v>0</v>
      </c>
      <c r="AP327" s="67">
        <f>AP328</f>
        <v>230048382</v>
      </c>
      <c r="AQ327" s="66">
        <f>AQ328</f>
        <v>217969207</v>
      </c>
      <c r="AR327" s="68"/>
      <c r="AS327" s="68"/>
      <c r="AT327" s="68"/>
      <c r="AU327" s="68"/>
      <c r="AV327" s="68"/>
      <c r="AW327" s="68"/>
      <c r="AX327" s="68"/>
      <c r="AY327" s="68"/>
      <c r="AZ327" s="68"/>
      <c r="BA327" s="68">
        <f>BA328</f>
        <v>236949833.46000001</v>
      </c>
      <c r="BB327" s="68"/>
      <c r="BC327" s="68"/>
      <c r="BD327" s="68"/>
      <c r="BE327" s="68"/>
      <c r="BF327" s="68"/>
      <c r="BG327" s="68"/>
      <c r="BH327" s="68"/>
      <c r="BI327" s="68"/>
      <c r="BJ327" s="68"/>
      <c r="BK327" s="68">
        <f>BK328</f>
        <v>244058328.46380001</v>
      </c>
      <c r="BL327" s="68"/>
      <c r="BM327" s="68"/>
      <c r="BN327" s="68"/>
      <c r="BO327" s="68"/>
      <c r="BP327" s="68"/>
      <c r="BQ327" s="68"/>
      <c r="BR327" s="68"/>
      <c r="BS327" s="68"/>
      <c r="BT327" s="68"/>
      <c r="BU327" s="68">
        <f>BU328</f>
        <v>251380078.31771401</v>
      </c>
      <c r="BV327" s="172">
        <f t="shared" si="138"/>
        <v>732388240.24151397</v>
      </c>
    </row>
    <row r="328" spans="1:74" ht="20.25" customHeight="1" x14ac:dyDescent="0.2">
      <c r="A328" s="84"/>
      <c r="B328" s="84"/>
      <c r="C328" s="173"/>
      <c r="D328" s="169"/>
      <c r="E328" s="71">
        <v>74</v>
      </c>
      <c r="F328" s="72" t="s">
        <v>730</v>
      </c>
      <c r="G328" s="75"/>
      <c r="H328" s="75"/>
      <c r="I328" s="76"/>
      <c r="J328" s="72"/>
      <c r="K328" s="125"/>
      <c r="L328" s="74"/>
      <c r="M328" s="74"/>
      <c r="N328" s="126"/>
      <c r="O328" s="125"/>
      <c r="P328" s="125"/>
      <c r="Q328" s="127"/>
      <c r="R328" s="125"/>
      <c r="S328" s="125"/>
      <c r="T328" s="74"/>
      <c r="U328" s="128"/>
      <c r="V328" s="74"/>
      <c r="W328" s="74"/>
      <c r="X328" s="129">
        <f t="shared" ref="X328:AO328" si="149">SUM(X329)</f>
        <v>0</v>
      </c>
      <c r="Y328" s="129">
        <f t="shared" si="149"/>
        <v>0</v>
      </c>
      <c r="Z328" s="129">
        <f t="shared" si="149"/>
        <v>230048382</v>
      </c>
      <c r="AA328" s="129">
        <f t="shared" si="149"/>
        <v>217969207</v>
      </c>
      <c r="AB328" s="129">
        <f t="shared" si="149"/>
        <v>0</v>
      </c>
      <c r="AC328" s="129">
        <f t="shared" si="149"/>
        <v>0</v>
      </c>
      <c r="AD328" s="129">
        <f t="shared" si="149"/>
        <v>0</v>
      </c>
      <c r="AE328" s="129">
        <f t="shared" si="149"/>
        <v>0</v>
      </c>
      <c r="AF328" s="129">
        <f t="shared" si="149"/>
        <v>0</v>
      </c>
      <c r="AG328" s="129">
        <f t="shared" si="149"/>
        <v>0</v>
      </c>
      <c r="AH328" s="129">
        <f t="shared" si="149"/>
        <v>0</v>
      </c>
      <c r="AI328" s="129">
        <f t="shared" si="149"/>
        <v>0</v>
      </c>
      <c r="AJ328" s="129">
        <f t="shared" si="149"/>
        <v>0</v>
      </c>
      <c r="AK328" s="129">
        <f t="shared" si="149"/>
        <v>0</v>
      </c>
      <c r="AL328" s="129">
        <f t="shared" si="149"/>
        <v>0</v>
      </c>
      <c r="AM328" s="129">
        <f t="shared" si="149"/>
        <v>0</v>
      </c>
      <c r="AN328" s="129">
        <f t="shared" si="149"/>
        <v>0</v>
      </c>
      <c r="AO328" s="129">
        <f t="shared" si="149"/>
        <v>0</v>
      </c>
      <c r="AP328" s="130">
        <f>SUM(AP329)</f>
        <v>230048382</v>
      </c>
      <c r="AQ328" s="129">
        <f>SUM(AQ329)</f>
        <v>217969207</v>
      </c>
      <c r="AR328" s="131"/>
      <c r="AS328" s="131"/>
      <c r="AT328" s="131"/>
      <c r="AU328" s="131"/>
      <c r="AV328" s="131"/>
      <c r="AW328" s="131"/>
      <c r="AX328" s="131"/>
      <c r="AY328" s="131"/>
      <c r="AZ328" s="131"/>
      <c r="BA328" s="131">
        <f>SUM(BA329)</f>
        <v>236949833.46000001</v>
      </c>
      <c r="BB328" s="131"/>
      <c r="BC328" s="131"/>
      <c r="BD328" s="131"/>
      <c r="BE328" s="131"/>
      <c r="BF328" s="131"/>
      <c r="BG328" s="131"/>
      <c r="BH328" s="131"/>
      <c r="BI328" s="131"/>
      <c r="BJ328" s="131"/>
      <c r="BK328" s="131">
        <f>SUM(BK329)</f>
        <v>244058328.46380001</v>
      </c>
      <c r="BL328" s="131"/>
      <c r="BM328" s="131"/>
      <c r="BN328" s="131"/>
      <c r="BO328" s="131"/>
      <c r="BP328" s="131"/>
      <c r="BQ328" s="131"/>
      <c r="BR328" s="131"/>
      <c r="BS328" s="131"/>
      <c r="BT328" s="131"/>
      <c r="BU328" s="131">
        <f>SUM(BU329)</f>
        <v>251380078.31771401</v>
      </c>
      <c r="BV328" s="132">
        <f t="shared" si="138"/>
        <v>732388240.24151397</v>
      </c>
    </row>
    <row r="329" spans="1:74" ht="88.5" customHeight="1" x14ac:dyDescent="0.2">
      <c r="A329" s="84"/>
      <c r="B329" s="84">
        <v>3</v>
      </c>
      <c r="C329" s="237"/>
      <c r="D329" s="237"/>
      <c r="E329" s="117">
        <v>36</v>
      </c>
      <c r="F329" s="112" t="s">
        <v>699</v>
      </c>
      <c r="G329" s="402">
        <v>0.4</v>
      </c>
      <c r="H329" s="402">
        <v>0.6</v>
      </c>
      <c r="I329" s="94">
        <v>213</v>
      </c>
      <c r="J329" s="90" t="s">
        <v>731</v>
      </c>
      <c r="K329" s="346" t="s">
        <v>732</v>
      </c>
      <c r="L329" s="91" t="s">
        <v>702</v>
      </c>
      <c r="M329" s="308">
        <v>4</v>
      </c>
      <c r="N329" s="147" t="s">
        <v>44</v>
      </c>
      <c r="O329" s="117">
        <v>12</v>
      </c>
      <c r="P329" s="117">
        <v>12</v>
      </c>
      <c r="Q329" s="248">
        <v>12</v>
      </c>
      <c r="R329" s="117">
        <v>12</v>
      </c>
      <c r="S329" s="117">
        <v>12</v>
      </c>
      <c r="T329" s="117">
        <v>12</v>
      </c>
      <c r="U329" s="406">
        <f>AP329/AP328</f>
        <v>1</v>
      </c>
      <c r="V329" s="95">
        <v>10</v>
      </c>
      <c r="W329" s="210" t="s">
        <v>376</v>
      </c>
      <c r="X329" s="215"/>
      <c r="Y329" s="142"/>
      <c r="Z329" s="141">
        <v>230048382</v>
      </c>
      <c r="AA329" s="136">
        <v>217969207</v>
      </c>
      <c r="AB329" s="215"/>
      <c r="AC329" s="142"/>
      <c r="AD329" s="215"/>
      <c r="AE329" s="142"/>
      <c r="AF329" s="215"/>
      <c r="AG329" s="142"/>
      <c r="AH329" s="215"/>
      <c r="AI329" s="142"/>
      <c r="AJ329" s="215"/>
      <c r="AK329" s="142"/>
      <c r="AL329" s="215"/>
      <c r="AM329" s="142"/>
      <c r="AN329" s="215"/>
      <c r="AO329" s="142"/>
      <c r="AP329" s="99">
        <f>+X329+Z329+AB329+AD329+AF329+AH329+AJ329+AL329+AN329</f>
        <v>230048382</v>
      </c>
      <c r="AQ329" s="100">
        <f>Y329+AA329+AC329+AE329+AG329+AI329+AK329+AM329+AO329</f>
        <v>217969207</v>
      </c>
      <c r="AR329" s="109"/>
      <c r="AS329" s="192">
        <v>236949833.46000001</v>
      </c>
      <c r="AT329" s="109"/>
      <c r="AU329" s="109"/>
      <c r="AV329" s="109"/>
      <c r="AW329" s="109"/>
      <c r="AX329" s="109"/>
      <c r="AY329" s="109"/>
      <c r="AZ329" s="109"/>
      <c r="BA329" s="109">
        <f>SUM(AR329:AZ329)</f>
        <v>236949833.46000001</v>
      </c>
      <c r="BB329" s="192"/>
      <c r="BC329" s="192">
        <v>244058328.46380001</v>
      </c>
      <c r="BD329" s="192"/>
      <c r="BE329" s="192"/>
      <c r="BF329" s="192"/>
      <c r="BG329" s="192"/>
      <c r="BH329" s="192"/>
      <c r="BI329" s="192"/>
      <c r="BJ329" s="192"/>
      <c r="BK329" s="192">
        <f>SUM(BB329:BJ329)</f>
        <v>244058328.46380001</v>
      </c>
      <c r="BL329" s="109"/>
      <c r="BM329" s="109">
        <v>251380078.31771401</v>
      </c>
      <c r="BN329" s="109"/>
      <c r="BO329" s="109"/>
      <c r="BP329" s="109"/>
      <c r="BQ329" s="109"/>
      <c r="BR329" s="109"/>
      <c r="BS329" s="109"/>
      <c r="BT329" s="109"/>
      <c r="BU329" s="109">
        <f>SUM(BL329:BT329)</f>
        <v>251380078.31771401</v>
      </c>
      <c r="BV329" s="103">
        <f t="shared" si="138"/>
        <v>1464776480.4830279</v>
      </c>
    </row>
    <row r="330" spans="1:74" ht="24.75" customHeight="1" x14ac:dyDescent="0.2">
      <c r="A330" s="84"/>
      <c r="B330" s="84"/>
      <c r="C330" s="159">
        <v>4</v>
      </c>
      <c r="D330" s="160" t="s">
        <v>733</v>
      </c>
      <c r="E330" s="161"/>
      <c r="F330" s="162"/>
      <c r="G330" s="162"/>
      <c r="H330" s="162"/>
      <c r="I330" s="161"/>
      <c r="J330" s="162"/>
      <c r="K330" s="162"/>
      <c r="L330" s="163"/>
      <c r="M330" s="161"/>
      <c r="N330" s="164"/>
      <c r="O330" s="162"/>
      <c r="P330" s="162"/>
      <c r="Q330" s="165"/>
      <c r="R330" s="162"/>
      <c r="S330" s="162"/>
      <c r="T330" s="161"/>
      <c r="U330" s="166"/>
      <c r="V330" s="161"/>
      <c r="W330" s="161"/>
      <c r="X330" s="49">
        <f t="shared" ref="X330:AO330" si="150">X331+X348+X362</f>
        <v>0</v>
      </c>
      <c r="Y330" s="49">
        <f t="shared" si="150"/>
        <v>0</v>
      </c>
      <c r="Z330" s="49">
        <f t="shared" si="150"/>
        <v>6015925271</v>
      </c>
      <c r="AA330" s="49">
        <f t="shared" si="150"/>
        <v>6021924915</v>
      </c>
      <c r="AB330" s="49">
        <f t="shared" si="150"/>
        <v>1347000000</v>
      </c>
      <c r="AC330" s="49">
        <f t="shared" si="150"/>
        <v>1347000000</v>
      </c>
      <c r="AD330" s="49">
        <f t="shared" si="150"/>
        <v>0</v>
      </c>
      <c r="AE330" s="49">
        <f t="shared" si="150"/>
        <v>0</v>
      </c>
      <c r="AF330" s="49">
        <f t="shared" si="150"/>
        <v>0</v>
      </c>
      <c r="AG330" s="49">
        <f t="shared" si="150"/>
        <v>0</v>
      </c>
      <c r="AH330" s="49">
        <f t="shared" si="150"/>
        <v>0</v>
      </c>
      <c r="AI330" s="49">
        <f t="shared" si="150"/>
        <v>0</v>
      </c>
      <c r="AJ330" s="49">
        <f t="shared" si="150"/>
        <v>0</v>
      </c>
      <c r="AK330" s="49">
        <f t="shared" si="150"/>
        <v>0</v>
      </c>
      <c r="AL330" s="49">
        <f t="shared" si="150"/>
        <v>0</v>
      </c>
      <c r="AM330" s="49">
        <f t="shared" si="150"/>
        <v>0</v>
      </c>
      <c r="AN330" s="49">
        <f t="shared" si="150"/>
        <v>1000000000</v>
      </c>
      <c r="AO330" s="49">
        <f t="shared" si="150"/>
        <v>0</v>
      </c>
      <c r="AP330" s="167">
        <f>AP331+AP348+AP362</f>
        <v>8362925271</v>
      </c>
      <c r="AQ330" s="49">
        <f>AQ331+AQ348+AQ362</f>
        <v>7368924915</v>
      </c>
      <c r="AR330" s="269"/>
      <c r="AS330" s="52"/>
      <c r="AT330" s="52"/>
      <c r="AU330" s="52"/>
      <c r="AV330" s="52"/>
      <c r="AW330" s="52"/>
      <c r="AX330" s="52"/>
      <c r="AY330" s="52"/>
      <c r="AZ330" s="52"/>
      <c r="BA330" s="52">
        <f>BA331+BA348+BA362</f>
        <v>3818909775.75</v>
      </c>
      <c r="BB330" s="52"/>
      <c r="BC330" s="52"/>
      <c r="BD330" s="52"/>
      <c r="BE330" s="52"/>
      <c r="BF330" s="52"/>
      <c r="BG330" s="52"/>
      <c r="BH330" s="52"/>
      <c r="BI330" s="52"/>
      <c r="BJ330" s="52"/>
      <c r="BK330" s="52">
        <f>BK331+BK348+BK362</f>
        <v>3674977069.0229998</v>
      </c>
      <c r="BL330" s="52"/>
      <c r="BM330" s="52"/>
      <c r="BN330" s="52"/>
      <c r="BO330" s="52"/>
      <c r="BP330" s="52"/>
      <c r="BQ330" s="52"/>
      <c r="BR330" s="52"/>
      <c r="BS330" s="52"/>
      <c r="BT330" s="52"/>
      <c r="BU330" s="52">
        <f>BU331+BU348+BU362</f>
        <v>3687086381.0902042</v>
      </c>
      <c r="BV330" s="168">
        <f t="shared" si="138"/>
        <v>11180973225.863205</v>
      </c>
    </row>
    <row r="331" spans="1:74" ht="24.75" customHeight="1" x14ac:dyDescent="0.2">
      <c r="A331" s="84"/>
      <c r="B331" s="84"/>
      <c r="C331" s="169"/>
      <c r="D331" s="56">
        <v>23</v>
      </c>
      <c r="E331" s="170" t="s">
        <v>734</v>
      </c>
      <c r="F331" s="58"/>
      <c r="G331" s="58"/>
      <c r="H331" s="58"/>
      <c r="I331" s="358"/>
      <c r="J331" s="61"/>
      <c r="K331" s="61"/>
      <c r="L331" s="62"/>
      <c r="M331" s="60"/>
      <c r="N331" s="63"/>
      <c r="O331" s="61"/>
      <c r="P331" s="61"/>
      <c r="Q331" s="64"/>
      <c r="R331" s="61"/>
      <c r="S331" s="61"/>
      <c r="T331" s="60"/>
      <c r="U331" s="171"/>
      <c r="V331" s="60"/>
      <c r="W331" s="60"/>
      <c r="X331" s="66">
        <f t="shared" ref="X331:AO331" si="151">X332+X339+X344</f>
        <v>0</v>
      </c>
      <c r="Y331" s="66">
        <f t="shared" si="151"/>
        <v>0</v>
      </c>
      <c r="Z331" s="66">
        <f t="shared" si="151"/>
        <v>6015925271</v>
      </c>
      <c r="AA331" s="66">
        <f t="shared" si="151"/>
        <v>6021924915</v>
      </c>
      <c r="AB331" s="66">
        <f t="shared" si="151"/>
        <v>330000000</v>
      </c>
      <c r="AC331" s="66">
        <f t="shared" si="151"/>
        <v>330000000</v>
      </c>
      <c r="AD331" s="66">
        <f t="shared" si="151"/>
        <v>0</v>
      </c>
      <c r="AE331" s="66">
        <f t="shared" si="151"/>
        <v>0</v>
      </c>
      <c r="AF331" s="66">
        <f t="shared" si="151"/>
        <v>0</v>
      </c>
      <c r="AG331" s="66">
        <f t="shared" si="151"/>
        <v>0</v>
      </c>
      <c r="AH331" s="66">
        <f t="shared" si="151"/>
        <v>0</v>
      </c>
      <c r="AI331" s="66">
        <f t="shared" si="151"/>
        <v>0</v>
      </c>
      <c r="AJ331" s="66">
        <f t="shared" si="151"/>
        <v>0</v>
      </c>
      <c r="AK331" s="66">
        <f t="shared" si="151"/>
        <v>0</v>
      </c>
      <c r="AL331" s="66">
        <f t="shared" si="151"/>
        <v>0</v>
      </c>
      <c r="AM331" s="66">
        <f t="shared" si="151"/>
        <v>0</v>
      </c>
      <c r="AN331" s="66">
        <f t="shared" si="151"/>
        <v>1000000000</v>
      </c>
      <c r="AO331" s="66">
        <f t="shared" si="151"/>
        <v>0</v>
      </c>
      <c r="AP331" s="67">
        <f>AP332+AP339+AP344</f>
        <v>7345925271</v>
      </c>
      <c r="AQ331" s="66">
        <f>AQ332+AQ339+AQ344</f>
        <v>6351924915</v>
      </c>
      <c r="AR331" s="445"/>
      <c r="AS331" s="68"/>
      <c r="AT331" s="68"/>
      <c r="AU331" s="68"/>
      <c r="AV331" s="68"/>
      <c r="AW331" s="68"/>
      <c r="AX331" s="68"/>
      <c r="AY331" s="68"/>
      <c r="AZ331" s="68"/>
      <c r="BA331" s="68">
        <f>BA332+BA339+BA344</f>
        <v>2864560000</v>
      </c>
      <c r="BB331" s="68"/>
      <c r="BC331" s="68"/>
      <c r="BD331" s="68"/>
      <c r="BE331" s="68"/>
      <c r="BF331" s="68"/>
      <c r="BG331" s="68"/>
      <c r="BH331" s="68"/>
      <c r="BI331" s="68"/>
      <c r="BJ331" s="68"/>
      <c r="BK331" s="68">
        <f>BK332+BK339+BK344</f>
        <v>2916696800</v>
      </c>
      <c r="BL331" s="68"/>
      <c r="BM331" s="68"/>
      <c r="BN331" s="68"/>
      <c r="BO331" s="68"/>
      <c r="BP331" s="68"/>
      <c r="BQ331" s="68"/>
      <c r="BR331" s="68"/>
      <c r="BS331" s="68"/>
      <c r="BT331" s="68"/>
      <c r="BU331" s="68">
        <f>BU332+BU339+BU344</f>
        <v>2964457704.0002041</v>
      </c>
      <c r="BV331" s="172">
        <f t="shared" si="138"/>
        <v>8745714504.0002041</v>
      </c>
    </row>
    <row r="332" spans="1:74" ht="24.75" customHeight="1" thickBot="1" x14ac:dyDescent="0.25">
      <c r="A332" s="84"/>
      <c r="B332" s="84"/>
      <c r="C332" s="173"/>
      <c r="D332" s="169"/>
      <c r="E332" s="71">
        <v>75</v>
      </c>
      <c r="F332" s="72" t="s">
        <v>735</v>
      </c>
      <c r="G332" s="75"/>
      <c r="H332" s="75"/>
      <c r="I332" s="76"/>
      <c r="J332" s="72"/>
      <c r="K332" s="75"/>
      <c r="L332" s="74"/>
      <c r="M332" s="76"/>
      <c r="N332" s="77"/>
      <c r="O332" s="75"/>
      <c r="P332" s="75"/>
      <c r="Q332" s="78"/>
      <c r="R332" s="75"/>
      <c r="S332" s="75"/>
      <c r="T332" s="76"/>
      <c r="U332" s="174"/>
      <c r="V332" s="76"/>
      <c r="W332" s="76"/>
      <c r="X332" s="80">
        <f t="shared" ref="X332:AO332" si="152">SUM(X333:X338)</f>
        <v>0</v>
      </c>
      <c r="Y332" s="80">
        <f t="shared" si="152"/>
        <v>0</v>
      </c>
      <c r="Z332" s="80">
        <f t="shared" si="152"/>
        <v>5963925271</v>
      </c>
      <c r="AA332" s="80">
        <f t="shared" si="152"/>
        <v>5969924915</v>
      </c>
      <c r="AB332" s="80">
        <f t="shared" si="152"/>
        <v>80000000</v>
      </c>
      <c r="AC332" s="80">
        <f t="shared" si="152"/>
        <v>80000000</v>
      </c>
      <c r="AD332" s="80">
        <f t="shared" si="152"/>
        <v>0</v>
      </c>
      <c r="AE332" s="80">
        <f t="shared" si="152"/>
        <v>0</v>
      </c>
      <c r="AF332" s="80">
        <f t="shared" si="152"/>
        <v>0</v>
      </c>
      <c r="AG332" s="80">
        <f t="shared" si="152"/>
        <v>0</v>
      </c>
      <c r="AH332" s="80">
        <f t="shared" si="152"/>
        <v>0</v>
      </c>
      <c r="AI332" s="80">
        <f t="shared" si="152"/>
        <v>0</v>
      </c>
      <c r="AJ332" s="80">
        <f t="shared" si="152"/>
        <v>0</v>
      </c>
      <c r="AK332" s="80">
        <f t="shared" si="152"/>
        <v>0</v>
      </c>
      <c r="AL332" s="80">
        <f t="shared" si="152"/>
        <v>0</v>
      </c>
      <c r="AM332" s="80">
        <f t="shared" si="152"/>
        <v>0</v>
      </c>
      <c r="AN332" s="80">
        <f t="shared" si="152"/>
        <v>0</v>
      </c>
      <c r="AO332" s="80">
        <f t="shared" si="152"/>
        <v>0</v>
      </c>
      <c r="AP332" s="81">
        <f>SUM(AP333:AP338)</f>
        <v>6043925271</v>
      </c>
      <c r="AQ332" s="80">
        <f>SUM(AQ333:AQ338)</f>
        <v>6049924915</v>
      </c>
      <c r="AR332" s="188"/>
      <c r="AS332" s="82"/>
      <c r="AT332" s="82"/>
      <c r="AU332" s="82"/>
      <c r="AV332" s="82"/>
      <c r="AW332" s="82"/>
      <c r="AX332" s="82"/>
      <c r="AY332" s="82"/>
      <c r="AZ332" s="82"/>
      <c r="BA332" s="82">
        <f>SUM(BA333:BA338)</f>
        <v>1543000000</v>
      </c>
      <c r="BB332" s="82"/>
      <c r="BC332" s="82"/>
      <c r="BD332" s="82"/>
      <c r="BE332" s="82"/>
      <c r="BF332" s="82"/>
      <c r="BG332" s="82"/>
      <c r="BH332" s="82"/>
      <c r="BI332" s="82"/>
      <c r="BJ332" s="82"/>
      <c r="BK332" s="82">
        <f>SUM(BK333:BK338)</f>
        <v>1593530000</v>
      </c>
      <c r="BL332" s="82"/>
      <c r="BM332" s="82"/>
      <c r="BN332" s="82"/>
      <c r="BO332" s="82"/>
      <c r="BP332" s="82"/>
      <c r="BQ332" s="82"/>
      <c r="BR332" s="82"/>
      <c r="BS332" s="82"/>
      <c r="BT332" s="82"/>
      <c r="BU332" s="82">
        <f>SUM(BU333:BU338)</f>
        <v>1639635900.0002038</v>
      </c>
      <c r="BV332" s="83">
        <f t="shared" si="138"/>
        <v>4776165900.0002041</v>
      </c>
    </row>
    <row r="333" spans="1:74" ht="58.5" customHeight="1" x14ac:dyDescent="0.2">
      <c r="A333" s="84">
        <v>213</v>
      </c>
      <c r="B333" s="84">
        <v>4</v>
      </c>
      <c r="C333" s="173"/>
      <c r="D333" s="173"/>
      <c r="E333" s="117">
        <v>10</v>
      </c>
      <c r="F333" s="446" t="s">
        <v>224</v>
      </c>
      <c r="G333" s="88" t="s">
        <v>225</v>
      </c>
      <c r="H333" s="88" t="s">
        <v>226</v>
      </c>
      <c r="I333" s="577">
        <v>214</v>
      </c>
      <c r="J333" s="627" t="s">
        <v>736</v>
      </c>
      <c r="K333" s="575" t="s">
        <v>737</v>
      </c>
      <c r="L333" s="577" t="s">
        <v>738</v>
      </c>
      <c r="M333" s="647">
        <v>18</v>
      </c>
      <c r="N333" s="645" t="s">
        <v>58</v>
      </c>
      <c r="O333" s="669" t="s">
        <v>39</v>
      </c>
      <c r="P333" s="669">
        <v>6</v>
      </c>
      <c r="Q333" s="671">
        <v>1</v>
      </c>
      <c r="R333" s="672">
        <v>2</v>
      </c>
      <c r="S333" s="672">
        <v>2</v>
      </c>
      <c r="T333" s="672">
        <v>1</v>
      </c>
      <c r="U333" s="658">
        <f>AP333/$AP$332</f>
        <v>5.0992732327249185E-2</v>
      </c>
      <c r="V333" s="607">
        <v>16</v>
      </c>
      <c r="W333" s="607" t="s">
        <v>363</v>
      </c>
      <c r="X333" s="655"/>
      <c r="Y333" s="657"/>
      <c r="Z333" s="655">
        <f>308196263.55-10000000</f>
        <v>298196263.55000001</v>
      </c>
      <c r="AA333" s="657">
        <v>298196263.55000001</v>
      </c>
      <c r="AB333" s="655">
        <v>10000000</v>
      </c>
      <c r="AC333" s="657">
        <v>10000000</v>
      </c>
      <c r="AD333" s="655"/>
      <c r="AE333" s="657"/>
      <c r="AF333" s="655"/>
      <c r="AG333" s="657"/>
      <c r="AH333" s="655"/>
      <c r="AI333" s="657"/>
      <c r="AJ333" s="655"/>
      <c r="AK333" s="657"/>
      <c r="AL333" s="655"/>
      <c r="AM333" s="657"/>
      <c r="AN333" s="655"/>
      <c r="AO333" s="657"/>
      <c r="AP333" s="640">
        <f>+X333+Z333+AB333+AD333+AF333+AH333+AJ333+AL333+AN333</f>
        <v>308196263.55000001</v>
      </c>
      <c r="AQ333" s="640">
        <f>Y333+AA333+AC333+AE333+AG333+AI333+AK333+AM333+AO333</f>
        <v>308196263.55000001</v>
      </c>
      <c r="AR333" s="609"/>
      <c r="AS333" s="609">
        <v>49300000</v>
      </c>
      <c r="AT333" s="609">
        <v>30000000</v>
      </c>
      <c r="AU333" s="380"/>
      <c r="AV333" s="609"/>
      <c r="AW333" s="609"/>
      <c r="AX333" s="609"/>
      <c r="AY333" s="609"/>
      <c r="AZ333" s="609"/>
      <c r="BA333" s="609">
        <f>SUM(AR333:AY334)+AZ333</f>
        <v>79300000</v>
      </c>
      <c r="BB333" s="609"/>
      <c r="BC333" s="609">
        <f>81930000-28000000</f>
        <v>53930000</v>
      </c>
      <c r="BD333" s="609">
        <v>28000000</v>
      </c>
      <c r="BE333" s="380"/>
      <c r="BF333" s="609"/>
      <c r="BG333" s="609"/>
      <c r="BH333" s="609"/>
      <c r="BI333" s="609"/>
      <c r="BJ333" s="609"/>
      <c r="BK333" s="609">
        <f>SUM(BB333:BJ334)</f>
        <v>81930000</v>
      </c>
      <c r="BL333" s="609"/>
      <c r="BM333" s="609">
        <f>84300000-20000000</f>
        <v>64300000</v>
      </c>
      <c r="BN333" s="609">
        <v>20000000</v>
      </c>
      <c r="BO333" s="380"/>
      <c r="BP333" s="609"/>
      <c r="BQ333" s="609"/>
      <c r="BR333" s="609"/>
      <c r="BS333" s="609"/>
      <c r="BT333" s="609"/>
      <c r="BU333" s="673">
        <f>SUM(BL333:BT334)</f>
        <v>84300000</v>
      </c>
      <c r="BV333" s="613">
        <f t="shared" si="138"/>
        <v>491060000</v>
      </c>
    </row>
    <row r="334" spans="1:74" ht="144" customHeight="1" x14ac:dyDescent="0.2">
      <c r="A334" s="84"/>
      <c r="B334" s="84"/>
      <c r="C334" s="173"/>
      <c r="D334" s="173"/>
      <c r="E334" s="117">
        <v>12</v>
      </c>
      <c r="F334" s="447" t="s">
        <v>739</v>
      </c>
      <c r="G334" s="149">
        <v>3166</v>
      </c>
      <c r="H334" s="149">
        <v>2500</v>
      </c>
      <c r="I334" s="578"/>
      <c r="J334" s="629"/>
      <c r="K334" s="576"/>
      <c r="L334" s="578"/>
      <c r="M334" s="648"/>
      <c r="N334" s="646"/>
      <c r="O334" s="670"/>
      <c r="P334" s="670"/>
      <c r="Q334" s="648"/>
      <c r="R334" s="646"/>
      <c r="S334" s="646"/>
      <c r="T334" s="646"/>
      <c r="U334" s="659"/>
      <c r="V334" s="608"/>
      <c r="W334" s="608"/>
      <c r="X334" s="656"/>
      <c r="Y334" s="657"/>
      <c r="Z334" s="656"/>
      <c r="AA334" s="657"/>
      <c r="AB334" s="656"/>
      <c r="AC334" s="657"/>
      <c r="AD334" s="656"/>
      <c r="AE334" s="657"/>
      <c r="AF334" s="656"/>
      <c r="AG334" s="657"/>
      <c r="AH334" s="656"/>
      <c r="AI334" s="657"/>
      <c r="AJ334" s="656"/>
      <c r="AK334" s="657"/>
      <c r="AL334" s="656"/>
      <c r="AM334" s="657"/>
      <c r="AN334" s="656"/>
      <c r="AO334" s="657"/>
      <c r="AP334" s="642"/>
      <c r="AQ334" s="642"/>
      <c r="AR334" s="610"/>
      <c r="AS334" s="610"/>
      <c r="AT334" s="610"/>
      <c r="AU334" s="409"/>
      <c r="AV334" s="610"/>
      <c r="AW334" s="610"/>
      <c r="AX334" s="610"/>
      <c r="AY334" s="610"/>
      <c r="AZ334" s="610"/>
      <c r="BA334" s="610"/>
      <c r="BB334" s="610"/>
      <c r="BC334" s="610"/>
      <c r="BD334" s="610"/>
      <c r="BE334" s="409"/>
      <c r="BF334" s="610"/>
      <c r="BG334" s="610"/>
      <c r="BH334" s="610"/>
      <c r="BI334" s="610"/>
      <c r="BJ334" s="610"/>
      <c r="BK334" s="610"/>
      <c r="BL334" s="610"/>
      <c r="BM334" s="610"/>
      <c r="BN334" s="610"/>
      <c r="BO334" s="409"/>
      <c r="BP334" s="610"/>
      <c r="BQ334" s="610"/>
      <c r="BR334" s="610"/>
      <c r="BS334" s="610"/>
      <c r="BT334" s="610"/>
      <c r="BU334" s="673"/>
      <c r="BV334" s="614"/>
    </row>
    <row r="335" spans="1:74" ht="85.5" x14ac:dyDescent="0.2">
      <c r="A335" s="105">
        <v>214</v>
      </c>
      <c r="B335" s="84">
        <v>4</v>
      </c>
      <c r="C335" s="173"/>
      <c r="D335" s="173"/>
      <c r="E335" s="117">
        <v>32</v>
      </c>
      <c r="F335" s="86" t="s">
        <v>740</v>
      </c>
      <c r="G335" s="106" t="s">
        <v>238</v>
      </c>
      <c r="H335" s="258" t="s">
        <v>239</v>
      </c>
      <c r="I335" s="94">
        <v>215</v>
      </c>
      <c r="J335" s="90" t="s">
        <v>741</v>
      </c>
      <c r="K335" s="346" t="s">
        <v>742</v>
      </c>
      <c r="L335" s="204" t="s">
        <v>738</v>
      </c>
      <c r="M335" s="405">
        <v>18</v>
      </c>
      <c r="N335" s="448" t="s">
        <v>58</v>
      </c>
      <c r="O335" s="449">
        <v>10</v>
      </c>
      <c r="P335" s="449">
        <v>10</v>
      </c>
      <c r="Q335" s="201">
        <v>2</v>
      </c>
      <c r="R335" s="110">
        <v>3</v>
      </c>
      <c r="S335" s="110">
        <v>3</v>
      </c>
      <c r="T335" s="110">
        <v>2</v>
      </c>
      <c r="U335" s="411">
        <f>AP335/$AP$332</f>
        <v>3.3091077574972884E-3</v>
      </c>
      <c r="V335" s="95">
        <v>16</v>
      </c>
      <c r="W335" s="95" t="s">
        <v>363</v>
      </c>
      <c r="X335" s="142"/>
      <c r="Y335" s="142"/>
      <c r="Z335" s="141"/>
      <c r="AA335" s="142"/>
      <c r="AB335" s="142">
        <v>20000000</v>
      </c>
      <c r="AC335" s="142">
        <v>20000000</v>
      </c>
      <c r="AD335" s="142"/>
      <c r="AE335" s="142"/>
      <c r="AF335" s="142"/>
      <c r="AG335" s="142"/>
      <c r="AH335" s="142"/>
      <c r="AI335" s="142"/>
      <c r="AJ335" s="142"/>
      <c r="AK335" s="142"/>
      <c r="AL335" s="142"/>
      <c r="AM335" s="142"/>
      <c r="AN335" s="142"/>
      <c r="AO335" s="142"/>
      <c r="AP335" s="99">
        <f>+X335+Z335+AB335+AD335+AF335+AH335+AJ335+AL335+AN335</f>
        <v>20000000</v>
      </c>
      <c r="AQ335" s="100">
        <f>Y335+AA335+AC335+AE335+AG335+AI335+AK335+AM335+AO335</f>
        <v>20000000</v>
      </c>
      <c r="AR335" s="118"/>
      <c r="AS335" s="380">
        <v>5100000</v>
      </c>
      <c r="AT335" s="118"/>
      <c r="AU335" s="118"/>
      <c r="AV335" s="118"/>
      <c r="AW335" s="118"/>
      <c r="AX335" s="118"/>
      <c r="AY335" s="118"/>
      <c r="AZ335" s="118"/>
      <c r="BA335" s="192">
        <f>SUM(AR335:AZ335)</f>
        <v>5100000</v>
      </c>
      <c r="BB335" s="380"/>
      <c r="BC335" s="192">
        <v>5300000</v>
      </c>
      <c r="BD335" s="380"/>
      <c r="BE335" s="380"/>
      <c r="BF335" s="380"/>
      <c r="BG335" s="380"/>
      <c r="BH335" s="380"/>
      <c r="BI335" s="380"/>
      <c r="BJ335" s="380"/>
      <c r="BK335" s="192">
        <f>SUM(BB335:BJ335)</f>
        <v>5300000</v>
      </c>
      <c r="BL335" s="109"/>
      <c r="BM335" s="109">
        <v>5470000</v>
      </c>
      <c r="BN335" s="109"/>
      <c r="BO335" s="109"/>
      <c r="BP335" s="109"/>
      <c r="BQ335" s="109"/>
      <c r="BR335" s="109"/>
      <c r="BS335" s="109"/>
      <c r="BT335" s="109"/>
      <c r="BU335" s="192">
        <f>SUM(BL335:BT335)</f>
        <v>5470000</v>
      </c>
      <c r="BV335" s="103">
        <f t="shared" ref="BV335:BV366" si="153">SUM(AR335:BU335)</f>
        <v>31740000</v>
      </c>
    </row>
    <row r="336" spans="1:74" ht="123" customHeight="1" x14ac:dyDescent="0.2">
      <c r="A336" s="84">
        <v>215</v>
      </c>
      <c r="B336" s="84">
        <v>4</v>
      </c>
      <c r="C336" s="173"/>
      <c r="D336" s="173"/>
      <c r="E336" s="117">
        <v>10</v>
      </c>
      <c r="F336" s="446" t="s">
        <v>224</v>
      </c>
      <c r="G336" s="88" t="s">
        <v>225</v>
      </c>
      <c r="H336" s="88" t="s">
        <v>226</v>
      </c>
      <c r="I336" s="314">
        <v>216</v>
      </c>
      <c r="J336" s="256" t="s">
        <v>743</v>
      </c>
      <c r="K336" s="112" t="s">
        <v>744</v>
      </c>
      <c r="L336" s="204" t="s">
        <v>738</v>
      </c>
      <c r="M336" s="405">
        <v>18</v>
      </c>
      <c r="N336" s="85" t="s">
        <v>58</v>
      </c>
      <c r="O336" s="240" t="s">
        <v>745</v>
      </c>
      <c r="P336" s="240">
        <v>6</v>
      </c>
      <c r="Q336" s="248">
        <v>1</v>
      </c>
      <c r="R336" s="117">
        <v>2</v>
      </c>
      <c r="S336" s="117">
        <v>2</v>
      </c>
      <c r="T336" s="117">
        <v>1</v>
      </c>
      <c r="U336" s="411">
        <f>AP336/$AP$332</f>
        <v>0.50165455387874869</v>
      </c>
      <c r="V336" s="87">
        <v>16</v>
      </c>
      <c r="W336" s="87" t="s">
        <v>363</v>
      </c>
      <c r="X336" s="142"/>
      <c r="Y336" s="142"/>
      <c r="Z336" s="141">
        <v>2981962635.5</v>
      </c>
      <c r="AA336" s="136">
        <v>2984962457.5</v>
      </c>
      <c r="AB336" s="142">
        <v>50000000</v>
      </c>
      <c r="AC336" s="136">
        <v>50000000</v>
      </c>
      <c r="AD336" s="142"/>
      <c r="AE336" s="142"/>
      <c r="AF336" s="142"/>
      <c r="AG336" s="142"/>
      <c r="AH336" s="142"/>
      <c r="AI336" s="142"/>
      <c r="AJ336" s="142"/>
      <c r="AK336" s="142"/>
      <c r="AL336" s="142"/>
      <c r="AM336" s="142"/>
      <c r="AN336" s="142"/>
      <c r="AO336" s="142"/>
      <c r="AP336" s="99">
        <f>+X336+Z336+AB336+AD336+AF336+AH336+AJ336+AL336+AN336</f>
        <v>3031962635.5</v>
      </c>
      <c r="AQ336" s="100">
        <f>Y336+AA336+AC336+AE336+AG336+AI336+AK336+AM336+AO336</f>
        <v>3034962457.5</v>
      </c>
      <c r="AR336" s="118"/>
      <c r="AS336" s="380">
        <v>767600000</v>
      </c>
      <c r="AT336" s="118"/>
      <c r="AU336" s="118"/>
      <c r="AV336" s="118"/>
      <c r="AW336" s="118"/>
      <c r="AX336" s="118"/>
      <c r="AY336" s="118"/>
      <c r="AZ336" s="118"/>
      <c r="BA336" s="192">
        <f>SUM(AR336:AZ336)</f>
        <v>767600000</v>
      </c>
      <c r="BB336" s="380"/>
      <c r="BC336" s="192">
        <v>792700000</v>
      </c>
      <c r="BD336" s="380"/>
      <c r="BE336" s="380"/>
      <c r="BF336" s="380"/>
      <c r="BG336" s="380"/>
      <c r="BH336" s="380"/>
      <c r="BI336" s="380"/>
      <c r="BJ336" s="380"/>
      <c r="BK336" s="192">
        <f>SUM(BB336:BJ336)</f>
        <v>792700000</v>
      </c>
      <c r="BL336" s="109"/>
      <c r="BM336" s="109">
        <v>815700000</v>
      </c>
      <c r="BN336" s="109"/>
      <c r="BO336" s="109"/>
      <c r="BP336" s="109"/>
      <c r="BQ336" s="109"/>
      <c r="BR336" s="109"/>
      <c r="BS336" s="109"/>
      <c r="BT336" s="109"/>
      <c r="BU336" s="192">
        <f>SUM(BL336:BT336)</f>
        <v>815700000</v>
      </c>
      <c r="BV336" s="103">
        <f t="shared" si="153"/>
        <v>4752000000</v>
      </c>
    </row>
    <row r="337" spans="1:74" ht="126.75" customHeight="1" x14ac:dyDescent="0.2">
      <c r="A337" s="105">
        <v>216</v>
      </c>
      <c r="B337" s="84">
        <v>4</v>
      </c>
      <c r="C337" s="173"/>
      <c r="D337" s="173"/>
      <c r="E337" s="111">
        <v>12</v>
      </c>
      <c r="F337" s="139" t="s">
        <v>739</v>
      </c>
      <c r="G337" s="149">
        <v>3166</v>
      </c>
      <c r="H337" s="149">
        <v>2500</v>
      </c>
      <c r="I337" s="94">
        <v>217</v>
      </c>
      <c r="J337" s="90" t="s">
        <v>746</v>
      </c>
      <c r="K337" s="86" t="s">
        <v>747</v>
      </c>
      <c r="L337" s="204" t="s">
        <v>738</v>
      </c>
      <c r="M337" s="405">
        <v>18</v>
      </c>
      <c r="N337" s="85" t="s">
        <v>44</v>
      </c>
      <c r="O337" s="93" t="s">
        <v>745</v>
      </c>
      <c r="P337" s="93" t="s">
        <v>748</v>
      </c>
      <c r="Q337" s="248">
        <v>5</v>
      </c>
      <c r="R337" s="117">
        <v>5</v>
      </c>
      <c r="S337" s="117">
        <v>5</v>
      </c>
      <c r="T337" s="117">
        <v>5</v>
      </c>
      <c r="U337" s="411">
        <f>AP337/$AP$332</f>
        <v>0.29602907069100326</v>
      </c>
      <c r="V337" s="95">
        <v>16</v>
      </c>
      <c r="W337" s="95" t="s">
        <v>363</v>
      </c>
      <c r="X337" s="142"/>
      <c r="Y337" s="142"/>
      <c r="Z337" s="141">
        <v>1789177581.3</v>
      </c>
      <c r="AA337" s="136">
        <v>1792177403.3</v>
      </c>
      <c r="AB337" s="142"/>
      <c r="AC337" s="142"/>
      <c r="AD337" s="142"/>
      <c r="AE337" s="142"/>
      <c r="AF337" s="142"/>
      <c r="AG337" s="142"/>
      <c r="AH337" s="142"/>
      <c r="AI337" s="142"/>
      <c r="AJ337" s="142"/>
      <c r="AK337" s="142"/>
      <c r="AL337" s="142"/>
      <c r="AM337" s="142"/>
      <c r="AN337" s="142"/>
      <c r="AO337" s="142"/>
      <c r="AP337" s="99">
        <f>+X337+Z337+AB337+AD337+AF337+AH337+AJ337+AL337+AN337</f>
        <v>1789177581.3</v>
      </c>
      <c r="AQ337" s="100">
        <f>Y337+AA337+AC337+AE337+AG337+AI337+AK337+AM337+AO337</f>
        <v>1792177403.3</v>
      </c>
      <c r="AR337" s="118"/>
      <c r="AS337" s="380">
        <v>460500000</v>
      </c>
      <c r="AT337" s="118"/>
      <c r="AU337" s="118"/>
      <c r="AV337" s="118"/>
      <c r="AW337" s="118"/>
      <c r="AX337" s="118"/>
      <c r="AY337" s="118"/>
      <c r="AZ337" s="118"/>
      <c r="BA337" s="192">
        <f>SUM(AR337:AZ337)</f>
        <v>460500000</v>
      </c>
      <c r="BB337" s="380"/>
      <c r="BC337" s="192">
        <v>475600000</v>
      </c>
      <c r="BD337" s="380"/>
      <c r="BE337" s="380"/>
      <c r="BF337" s="380"/>
      <c r="BG337" s="380"/>
      <c r="BH337" s="380"/>
      <c r="BI337" s="380"/>
      <c r="BJ337" s="380"/>
      <c r="BK337" s="206">
        <f>SUM(BB337:BJ337)</f>
        <v>475600000</v>
      </c>
      <c r="BL337" s="109"/>
      <c r="BM337" s="109">
        <v>489400000</v>
      </c>
      <c r="BN337" s="109"/>
      <c r="BO337" s="109"/>
      <c r="BP337" s="109"/>
      <c r="BQ337" s="109"/>
      <c r="BR337" s="109"/>
      <c r="BS337" s="109"/>
      <c r="BT337" s="109"/>
      <c r="BU337" s="192">
        <f>SUM(BL337:BT337)</f>
        <v>489400000</v>
      </c>
      <c r="BV337" s="103">
        <f t="shared" si="153"/>
        <v>2851000000</v>
      </c>
    </row>
    <row r="338" spans="1:74" ht="90.75" customHeight="1" x14ac:dyDescent="0.2">
      <c r="A338" s="84">
        <v>217</v>
      </c>
      <c r="B338" s="84">
        <v>4</v>
      </c>
      <c r="C338" s="173"/>
      <c r="D338" s="173"/>
      <c r="E338" s="110"/>
      <c r="F338" s="447"/>
      <c r="G338" s="149"/>
      <c r="H338" s="149"/>
      <c r="I338" s="94">
        <v>218</v>
      </c>
      <c r="J338" s="90" t="s">
        <v>749</v>
      </c>
      <c r="K338" s="346" t="s">
        <v>750</v>
      </c>
      <c r="L338" s="204" t="s">
        <v>738</v>
      </c>
      <c r="M338" s="405">
        <v>18</v>
      </c>
      <c r="N338" s="85" t="s">
        <v>44</v>
      </c>
      <c r="O338" s="449">
        <v>3</v>
      </c>
      <c r="P338" s="449">
        <v>3</v>
      </c>
      <c r="Q338" s="312">
        <v>3</v>
      </c>
      <c r="R338" s="85">
        <v>3</v>
      </c>
      <c r="S338" s="85">
        <v>3</v>
      </c>
      <c r="T338" s="85">
        <v>3</v>
      </c>
      <c r="U338" s="411">
        <f>AP338/$AP$332</f>
        <v>0.14801453534550163</v>
      </c>
      <c r="V338" s="95">
        <v>16</v>
      </c>
      <c r="W338" s="95" t="s">
        <v>363</v>
      </c>
      <c r="X338" s="142"/>
      <c r="Y338" s="142"/>
      <c r="Z338" s="141">
        <v>894588790.64999998</v>
      </c>
      <c r="AA338" s="136">
        <v>894588790.64999998</v>
      </c>
      <c r="AB338" s="142"/>
      <c r="AC338" s="142"/>
      <c r="AD338" s="142"/>
      <c r="AE338" s="142"/>
      <c r="AF338" s="142"/>
      <c r="AG338" s="142"/>
      <c r="AH338" s="142"/>
      <c r="AI338" s="142"/>
      <c r="AJ338" s="142"/>
      <c r="AK338" s="142"/>
      <c r="AL338" s="142"/>
      <c r="AM338" s="142"/>
      <c r="AN338" s="142"/>
      <c r="AO338" s="142"/>
      <c r="AP338" s="99">
        <f>+X338+Z338+AB338+AD338+AF338+AH338+AJ338+AL338+AN338</f>
        <v>894588790.64999998</v>
      </c>
      <c r="AQ338" s="100">
        <f>Y338+AA338+AC338+AE338+AG338+AI338+AK338+AM338+AO338</f>
        <v>894588790.64999998</v>
      </c>
      <c r="AR338" s="118"/>
      <c r="AS338" s="380">
        <v>230500000</v>
      </c>
      <c r="AT338" s="118"/>
      <c r="AU338" s="118"/>
      <c r="AV338" s="118"/>
      <c r="AW338" s="118"/>
      <c r="AX338" s="118"/>
      <c r="AY338" s="118"/>
      <c r="AZ338" s="118"/>
      <c r="BA338" s="192">
        <f>SUM(AR338:AZ338)</f>
        <v>230500000</v>
      </c>
      <c r="BB338" s="380"/>
      <c r="BC338" s="192">
        <f>237800000+200000</f>
        <v>238000000</v>
      </c>
      <c r="BD338" s="380"/>
      <c r="BE338" s="380"/>
      <c r="BF338" s="380"/>
      <c r="BG338" s="380"/>
      <c r="BH338" s="380"/>
      <c r="BI338" s="380"/>
      <c r="BJ338" s="380"/>
      <c r="BK338" s="206">
        <f>SUM(BB338:BJ338)</f>
        <v>238000000</v>
      </c>
      <c r="BL338" s="109"/>
      <c r="BM338" s="109">
        <v>244765900.00020379</v>
      </c>
      <c r="BN338" s="109"/>
      <c r="BO338" s="109"/>
      <c r="BP338" s="109"/>
      <c r="BQ338" s="109"/>
      <c r="BR338" s="109"/>
      <c r="BS338" s="109"/>
      <c r="BT338" s="109"/>
      <c r="BU338" s="192">
        <f>SUM(BL338:BT338)</f>
        <v>244765900.00020379</v>
      </c>
      <c r="BV338" s="103">
        <f t="shared" si="153"/>
        <v>1426531800.0004077</v>
      </c>
    </row>
    <row r="339" spans="1:74" ht="27.75" customHeight="1" x14ac:dyDescent="0.2">
      <c r="A339" s="84"/>
      <c r="B339" s="84"/>
      <c r="C339" s="173"/>
      <c r="D339" s="173"/>
      <c r="E339" s="71">
        <v>76</v>
      </c>
      <c r="F339" s="72" t="s">
        <v>751</v>
      </c>
      <c r="G339" s="75"/>
      <c r="H339" s="75"/>
      <c r="I339" s="76"/>
      <c r="J339" s="75"/>
      <c r="K339" s="75"/>
      <c r="L339" s="74"/>
      <c r="M339" s="76"/>
      <c r="N339" s="77"/>
      <c r="O339" s="75"/>
      <c r="P339" s="75"/>
      <c r="Q339" s="450"/>
      <c r="R339" s="451"/>
      <c r="S339" s="451"/>
      <c r="T339" s="284"/>
      <c r="U339" s="174"/>
      <c r="V339" s="76"/>
      <c r="W339" s="76"/>
      <c r="X339" s="80">
        <f t="shared" ref="X339:AO339" si="154">SUM(X340:X343)</f>
        <v>0</v>
      </c>
      <c r="Y339" s="80">
        <f t="shared" si="154"/>
        <v>0</v>
      </c>
      <c r="Z339" s="80">
        <f t="shared" si="154"/>
        <v>0</v>
      </c>
      <c r="AA339" s="80">
        <f t="shared" si="154"/>
        <v>0</v>
      </c>
      <c r="AB339" s="80">
        <f t="shared" si="154"/>
        <v>250000000</v>
      </c>
      <c r="AC339" s="80">
        <f t="shared" si="154"/>
        <v>250000000</v>
      </c>
      <c r="AD339" s="80">
        <f t="shared" si="154"/>
        <v>0</v>
      </c>
      <c r="AE339" s="80">
        <f t="shared" si="154"/>
        <v>0</v>
      </c>
      <c r="AF339" s="80">
        <f t="shared" si="154"/>
        <v>0</v>
      </c>
      <c r="AG339" s="80">
        <f t="shared" si="154"/>
        <v>0</v>
      </c>
      <c r="AH339" s="80">
        <f t="shared" si="154"/>
        <v>0</v>
      </c>
      <c r="AI339" s="80">
        <f t="shared" si="154"/>
        <v>0</v>
      </c>
      <c r="AJ339" s="80">
        <f t="shared" si="154"/>
        <v>0</v>
      </c>
      <c r="AK339" s="80">
        <f t="shared" si="154"/>
        <v>0</v>
      </c>
      <c r="AL339" s="80">
        <f t="shared" si="154"/>
        <v>0</v>
      </c>
      <c r="AM339" s="80">
        <f t="shared" si="154"/>
        <v>0</v>
      </c>
      <c r="AN339" s="80">
        <f t="shared" si="154"/>
        <v>1000000000</v>
      </c>
      <c r="AO339" s="80">
        <f t="shared" si="154"/>
        <v>0</v>
      </c>
      <c r="AP339" s="81">
        <f>SUM(AP340:AP343)</f>
        <v>1250000000</v>
      </c>
      <c r="AQ339" s="80">
        <f>SUM(AQ340:AQ343)</f>
        <v>250000000</v>
      </c>
      <c r="AR339" s="82"/>
      <c r="AS339" s="82"/>
      <c r="AT339" s="82"/>
      <c r="AU339" s="82"/>
      <c r="AV339" s="82"/>
      <c r="AW339" s="82"/>
      <c r="AX339" s="82"/>
      <c r="AY339" s="82"/>
      <c r="AZ339" s="82"/>
      <c r="BA339" s="82">
        <f>SUM(BA340:BA343)</f>
        <v>1268000000</v>
      </c>
      <c r="BB339" s="82"/>
      <c r="BC339" s="82"/>
      <c r="BD339" s="82"/>
      <c r="BE339" s="82"/>
      <c r="BF339" s="82"/>
      <c r="BG339" s="82"/>
      <c r="BH339" s="82"/>
      <c r="BI339" s="82"/>
      <c r="BJ339" s="82"/>
      <c r="BK339" s="82">
        <f>SUM(BK340:BK343)</f>
        <v>1268000000</v>
      </c>
      <c r="BL339" s="82"/>
      <c r="BM339" s="82"/>
      <c r="BN339" s="82"/>
      <c r="BO339" s="82"/>
      <c r="BP339" s="82"/>
      <c r="BQ339" s="82"/>
      <c r="BR339" s="82"/>
      <c r="BS339" s="82"/>
      <c r="BT339" s="82"/>
      <c r="BU339" s="82">
        <f>SUM(BU340:BU343)</f>
        <v>1268000000</v>
      </c>
      <c r="BV339" s="83">
        <f t="shared" si="153"/>
        <v>3804000000</v>
      </c>
    </row>
    <row r="340" spans="1:74" ht="85.5" x14ac:dyDescent="0.2">
      <c r="A340" s="105">
        <v>218</v>
      </c>
      <c r="B340" s="84">
        <v>4</v>
      </c>
      <c r="C340" s="173"/>
      <c r="D340" s="173"/>
      <c r="E340" s="117">
        <v>13</v>
      </c>
      <c r="F340" s="359" t="s">
        <v>752</v>
      </c>
      <c r="G340" s="88" t="s">
        <v>528</v>
      </c>
      <c r="H340" s="120" t="s">
        <v>529</v>
      </c>
      <c r="I340" s="94">
        <v>219</v>
      </c>
      <c r="J340" s="90" t="s">
        <v>753</v>
      </c>
      <c r="K340" s="346" t="s">
        <v>754</v>
      </c>
      <c r="L340" s="204" t="s">
        <v>738</v>
      </c>
      <c r="M340" s="405">
        <v>18</v>
      </c>
      <c r="N340" s="364" t="s">
        <v>58</v>
      </c>
      <c r="O340" s="449" t="s">
        <v>39</v>
      </c>
      <c r="P340" s="449">
        <v>36</v>
      </c>
      <c r="Q340" s="452">
        <v>3</v>
      </c>
      <c r="R340" s="453">
        <v>11</v>
      </c>
      <c r="S340" s="453">
        <v>11</v>
      </c>
      <c r="T340" s="453">
        <v>11</v>
      </c>
      <c r="U340" s="454">
        <f>AP340/$AP$339</f>
        <v>0.01</v>
      </c>
      <c r="V340" s="95">
        <v>16</v>
      </c>
      <c r="W340" s="95" t="s">
        <v>363</v>
      </c>
      <c r="X340" s="136"/>
      <c r="Y340" s="136"/>
      <c r="Z340" s="136"/>
      <c r="AA340" s="136"/>
      <c r="AB340" s="142">
        <v>12500000</v>
      </c>
      <c r="AC340" s="101">
        <v>12500000</v>
      </c>
      <c r="AD340" s="142"/>
      <c r="AE340" s="142"/>
      <c r="AF340" s="136"/>
      <c r="AG340" s="136"/>
      <c r="AH340" s="136"/>
      <c r="AI340" s="136"/>
      <c r="AJ340" s="136"/>
      <c r="AK340" s="136"/>
      <c r="AL340" s="136"/>
      <c r="AM340" s="136"/>
      <c r="AN340" s="136"/>
      <c r="AO340" s="136"/>
      <c r="AP340" s="99">
        <f>+X340+Z340+AB340+AD340+AF340+AH340+AJ340+AL340+AN340</f>
        <v>12500000</v>
      </c>
      <c r="AQ340" s="100">
        <f>Y340+AA340+AC340+AE340+AG340+AI340+AK340+AM340+AO340</f>
        <v>12500000</v>
      </c>
      <c r="AR340" s="109"/>
      <c r="AS340" s="192">
        <v>111600000</v>
      </c>
      <c r="AT340" s="109"/>
      <c r="AU340" s="109"/>
      <c r="AV340" s="109"/>
      <c r="AW340" s="109"/>
      <c r="AX340" s="109"/>
      <c r="AY340" s="109"/>
      <c r="AZ340" s="109"/>
      <c r="BA340" s="109">
        <f>SUM(AR340:AY340)+AZ340</f>
        <v>111600000</v>
      </c>
      <c r="BB340" s="192"/>
      <c r="BC340" s="192">
        <v>111600000</v>
      </c>
      <c r="BD340" s="109"/>
      <c r="BE340" s="109"/>
      <c r="BF340" s="192"/>
      <c r="BG340" s="192"/>
      <c r="BH340" s="192"/>
      <c r="BI340" s="192"/>
      <c r="BJ340" s="192"/>
      <c r="BK340" s="206">
        <f>SUM(BB340:BJ340)</f>
        <v>111600000</v>
      </c>
      <c r="BL340" s="109"/>
      <c r="BM340" s="192">
        <v>111600000</v>
      </c>
      <c r="BN340" s="109"/>
      <c r="BO340" s="109"/>
      <c r="BP340" s="109"/>
      <c r="BQ340" s="109"/>
      <c r="BR340" s="109"/>
      <c r="BS340" s="109"/>
      <c r="BT340" s="109"/>
      <c r="BU340" s="109">
        <f>SUM(BL340:BT340)</f>
        <v>111600000</v>
      </c>
      <c r="BV340" s="103">
        <f t="shared" si="153"/>
        <v>669600000</v>
      </c>
    </row>
    <row r="341" spans="1:74" ht="88.5" customHeight="1" x14ac:dyDescent="0.2">
      <c r="A341" s="105"/>
      <c r="B341" s="84">
        <v>4</v>
      </c>
      <c r="C341" s="173"/>
      <c r="D341" s="173"/>
      <c r="E341" s="117">
        <v>10</v>
      </c>
      <c r="F341" s="446" t="s">
        <v>224</v>
      </c>
      <c r="G341" s="88" t="s">
        <v>225</v>
      </c>
      <c r="H341" s="88" t="s">
        <v>226</v>
      </c>
      <c r="I341" s="94">
        <v>220</v>
      </c>
      <c r="J341" s="90" t="s">
        <v>755</v>
      </c>
      <c r="K341" s="346" t="s">
        <v>756</v>
      </c>
      <c r="L341" s="204" t="s">
        <v>738</v>
      </c>
      <c r="M341" s="405">
        <v>18</v>
      </c>
      <c r="N341" s="363" t="s">
        <v>58</v>
      </c>
      <c r="O341" s="368">
        <v>0</v>
      </c>
      <c r="P341" s="368">
        <v>12</v>
      </c>
      <c r="Q341" s="455">
        <v>5</v>
      </c>
      <c r="R341" s="455">
        <v>9</v>
      </c>
      <c r="S341" s="455">
        <v>12</v>
      </c>
      <c r="T341" s="456">
        <v>12</v>
      </c>
      <c r="U341" s="454">
        <f>AP341/$AP$339</f>
        <v>0.98599999999999999</v>
      </c>
      <c r="V341" s="95">
        <v>16</v>
      </c>
      <c r="W341" s="95" t="s">
        <v>363</v>
      </c>
      <c r="X341" s="136"/>
      <c r="Y341" s="136"/>
      <c r="Z341" s="136"/>
      <c r="AA341" s="136"/>
      <c r="AB341" s="142">
        <f>12500000+220000000</f>
        <v>232500000</v>
      </c>
      <c r="AC341" s="101">
        <v>232500000</v>
      </c>
      <c r="AD341" s="142"/>
      <c r="AE341" s="142"/>
      <c r="AF341" s="136"/>
      <c r="AG341" s="136"/>
      <c r="AH341" s="136"/>
      <c r="AI341" s="136"/>
      <c r="AJ341" s="136"/>
      <c r="AK341" s="136"/>
      <c r="AL341" s="136"/>
      <c r="AM341" s="136"/>
      <c r="AN341" s="136">
        <v>1000000000</v>
      </c>
      <c r="AO341" s="136"/>
      <c r="AP341" s="99">
        <f>+X341+Z341+AB341+AD341+AF341+AH341+AJ341+AL341+AN341</f>
        <v>1232500000</v>
      </c>
      <c r="AQ341" s="100">
        <f>Y341+AA341+AC341+AE341+AG341+AI341+AK341+AM341+AO341</f>
        <v>232500000</v>
      </c>
      <c r="AR341" s="109"/>
      <c r="AS341" s="192">
        <v>111600000</v>
      </c>
      <c r="AT341" s="109"/>
      <c r="AU341" s="109"/>
      <c r="AV341" s="109"/>
      <c r="AW341" s="109"/>
      <c r="AX341" s="109"/>
      <c r="AY341" s="109"/>
      <c r="AZ341" s="109">
        <v>1000000000</v>
      </c>
      <c r="BA341" s="109">
        <f>SUM(AR341:AY341)+AZ341</f>
        <v>1111600000</v>
      </c>
      <c r="BB341" s="192"/>
      <c r="BC341" s="192">
        <v>111600000</v>
      </c>
      <c r="BD341" s="109"/>
      <c r="BE341" s="109"/>
      <c r="BF341" s="192"/>
      <c r="BG341" s="192"/>
      <c r="BH341" s="192"/>
      <c r="BI341" s="192"/>
      <c r="BJ341" s="192">
        <v>1000000000</v>
      </c>
      <c r="BK341" s="206">
        <f>SUM(BB341:BJ341)</f>
        <v>1111600000</v>
      </c>
      <c r="BL341" s="109"/>
      <c r="BM341" s="192">
        <v>111600000</v>
      </c>
      <c r="BN341" s="109"/>
      <c r="BO341" s="109"/>
      <c r="BP341" s="109"/>
      <c r="BQ341" s="109"/>
      <c r="BR341" s="109"/>
      <c r="BS341" s="109"/>
      <c r="BT341" s="109">
        <v>1000000000</v>
      </c>
      <c r="BU341" s="109">
        <f>SUM(BL341:BT341)</f>
        <v>1111600000</v>
      </c>
      <c r="BV341" s="103">
        <f t="shared" si="153"/>
        <v>6669600000</v>
      </c>
    </row>
    <row r="342" spans="1:74" ht="75" customHeight="1" x14ac:dyDescent="0.2">
      <c r="A342" s="84">
        <v>219</v>
      </c>
      <c r="B342" s="84">
        <v>4</v>
      </c>
      <c r="C342" s="173"/>
      <c r="D342" s="173"/>
      <c r="E342" s="117">
        <v>12</v>
      </c>
      <c r="F342" s="154" t="s">
        <v>739</v>
      </c>
      <c r="G342" s="149">
        <v>3166</v>
      </c>
      <c r="H342" s="116">
        <v>2500</v>
      </c>
      <c r="I342" s="94">
        <v>221</v>
      </c>
      <c r="J342" s="90" t="s">
        <v>757</v>
      </c>
      <c r="K342" s="346" t="s">
        <v>758</v>
      </c>
      <c r="L342" s="204" t="s">
        <v>738</v>
      </c>
      <c r="M342" s="405">
        <v>18</v>
      </c>
      <c r="N342" s="248" t="s">
        <v>44</v>
      </c>
      <c r="O342" s="368">
        <v>1</v>
      </c>
      <c r="P342" s="368">
        <v>1</v>
      </c>
      <c r="Q342" s="248">
        <v>1</v>
      </c>
      <c r="R342" s="248">
        <v>1</v>
      </c>
      <c r="S342" s="248">
        <v>1</v>
      </c>
      <c r="T342" s="248">
        <v>0</v>
      </c>
      <c r="U342" s="454">
        <f>AP342/$AP$339</f>
        <v>2.3999999999999998E-3</v>
      </c>
      <c r="V342" s="95">
        <v>16</v>
      </c>
      <c r="W342" s="95" t="s">
        <v>363</v>
      </c>
      <c r="X342" s="136"/>
      <c r="Y342" s="136"/>
      <c r="Z342" s="136"/>
      <c r="AA342" s="136"/>
      <c r="AB342" s="142">
        <v>3000000</v>
      </c>
      <c r="AC342" s="101">
        <v>3000000</v>
      </c>
      <c r="AD342" s="142"/>
      <c r="AE342" s="142"/>
      <c r="AF342" s="136"/>
      <c r="AG342" s="136"/>
      <c r="AH342" s="136"/>
      <c r="AI342" s="136"/>
      <c r="AJ342" s="136"/>
      <c r="AK342" s="136"/>
      <c r="AL342" s="136"/>
      <c r="AM342" s="136"/>
      <c r="AN342" s="136"/>
      <c r="AO342" s="136"/>
      <c r="AP342" s="99">
        <f>+X342+Z342+AB342+AD342+AF342+AH342+AJ342+AL342+AN342</f>
        <v>3000000</v>
      </c>
      <c r="AQ342" s="100">
        <f>Y342+AA342+AC342+AE342+AG342+AI342+AK342+AM342+AO342</f>
        <v>3000000</v>
      </c>
      <c r="AR342" s="109"/>
      <c r="AS342" s="192">
        <f>26800000-12000000</f>
        <v>14800000</v>
      </c>
      <c r="AT342" s="109">
        <v>12000000</v>
      </c>
      <c r="AU342" s="109"/>
      <c r="AV342" s="109"/>
      <c r="AW342" s="109"/>
      <c r="AX342" s="109"/>
      <c r="AY342" s="109"/>
      <c r="AZ342" s="109"/>
      <c r="BA342" s="109">
        <f>SUM(AR342:AY342)+AZ342</f>
        <v>26800000</v>
      </c>
      <c r="BB342" s="192"/>
      <c r="BC342" s="192">
        <f>26800000-12000000</f>
        <v>14800000</v>
      </c>
      <c r="BD342" s="109"/>
      <c r="BE342" s="109"/>
      <c r="BF342" s="192"/>
      <c r="BG342" s="192"/>
      <c r="BH342" s="192"/>
      <c r="BI342" s="192"/>
      <c r="BJ342" s="192"/>
      <c r="BK342" s="206">
        <f>SUM(BB342:BJ342)</f>
        <v>14800000</v>
      </c>
      <c r="BL342" s="109"/>
      <c r="BM342" s="192">
        <f>26800000-12000000</f>
        <v>14800000</v>
      </c>
      <c r="BN342" s="109"/>
      <c r="BO342" s="109"/>
      <c r="BP342" s="109"/>
      <c r="BQ342" s="109"/>
      <c r="BR342" s="109"/>
      <c r="BS342" s="109"/>
      <c r="BT342" s="109"/>
      <c r="BU342" s="109">
        <f>SUM(BL342:BT342)</f>
        <v>14800000</v>
      </c>
      <c r="BV342" s="103">
        <f t="shared" si="153"/>
        <v>112800000</v>
      </c>
    </row>
    <row r="343" spans="1:74" ht="69" customHeight="1" x14ac:dyDescent="0.2">
      <c r="A343" s="105">
        <v>220</v>
      </c>
      <c r="B343" s="84">
        <v>4</v>
      </c>
      <c r="C343" s="173"/>
      <c r="D343" s="173"/>
      <c r="E343" s="110">
        <v>13</v>
      </c>
      <c r="F343" s="359" t="s">
        <v>752</v>
      </c>
      <c r="G343" s="88" t="s">
        <v>528</v>
      </c>
      <c r="H343" s="120" t="s">
        <v>529</v>
      </c>
      <c r="I343" s="94">
        <v>222</v>
      </c>
      <c r="J343" s="90" t="s">
        <v>759</v>
      </c>
      <c r="K343" s="346" t="s">
        <v>760</v>
      </c>
      <c r="L343" s="204" t="s">
        <v>738</v>
      </c>
      <c r="M343" s="405">
        <v>18</v>
      </c>
      <c r="N343" s="117" t="s">
        <v>44</v>
      </c>
      <c r="O343" s="449">
        <v>1</v>
      </c>
      <c r="P343" s="457">
        <v>1</v>
      </c>
      <c r="Q343" s="248">
        <v>1</v>
      </c>
      <c r="R343" s="117">
        <v>1</v>
      </c>
      <c r="S343" s="117">
        <v>1</v>
      </c>
      <c r="T343" s="117">
        <v>1</v>
      </c>
      <c r="U343" s="454">
        <f>AP343/$AP$339</f>
        <v>1.6000000000000001E-3</v>
      </c>
      <c r="V343" s="95">
        <v>16</v>
      </c>
      <c r="W343" s="97" t="s">
        <v>363</v>
      </c>
      <c r="X343" s="458"/>
      <c r="Y343" s="142"/>
      <c r="Z343" s="142"/>
      <c r="AA343" s="142"/>
      <c r="AB343" s="142">
        <v>2000000</v>
      </c>
      <c r="AC343" s="101">
        <v>2000000</v>
      </c>
      <c r="AD343" s="142"/>
      <c r="AE343" s="142"/>
      <c r="AF343" s="142"/>
      <c r="AG343" s="142"/>
      <c r="AH343" s="142"/>
      <c r="AI343" s="142"/>
      <c r="AJ343" s="142"/>
      <c r="AK343" s="142"/>
      <c r="AL343" s="142"/>
      <c r="AM343" s="142"/>
      <c r="AN343" s="142"/>
      <c r="AO343" s="142"/>
      <c r="AP343" s="99">
        <f>+X343+Z343+AB343+AD343+AF343+AH343+AJ343+AL343+AN343</f>
        <v>2000000</v>
      </c>
      <c r="AQ343" s="100">
        <f>Y343+AA343+AC343+AE343+AG343+AI343+AK343+AM343+AO343</f>
        <v>2000000</v>
      </c>
      <c r="AR343" s="109"/>
      <c r="AS343" s="109"/>
      <c r="AT343" s="192">
        <v>18000000</v>
      </c>
      <c r="AU343" s="109"/>
      <c r="AV343" s="109"/>
      <c r="AW343" s="109"/>
      <c r="AX343" s="109"/>
      <c r="AY343" s="109"/>
      <c r="AZ343" s="109"/>
      <c r="BA343" s="109">
        <f>SUM(AR343:AY343)+AZ343</f>
        <v>18000000</v>
      </c>
      <c r="BB343" s="192"/>
      <c r="BC343" s="109">
        <v>12000000</v>
      </c>
      <c r="BD343" s="192">
        <v>18000000</v>
      </c>
      <c r="BE343" s="192"/>
      <c r="BF343" s="192"/>
      <c r="BG343" s="192"/>
      <c r="BH343" s="192"/>
      <c r="BI343" s="192"/>
      <c r="BJ343" s="192"/>
      <c r="BK343" s="206">
        <f>SUM(BB343:BJ343)</f>
        <v>30000000</v>
      </c>
      <c r="BL343" s="109"/>
      <c r="BM343" s="109">
        <v>12000000</v>
      </c>
      <c r="BN343" s="192">
        <v>18000000</v>
      </c>
      <c r="BO343" s="109"/>
      <c r="BP343" s="109"/>
      <c r="BQ343" s="109"/>
      <c r="BR343" s="109"/>
      <c r="BS343" s="109"/>
      <c r="BT343" s="109"/>
      <c r="BU343" s="109">
        <f>SUM(BL343:BT343)</f>
        <v>30000000</v>
      </c>
      <c r="BV343" s="103">
        <f t="shared" si="153"/>
        <v>156000000</v>
      </c>
    </row>
    <row r="344" spans="1:74" ht="26.25" customHeight="1" x14ac:dyDescent="0.2">
      <c r="A344" s="105"/>
      <c r="B344" s="84"/>
      <c r="C344" s="173"/>
      <c r="D344" s="173"/>
      <c r="E344" s="71">
        <v>77</v>
      </c>
      <c r="F344" s="72" t="s">
        <v>761</v>
      </c>
      <c r="G344" s="75"/>
      <c r="H344" s="75"/>
      <c r="I344" s="74"/>
      <c r="J344" s="75"/>
      <c r="K344" s="75"/>
      <c r="L344" s="74"/>
      <c r="M344" s="76"/>
      <c r="N344" s="77"/>
      <c r="O344" s="75"/>
      <c r="P344" s="75"/>
      <c r="Q344" s="450"/>
      <c r="R344" s="451"/>
      <c r="S344" s="451"/>
      <c r="T344" s="284"/>
      <c r="U344" s="79"/>
      <c r="V344" s="76"/>
      <c r="W344" s="76"/>
      <c r="X344" s="80">
        <f t="shared" ref="X344:AO344" si="155">SUM(X345:X347)</f>
        <v>0</v>
      </c>
      <c r="Y344" s="80">
        <f t="shared" si="155"/>
        <v>0</v>
      </c>
      <c r="Z344" s="80">
        <f t="shared" si="155"/>
        <v>52000000</v>
      </c>
      <c r="AA344" s="80">
        <f t="shared" si="155"/>
        <v>52000000</v>
      </c>
      <c r="AB344" s="80">
        <f t="shared" si="155"/>
        <v>0</v>
      </c>
      <c r="AC344" s="80">
        <f t="shared" si="155"/>
        <v>0</v>
      </c>
      <c r="AD344" s="80">
        <f t="shared" si="155"/>
        <v>0</v>
      </c>
      <c r="AE344" s="80">
        <f t="shared" si="155"/>
        <v>0</v>
      </c>
      <c r="AF344" s="80">
        <f t="shared" si="155"/>
        <v>0</v>
      </c>
      <c r="AG344" s="80">
        <f t="shared" si="155"/>
        <v>0</v>
      </c>
      <c r="AH344" s="80">
        <f t="shared" si="155"/>
        <v>0</v>
      </c>
      <c r="AI344" s="80">
        <f t="shared" si="155"/>
        <v>0</v>
      </c>
      <c r="AJ344" s="80">
        <f t="shared" si="155"/>
        <v>0</v>
      </c>
      <c r="AK344" s="80">
        <f t="shared" si="155"/>
        <v>0</v>
      </c>
      <c r="AL344" s="80">
        <f t="shared" si="155"/>
        <v>0</v>
      </c>
      <c r="AM344" s="80">
        <f t="shared" si="155"/>
        <v>0</v>
      </c>
      <c r="AN344" s="80">
        <f t="shared" si="155"/>
        <v>0</v>
      </c>
      <c r="AO344" s="80">
        <f t="shared" si="155"/>
        <v>0</v>
      </c>
      <c r="AP344" s="81">
        <f>SUM(AP345:AP347)</f>
        <v>52000000</v>
      </c>
      <c r="AQ344" s="80">
        <f>SUM(AQ345:AQ347)</f>
        <v>52000000</v>
      </c>
      <c r="AR344" s="82"/>
      <c r="AS344" s="82"/>
      <c r="AT344" s="82"/>
      <c r="AU344" s="82"/>
      <c r="AV344" s="82"/>
      <c r="AW344" s="82"/>
      <c r="AX344" s="82"/>
      <c r="AY344" s="82"/>
      <c r="AZ344" s="82"/>
      <c r="BA344" s="82">
        <f>SUM(BA345:BA347)</f>
        <v>53560000</v>
      </c>
      <c r="BB344" s="82"/>
      <c r="BC344" s="82"/>
      <c r="BD344" s="82"/>
      <c r="BE344" s="82"/>
      <c r="BF344" s="82"/>
      <c r="BG344" s="82"/>
      <c r="BH344" s="82"/>
      <c r="BI344" s="82"/>
      <c r="BJ344" s="82"/>
      <c r="BK344" s="82">
        <f>SUM(BK345:BK347)</f>
        <v>55166800</v>
      </c>
      <c r="BL344" s="82"/>
      <c r="BM344" s="82"/>
      <c r="BN344" s="82"/>
      <c r="BO344" s="82"/>
      <c r="BP344" s="82"/>
      <c r="BQ344" s="82"/>
      <c r="BR344" s="82"/>
      <c r="BS344" s="82"/>
      <c r="BT344" s="82"/>
      <c r="BU344" s="82">
        <f>SUM(BU345:BU347)</f>
        <v>56821804</v>
      </c>
      <c r="BV344" s="83">
        <f t="shared" si="153"/>
        <v>165548604</v>
      </c>
    </row>
    <row r="345" spans="1:74" ht="67.5" customHeight="1" x14ac:dyDescent="0.2">
      <c r="A345" s="84">
        <v>221</v>
      </c>
      <c r="B345" s="84">
        <v>4</v>
      </c>
      <c r="C345" s="173"/>
      <c r="D345" s="173"/>
      <c r="E345" s="85">
        <v>11</v>
      </c>
      <c r="F345" s="112" t="s">
        <v>762</v>
      </c>
      <c r="G345" s="113" t="s">
        <v>464</v>
      </c>
      <c r="H345" s="113" t="s">
        <v>465</v>
      </c>
      <c r="I345" s="94">
        <v>223</v>
      </c>
      <c r="J345" s="90" t="s">
        <v>763</v>
      </c>
      <c r="K345" s="346" t="s">
        <v>764</v>
      </c>
      <c r="L345" s="91" t="s">
        <v>205</v>
      </c>
      <c r="M345" s="308">
        <v>9</v>
      </c>
      <c r="N345" s="457" t="s">
        <v>44</v>
      </c>
      <c r="O345" s="449" t="s">
        <v>39</v>
      </c>
      <c r="P345" s="449">
        <v>1</v>
      </c>
      <c r="Q345" s="368">
        <v>1</v>
      </c>
      <c r="R345" s="449">
        <v>1</v>
      </c>
      <c r="S345" s="449">
        <v>1</v>
      </c>
      <c r="T345" s="449">
        <v>1</v>
      </c>
      <c r="U345" s="273">
        <f>AP345/$AP$344</f>
        <v>0.57692307692307687</v>
      </c>
      <c r="V345" s="95">
        <v>3</v>
      </c>
      <c r="W345" s="92" t="s">
        <v>442</v>
      </c>
      <c r="X345" s="231"/>
      <c r="Y345" s="136"/>
      <c r="Z345" s="141">
        <v>30000000</v>
      </c>
      <c r="AA345" s="101">
        <v>39945583</v>
      </c>
      <c r="AB345" s="231"/>
      <c r="AC345" s="136"/>
      <c r="AD345" s="231"/>
      <c r="AE345" s="136"/>
      <c r="AF345" s="231"/>
      <c r="AG345" s="136"/>
      <c r="AH345" s="231"/>
      <c r="AI345" s="136"/>
      <c r="AJ345" s="231"/>
      <c r="AK345" s="136"/>
      <c r="AL345" s="231"/>
      <c r="AM345" s="136"/>
      <c r="AN345" s="231"/>
      <c r="AO345" s="136"/>
      <c r="AP345" s="99">
        <f>+X345+Z345+AB345+AD345+AF345+AH345+AJ345+AL345+AN345</f>
        <v>30000000</v>
      </c>
      <c r="AQ345" s="100">
        <f>Y345+AA345+AC345+AE345+AG345+AI345+AK345+AM345+AO345</f>
        <v>39945583</v>
      </c>
      <c r="AR345" s="109"/>
      <c r="AS345" s="192">
        <v>30899999.999999996</v>
      </c>
      <c r="AT345" s="109"/>
      <c r="AU345" s="109"/>
      <c r="AV345" s="109"/>
      <c r="AW345" s="109"/>
      <c r="AX345" s="109"/>
      <c r="AY345" s="109"/>
      <c r="AZ345" s="109"/>
      <c r="BA345" s="109">
        <f>SUM(AR345:AY345)+AZ345</f>
        <v>30899999.999999996</v>
      </c>
      <c r="BB345" s="192"/>
      <c r="BC345" s="192">
        <v>31826999.999999996</v>
      </c>
      <c r="BD345" s="192"/>
      <c r="BE345" s="192"/>
      <c r="BF345" s="192"/>
      <c r="BG345" s="192"/>
      <c r="BH345" s="192"/>
      <c r="BI345" s="192"/>
      <c r="BJ345" s="192"/>
      <c r="BK345" s="192">
        <f>SUM(BB345:BJ345)</f>
        <v>31826999.999999996</v>
      </c>
      <c r="BL345" s="109"/>
      <c r="BM345" s="109">
        <v>32700000</v>
      </c>
      <c r="BN345" s="109"/>
      <c r="BO345" s="109"/>
      <c r="BP345" s="109"/>
      <c r="BQ345" s="109"/>
      <c r="BR345" s="109"/>
      <c r="BS345" s="109"/>
      <c r="BT345" s="109"/>
      <c r="BU345" s="109">
        <f>SUM(BL345:BT345)</f>
        <v>32700000</v>
      </c>
      <c r="BV345" s="103">
        <f t="shared" si="153"/>
        <v>190854000</v>
      </c>
    </row>
    <row r="346" spans="1:74" ht="70.5" customHeight="1" x14ac:dyDescent="0.2">
      <c r="A346" s="105">
        <v>222</v>
      </c>
      <c r="B346" s="84">
        <v>4</v>
      </c>
      <c r="C346" s="173"/>
      <c r="D346" s="173"/>
      <c r="E346" s="111"/>
      <c r="F346" s="154"/>
      <c r="G346" s="149"/>
      <c r="H346" s="149"/>
      <c r="I346" s="94">
        <v>224</v>
      </c>
      <c r="J346" s="90" t="s">
        <v>765</v>
      </c>
      <c r="K346" s="346" t="s">
        <v>766</v>
      </c>
      <c r="L346" s="91" t="s">
        <v>205</v>
      </c>
      <c r="M346" s="308">
        <v>9</v>
      </c>
      <c r="N346" s="457" t="s">
        <v>44</v>
      </c>
      <c r="O346" s="449">
        <v>0</v>
      </c>
      <c r="P346" s="449">
        <v>1</v>
      </c>
      <c r="Q346" s="368">
        <v>1</v>
      </c>
      <c r="R346" s="449">
        <v>1</v>
      </c>
      <c r="S346" s="449">
        <v>1</v>
      </c>
      <c r="T346" s="449">
        <v>1</v>
      </c>
      <c r="U346" s="273">
        <f>AP346/$AP$344</f>
        <v>0.38461538461538464</v>
      </c>
      <c r="V346" s="95">
        <v>11</v>
      </c>
      <c r="W346" s="92" t="s">
        <v>216</v>
      </c>
      <c r="X346" s="231"/>
      <c r="Y346" s="136"/>
      <c r="Z346" s="141">
        <v>20000000</v>
      </c>
      <c r="AA346" s="101">
        <v>10054417</v>
      </c>
      <c r="AB346" s="231"/>
      <c r="AC346" s="136"/>
      <c r="AD346" s="231"/>
      <c r="AE346" s="136"/>
      <c r="AF346" s="231"/>
      <c r="AG346" s="136"/>
      <c r="AH346" s="231"/>
      <c r="AI346" s="136"/>
      <c r="AJ346" s="231"/>
      <c r="AK346" s="136"/>
      <c r="AL346" s="231"/>
      <c r="AM346" s="136"/>
      <c r="AN346" s="231"/>
      <c r="AO346" s="136"/>
      <c r="AP346" s="99">
        <f>+X346+Z346+AB346+AD346+AF346+AH346+AJ346+AL346+AN346</f>
        <v>20000000</v>
      </c>
      <c r="AQ346" s="100">
        <f>Y346+AA346+AC346+AE346+AG346+AI346+AK346+AM346+AO346</f>
        <v>10054417</v>
      </c>
      <c r="AR346" s="109"/>
      <c r="AS346" s="192">
        <v>20600000</v>
      </c>
      <c r="AT346" s="109"/>
      <c r="AU346" s="109"/>
      <c r="AV346" s="109"/>
      <c r="AW346" s="109"/>
      <c r="AX346" s="109"/>
      <c r="AY346" s="109"/>
      <c r="AZ346" s="109"/>
      <c r="BA346" s="109">
        <f>SUM(AR346:AY346)+AZ346</f>
        <v>20600000</v>
      </c>
      <c r="BB346" s="192"/>
      <c r="BC346" s="192">
        <v>21218000</v>
      </c>
      <c r="BD346" s="192"/>
      <c r="BE346" s="192"/>
      <c r="BF346" s="192"/>
      <c r="BG346" s="192"/>
      <c r="BH346" s="192"/>
      <c r="BI346" s="192"/>
      <c r="BJ346" s="192"/>
      <c r="BK346" s="192">
        <f>SUM(BB346:BJ346)</f>
        <v>21218000</v>
      </c>
      <c r="BL346" s="109"/>
      <c r="BM346" s="109">
        <v>21850000</v>
      </c>
      <c r="BN346" s="109"/>
      <c r="BO346" s="109"/>
      <c r="BP346" s="109"/>
      <c r="BQ346" s="109"/>
      <c r="BR346" s="109"/>
      <c r="BS346" s="109"/>
      <c r="BT346" s="109"/>
      <c r="BU346" s="109">
        <f>SUM(BL346:BT346)</f>
        <v>21850000</v>
      </c>
      <c r="BV346" s="103">
        <f t="shared" si="153"/>
        <v>127336000</v>
      </c>
    </row>
    <row r="347" spans="1:74" ht="79.5" customHeight="1" x14ac:dyDescent="0.2">
      <c r="A347" s="84">
        <v>223</v>
      </c>
      <c r="B347" s="84">
        <v>4</v>
      </c>
      <c r="C347" s="173"/>
      <c r="D347" s="237"/>
      <c r="E347" s="110"/>
      <c r="F347" s="114"/>
      <c r="G347" s="116"/>
      <c r="H347" s="116"/>
      <c r="I347" s="94">
        <v>225</v>
      </c>
      <c r="J347" s="90" t="s">
        <v>767</v>
      </c>
      <c r="K347" s="346" t="s">
        <v>768</v>
      </c>
      <c r="L347" s="91" t="s">
        <v>205</v>
      </c>
      <c r="M347" s="308">
        <v>9</v>
      </c>
      <c r="N347" s="457" t="s">
        <v>44</v>
      </c>
      <c r="O347" s="449">
        <v>0</v>
      </c>
      <c r="P347" s="449">
        <v>1</v>
      </c>
      <c r="Q347" s="368">
        <v>1</v>
      </c>
      <c r="R347" s="449">
        <v>1</v>
      </c>
      <c r="S347" s="449">
        <v>1</v>
      </c>
      <c r="T347" s="449">
        <v>1</v>
      </c>
      <c r="U347" s="273">
        <f>AP347/$AP$344</f>
        <v>3.8461538461538464E-2</v>
      </c>
      <c r="V347" s="95">
        <v>11</v>
      </c>
      <c r="W347" s="92" t="s">
        <v>216</v>
      </c>
      <c r="X347" s="231"/>
      <c r="Y347" s="136"/>
      <c r="Z347" s="141">
        <v>2000000</v>
      </c>
      <c r="AA347" s="101">
        <v>2000000</v>
      </c>
      <c r="AB347" s="231"/>
      <c r="AC347" s="136"/>
      <c r="AD347" s="231"/>
      <c r="AE347" s="136"/>
      <c r="AF347" s="231"/>
      <c r="AG347" s="136"/>
      <c r="AH347" s="231"/>
      <c r="AI347" s="136"/>
      <c r="AJ347" s="231"/>
      <c r="AK347" s="136"/>
      <c r="AL347" s="231"/>
      <c r="AM347" s="136"/>
      <c r="AN347" s="231"/>
      <c r="AO347" s="136"/>
      <c r="AP347" s="99">
        <f>+X347+Z347+AB347+AD347+AF347+AH347+AJ347+AL347+AN347</f>
        <v>2000000</v>
      </c>
      <c r="AQ347" s="100">
        <f>Y347+AA347+AC347+AE347+AG347+AI347+AK347+AM347+AO347</f>
        <v>2000000</v>
      </c>
      <c r="AR347" s="109"/>
      <c r="AS347" s="192">
        <v>2060000</v>
      </c>
      <c r="AT347" s="109"/>
      <c r="AU347" s="109"/>
      <c r="AV347" s="109"/>
      <c r="AW347" s="109"/>
      <c r="AX347" s="109"/>
      <c r="AY347" s="109"/>
      <c r="AZ347" s="109"/>
      <c r="BA347" s="109">
        <f>SUM(AR347:AY347)+AZ347</f>
        <v>2060000</v>
      </c>
      <c r="BB347" s="192"/>
      <c r="BC347" s="192">
        <v>2121800</v>
      </c>
      <c r="BD347" s="192"/>
      <c r="BE347" s="192"/>
      <c r="BF347" s="192"/>
      <c r="BG347" s="192"/>
      <c r="BH347" s="192"/>
      <c r="BI347" s="192"/>
      <c r="BJ347" s="192"/>
      <c r="BK347" s="192">
        <f>SUM(BB347:BJ347)</f>
        <v>2121800</v>
      </c>
      <c r="BL347" s="109"/>
      <c r="BM347" s="109">
        <v>2271804</v>
      </c>
      <c r="BN347" s="109"/>
      <c r="BO347" s="109"/>
      <c r="BP347" s="109"/>
      <c r="BQ347" s="109"/>
      <c r="BR347" s="109"/>
      <c r="BS347" s="109"/>
      <c r="BT347" s="109"/>
      <c r="BU347" s="109">
        <f>SUM(BL347:BT347)</f>
        <v>2271804</v>
      </c>
      <c r="BV347" s="103">
        <f t="shared" si="153"/>
        <v>12907208</v>
      </c>
    </row>
    <row r="348" spans="1:74" ht="26.25" customHeight="1" x14ac:dyDescent="0.2">
      <c r="A348" s="84"/>
      <c r="B348" s="84"/>
      <c r="C348" s="173"/>
      <c r="D348" s="56">
        <v>24</v>
      </c>
      <c r="E348" s="170" t="s">
        <v>769</v>
      </c>
      <c r="F348" s="61"/>
      <c r="G348" s="58"/>
      <c r="H348" s="59"/>
      <c r="I348" s="60"/>
      <c r="J348" s="61"/>
      <c r="K348" s="61"/>
      <c r="L348" s="62"/>
      <c r="M348" s="60"/>
      <c r="N348" s="63"/>
      <c r="O348" s="61"/>
      <c r="P348" s="61"/>
      <c r="Q348" s="64"/>
      <c r="R348" s="61"/>
      <c r="S348" s="61"/>
      <c r="T348" s="60"/>
      <c r="U348" s="171"/>
      <c r="V348" s="60"/>
      <c r="W348" s="60"/>
      <c r="X348" s="66">
        <f t="shared" ref="X348:AO348" si="156">X349+X355+X359</f>
        <v>0</v>
      </c>
      <c r="Y348" s="66">
        <f t="shared" si="156"/>
        <v>0</v>
      </c>
      <c r="Z348" s="66">
        <f t="shared" si="156"/>
        <v>0</v>
      </c>
      <c r="AA348" s="66">
        <f t="shared" si="156"/>
        <v>0</v>
      </c>
      <c r="AB348" s="66">
        <f t="shared" si="156"/>
        <v>537000000</v>
      </c>
      <c r="AC348" s="66">
        <f t="shared" si="156"/>
        <v>537000000</v>
      </c>
      <c r="AD348" s="66">
        <f t="shared" si="156"/>
        <v>0</v>
      </c>
      <c r="AE348" s="66">
        <f t="shared" si="156"/>
        <v>0</v>
      </c>
      <c r="AF348" s="66">
        <f t="shared" si="156"/>
        <v>0</v>
      </c>
      <c r="AG348" s="66">
        <f t="shared" si="156"/>
        <v>0</v>
      </c>
      <c r="AH348" s="66">
        <f t="shared" si="156"/>
        <v>0</v>
      </c>
      <c r="AI348" s="66">
        <f t="shared" si="156"/>
        <v>0</v>
      </c>
      <c r="AJ348" s="66">
        <f t="shared" si="156"/>
        <v>0</v>
      </c>
      <c r="AK348" s="66">
        <f t="shared" si="156"/>
        <v>0</v>
      </c>
      <c r="AL348" s="66">
        <f t="shared" si="156"/>
        <v>0</v>
      </c>
      <c r="AM348" s="66">
        <f t="shared" si="156"/>
        <v>0</v>
      </c>
      <c r="AN348" s="66">
        <f t="shared" si="156"/>
        <v>0</v>
      </c>
      <c r="AO348" s="66">
        <f t="shared" si="156"/>
        <v>0</v>
      </c>
      <c r="AP348" s="67">
        <f>AP349+AP355+AP359</f>
        <v>537000000</v>
      </c>
      <c r="AQ348" s="66">
        <f>AQ349+AQ355+AQ359</f>
        <v>537000000</v>
      </c>
      <c r="AR348" s="68"/>
      <c r="AS348" s="68"/>
      <c r="AT348" s="68"/>
      <c r="AU348" s="68"/>
      <c r="AV348" s="68"/>
      <c r="AW348" s="68"/>
      <c r="AX348" s="68"/>
      <c r="AY348" s="68"/>
      <c r="AZ348" s="68"/>
      <c r="BA348" s="68">
        <f>BA349+BA355+BA359</f>
        <v>464349775.75</v>
      </c>
      <c r="BB348" s="68"/>
      <c r="BC348" s="68"/>
      <c r="BD348" s="68"/>
      <c r="BE348" s="68"/>
      <c r="BF348" s="68"/>
      <c r="BG348" s="68"/>
      <c r="BH348" s="68"/>
      <c r="BI348" s="68"/>
      <c r="BJ348" s="68"/>
      <c r="BK348" s="68">
        <f>BK349+BK355+BK359</f>
        <v>478280269.023</v>
      </c>
      <c r="BL348" s="68"/>
      <c r="BM348" s="68"/>
      <c r="BN348" s="68"/>
      <c r="BO348" s="68"/>
      <c r="BP348" s="68"/>
      <c r="BQ348" s="68"/>
      <c r="BR348" s="68"/>
      <c r="BS348" s="68"/>
      <c r="BT348" s="68"/>
      <c r="BU348" s="68">
        <f>BU349+BU355+BU359</f>
        <v>492628677.08999997</v>
      </c>
      <c r="BV348" s="172">
        <f t="shared" si="153"/>
        <v>1435258721.8629999</v>
      </c>
    </row>
    <row r="349" spans="1:74" ht="26.25" customHeight="1" x14ac:dyDescent="0.2">
      <c r="A349" s="84"/>
      <c r="B349" s="84"/>
      <c r="C349" s="173"/>
      <c r="D349" s="169"/>
      <c r="E349" s="71">
        <v>78</v>
      </c>
      <c r="F349" s="72" t="s">
        <v>770</v>
      </c>
      <c r="G349" s="75"/>
      <c r="H349" s="75"/>
      <c r="I349" s="74"/>
      <c r="J349" s="75"/>
      <c r="K349" s="75"/>
      <c r="L349" s="323"/>
      <c r="M349" s="324"/>
      <c r="N349" s="325"/>
      <c r="O349" s="75"/>
      <c r="P349" s="75"/>
      <c r="Q349" s="326"/>
      <c r="R349" s="310"/>
      <c r="S349" s="310"/>
      <c r="T349" s="324"/>
      <c r="U349" s="174"/>
      <c r="V349" s="76"/>
      <c r="W349" s="76"/>
      <c r="X349" s="80">
        <f t="shared" ref="X349:AO349" si="157">SUM(X350:X354)</f>
        <v>0</v>
      </c>
      <c r="Y349" s="80">
        <f t="shared" si="157"/>
        <v>0</v>
      </c>
      <c r="Z349" s="80">
        <f t="shared" si="157"/>
        <v>0</v>
      </c>
      <c r="AA349" s="80">
        <f t="shared" si="157"/>
        <v>0</v>
      </c>
      <c r="AB349" s="80">
        <f t="shared" si="157"/>
        <v>465000000</v>
      </c>
      <c r="AC349" s="80">
        <f t="shared" si="157"/>
        <v>465000000</v>
      </c>
      <c r="AD349" s="80">
        <f t="shared" si="157"/>
        <v>0</v>
      </c>
      <c r="AE349" s="80">
        <f t="shared" si="157"/>
        <v>0</v>
      </c>
      <c r="AF349" s="80">
        <f t="shared" si="157"/>
        <v>0</v>
      </c>
      <c r="AG349" s="80">
        <f t="shared" si="157"/>
        <v>0</v>
      </c>
      <c r="AH349" s="80">
        <f t="shared" si="157"/>
        <v>0</v>
      </c>
      <c r="AI349" s="80">
        <f t="shared" si="157"/>
        <v>0</v>
      </c>
      <c r="AJ349" s="80">
        <f t="shared" si="157"/>
        <v>0</v>
      </c>
      <c r="AK349" s="80">
        <f t="shared" si="157"/>
        <v>0</v>
      </c>
      <c r="AL349" s="80">
        <f t="shared" si="157"/>
        <v>0</v>
      </c>
      <c r="AM349" s="80">
        <f t="shared" si="157"/>
        <v>0</v>
      </c>
      <c r="AN349" s="80">
        <f t="shared" si="157"/>
        <v>0</v>
      </c>
      <c r="AO349" s="80">
        <f t="shared" si="157"/>
        <v>0</v>
      </c>
      <c r="AP349" s="81">
        <f>SUM(AP350:AP354)</f>
        <v>465000000</v>
      </c>
      <c r="AQ349" s="80">
        <f>SUM(AQ350:AQ354)</f>
        <v>465000000</v>
      </c>
      <c r="AR349" s="82"/>
      <c r="AS349" s="82"/>
      <c r="AT349" s="82"/>
      <c r="AU349" s="82"/>
      <c r="AV349" s="82"/>
      <c r="AW349" s="82"/>
      <c r="AX349" s="82"/>
      <c r="AY349" s="82"/>
      <c r="AZ349" s="82"/>
      <c r="BA349" s="82">
        <f>SUM(BA350:BA354)</f>
        <v>390189775.75</v>
      </c>
      <c r="BB349" s="82"/>
      <c r="BC349" s="82"/>
      <c r="BD349" s="82"/>
      <c r="BE349" s="82"/>
      <c r="BF349" s="82"/>
      <c r="BG349" s="82"/>
      <c r="BH349" s="82"/>
      <c r="BI349" s="82"/>
      <c r="BJ349" s="82"/>
      <c r="BK349" s="82">
        <f>SUM(BK350:BK354)</f>
        <v>401895469.023</v>
      </c>
      <c r="BL349" s="82"/>
      <c r="BM349" s="82"/>
      <c r="BN349" s="82"/>
      <c r="BO349" s="82"/>
      <c r="BP349" s="82"/>
      <c r="BQ349" s="82"/>
      <c r="BR349" s="82"/>
      <c r="BS349" s="82"/>
      <c r="BT349" s="82"/>
      <c r="BU349" s="82">
        <f>SUM(BU350:BU354)</f>
        <v>413952333.08999997</v>
      </c>
      <c r="BV349" s="83">
        <f t="shared" si="153"/>
        <v>1206037577.8629999</v>
      </c>
    </row>
    <row r="350" spans="1:74" ht="183.75" customHeight="1" x14ac:dyDescent="0.2">
      <c r="A350" s="105">
        <v>224</v>
      </c>
      <c r="B350" s="84">
        <v>4</v>
      </c>
      <c r="C350" s="173"/>
      <c r="D350" s="173"/>
      <c r="E350" s="85">
        <v>13</v>
      </c>
      <c r="F350" s="459" t="s">
        <v>527</v>
      </c>
      <c r="G350" s="460">
        <v>0.71040000000000003</v>
      </c>
      <c r="H350" s="460">
        <v>0.88170000000000004</v>
      </c>
      <c r="I350" s="94">
        <v>226</v>
      </c>
      <c r="J350" s="90" t="s">
        <v>771</v>
      </c>
      <c r="K350" s="346" t="s">
        <v>772</v>
      </c>
      <c r="L350" s="90" t="s">
        <v>690</v>
      </c>
      <c r="M350" s="248">
        <v>14</v>
      </c>
      <c r="N350" s="117" t="s">
        <v>44</v>
      </c>
      <c r="O350" s="449">
        <v>12</v>
      </c>
      <c r="P350" s="449">
        <v>12</v>
      </c>
      <c r="Q350" s="248">
        <v>12</v>
      </c>
      <c r="R350" s="117">
        <v>12</v>
      </c>
      <c r="S350" s="117">
        <v>12</v>
      </c>
      <c r="T350" s="117">
        <v>12</v>
      </c>
      <c r="U350" s="406">
        <f>AP350/$AP$349</f>
        <v>0.36256344086021508</v>
      </c>
      <c r="V350" s="95">
        <v>16</v>
      </c>
      <c r="W350" s="210" t="s">
        <v>363</v>
      </c>
      <c r="X350" s="215"/>
      <c r="Y350" s="142"/>
      <c r="Z350" s="215"/>
      <c r="AA350" s="142"/>
      <c r="AB350" s="100">
        <v>168592000</v>
      </c>
      <c r="AC350" s="101">
        <v>168592000</v>
      </c>
      <c r="AD350" s="214"/>
      <c r="AE350" s="100"/>
      <c r="AF350" s="215"/>
      <c r="AG350" s="142"/>
      <c r="AH350" s="215"/>
      <c r="AI350" s="142"/>
      <c r="AJ350" s="215"/>
      <c r="AK350" s="142"/>
      <c r="AL350" s="215"/>
      <c r="AM350" s="142"/>
      <c r="AN350" s="215"/>
      <c r="AO350" s="142"/>
      <c r="AP350" s="99">
        <f>+X350+Z350+AB350+AD350+AF350+AH350+AJ350+AL350+AN350</f>
        <v>168592000</v>
      </c>
      <c r="AQ350" s="100">
        <f>Y350+AA350+AC350+AE350+AG350+AI350+AK350+AM350+AO350</f>
        <v>168592000</v>
      </c>
      <c r="AR350" s="286"/>
      <c r="AS350" s="286"/>
      <c r="AT350" s="192">
        <v>140400000</v>
      </c>
      <c r="AU350" s="192"/>
      <c r="AV350" s="286"/>
      <c r="AW350" s="286"/>
      <c r="AX350" s="286"/>
      <c r="AY350" s="286"/>
      <c r="AZ350" s="286"/>
      <c r="BA350" s="286">
        <f>SUM(AR350:AZ350)</f>
        <v>140400000</v>
      </c>
      <c r="BB350" s="192"/>
      <c r="BC350" s="192"/>
      <c r="BD350" s="192">
        <v>145700000</v>
      </c>
      <c r="BE350" s="192"/>
      <c r="BF350" s="192"/>
      <c r="BG350" s="192"/>
      <c r="BH350" s="192"/>
      <c r="BI350" s="192"/>
      <c r="BJ350" s="192"/>
      <c r="BK350" s="192">
        <f>SUM(BB350:BJ350)</f>
        <v>145700000</v>
      </c>
      <c r="BL350" s="109"/>
      <c r="BM350" s="109"/>
      <c r="BN350" s="109">
        <v>150083000</v>
      </c>
      <c r="BO350" s="109"/>
      <c r="BP350" s="109"/>
      <c r="BQ350" s="109"/>
      <c r="BR350" s="109"/>
      <c r="BS350" s="109"/>
      <c r="BT350" s="109"/>
      <c r="BU350" s="109">
        <f>SUM(BL350:BT350)</f>
        <v>150083000</v>
      </c>
      <c r="BV350" s="103">
        <f t="shared" si="153"/>
        <v>872366000</v>
      </c>
    </row>
    <row r="351" spans="1:74" ht="159.75" customHeight="1" x14ac:dyDescent="0.2">
      <c r="A351" s="84">
        <v>225</v>
      </c>
      <c r="B351" s="84">
        <v>4</v>
      </c>
      <c r="C351" s="173"/>
      <c r="D351" s="173"/>
      <c r="E351" s="111"/>
      <c r="F351" s="461"/>
      <c r="G351" s="462"/>
      <c r="H351" s="462"/>
      <c r="I351" s="94">
        <v>227</v>
      </c>
      <c r="J351" s="90" t="s">
        <v>773</v>
      </c>
      <c r="K351" s="346" t="s">
        <v>774</v>
      </c>
      <c r="L351" s="90" t="s">
        <v>690</v>
      </c>
      <c r="M351" s="248">
        <v>14</v>
      </c>
      <c r="N351" s="448" t="s">
        <v>44</v>
      </c>
      <c r="O351" s="449">
        <v>12</v>
      </c>
      <c r="P351" s="449">
        <v>12</v>
      </c>
      <c r="Q351" s="248">
        <v>12</v>
      </c>
      <c r="R351" s="117">
        <v>12</v>
      </c>
      <c r="S351" s="117">
        <v>12</v>
      </c>
      <c r="T351" s="117">
        <v>12</v>
      </c>
      <c r="U351" s="406">
        <f>AP351/$AP$349</f>
        <v>0.40056344086021506</v>
      </c>
      <c r="V351" s="95">
        <v>16</v>
      </c>
      <c r="W351" s="210" t="s">
        <v>363</v>
      </c>
      <c r="X351" s="215"/>
      <c r="Y351" s="142"/>
      <c r="Z351" s="215"/>
      <c r="AA351" s="142"/>
      <c r="AB351" s="100">
        <v>186262000</v>
      </c>
      <c r="AC351" s="100">
        <v>186262000</v>
      </c>
      <c r="AD351" s="214"/>
      <c r="AE351" s="100"/>
      <c r="AF351" s="215"/>
      <c r="AG351" s="142"/>
      <c r="AH351" s="215"/>
      <c r="AI351" s="142"/>
      <c r="AJ351" s="215"/>
      <c r="AK351" s="142"/>
      <c r="AL351" s="215"/>
      <c r="AM351" s="142"/>
      <c r="AN351" s="215"/>
      <c r="AO351" s="142"/>
      <c r="AP351" s="99">
        <f>+X351+Z351+AB351+AD351+AF351+AH351+AJ351+AL351+AN351</f>
        <v>186262000</v>
      </c>
      <c r="AQ351" s="100">
        <f>Y351+AA351+AC351+AE351+AG351+AI351+AK351+AM351+AO351</f>
        <v>186262000</v>
      </c>
      <c r="AR351" s="286"/>
      <c r="AS351" s="286"/>
      <c r="AT351" s="192">
        <v>154300000</v>
      </c>
      <c r="AU351" s="192"/>
      <c r="AV351" s="286"/>
      <c r="AW351" s="286"/>
      <c r="AX351" s="286"/>
      <c r="AY351" s="286"/>
      <c r="AZ351" s="286"/>
      <c r="BA351" s="286">
        <f>SUM(AR351:AZ351)</f>
        <v>154300000</v>
      </c>
      <c r="BB351" s="192"/>
      <c r="BC351" s="192"/>
      <c r="BD351" s="192">
        <v>160950000</v>
      </c>
      <c r="BE351" s="192"/>
      <c r="BF351" s="192"/>
      <c r="BG351" s="192"/>
      <c r="BH351" s="192"/>
      <c r="BI351" s="192"/>
      <c r="BJ351" s="192"/>
      <c r="BK351" s="192">
        <f>SUM(BB351:BJ351)</f>
        <v>160950000</v>
      </c>
      <c r="BL351" s="109"/>
      <c r="BM351" s="109"/>
      <c r="BN351" s="109">
        <v>165814000</v>
      </c>
      <c r="BO351" s="109"/>
      <c r="BP351" s="109"/>
      <c r="BQ351" s="109"/>
      <c r="BR351" s="109"/>
      <c r="BS351" s="109"/>
      <c r="BT351" s="109"/>
      <c r="BU351" s="109">
        <f>SUM(BL351:BT351)</f>
        <v>165814000</v>
      </c>
      <c r="BV351" s="103">
        <f t="shared" si="153"/>
        <v>962128000</v>
      </c>
    </row>
    <row r="352" spans="1:74" ht="117" customHeight="1" x14ac:dyDescent="0.2">
      <c r="A352" s="105">
        <v>226</v>
      </c>
      <c r="B352" s="84">
        <v>4</v>
      </c>
      <c r="C352" s="173"/>
      <c r="D352" s="173"/>
      <c r="E352" s="111"/>
      <c r="F352" s="461"/>
      <c r="G352" s="462"/>
      <c r="H352" s="462"/>
      <c r="I352" s="94">
        <v>228</v>
      </c>
      <c r="J352" s="90" t="s">
        <v>775</v>
      </c>
      <c r="K352" s="346" t="s">
        <v>776</v>
      </c>
      <c r="L352" s="90" t="s">
        <v>690</v>
      </c>
      <c r="M352" s="248">
        <v>14</v>
      </c>
      <c r="N352" s="448" t="s">
        <v>44</v>
      </c>
      <c r="O352" s="449">
        <v>2</v>
      </c>
      <c r="P352" s="449">
        <v>2</v>
      </c>
      <c r="Q352" s="248">
        <v>2</v>
      </c>
      <c r="R352" s="117">
        <v>2</v>
      </c>
      <c r="S352" s="117">
        <v>2</v>
      </c>
      <c r="T352" s="117">
        <v>2</v>
      </c>
      <c r="U352" s="406">
        <f>AP352/$AP$349</f>
        <v>6.4399999999999999E-2</v>
      </c>
      <c r="V352" s="95">
        <v>16</v>
      </c>
      <c r="W352" s="210" t="s">
        <v>363</v>
      </c>
      <c r="X352" s="215"/>
      <c r="Y352" s="142"/>
      <c r="Z352" s="215"/>
      <c r="AA352" s="142"/>
      <c r="AB352" s="100">
        <v>29946000</v>
      </c>
      <c r="AC352" s="101">
        <v>29946000</v>
      </c>
      <c r="AD352" s="214"/>
      <c r="AE352" s="100"/>
      <c r="AF352" s="215"/>
      <c r="AG352" s="142"/>
      <c r="AH352" s="215"/>
      <c r="AI352" s="142"/>
      <c r="AJ352" s="215"/>
      <c r="AK352" s="142"/>
      <c r="AL352" s="215"/>
      <c r="AM352" s="142"/>
      <c r="AN352" s="215"/>
      <c r="AO352" s="142"/>
      <c r="AP352" s="99">
        <f>+X352+Z352+AB352+AD352+AF352+AH352+AJ352+AL352+AN352</f>
        <v>29946000</v>
      </c>
      <c r="AQ352" s="100">
        <f>Y352+AA352+AC352+AE352+AG352+AI352+AK352+AM352+AO352</f>
        <v>29946000</v>
      </c>
      <c r="AR352" s="286"/>
      <c r="AS352" s="286"/>
      <c r="AT352" s="192">
        <v>25100000</v>
      </c>
      <c r="AU352" s="192"/>
      <c r="AV352" s="286"/>
      <c r="AW352" s="286"/>
      <c r="AX352" s="286"/>
      <c r="AY352" s="286"/>
      <c r="AZ352" s="286"/>
      <c r="BA352" s="286">
        <f>SUM(AR352:AZ352)</f>
        <v>25100000</v>
      </c>
      <c r="BB352" s="192"/>
      <c r="BC352" s="192"/>
      <c r="BD352" s="192">
        <v>25800000</v>
      </c>
      <c r="BE352" s="192"/>
      <c r="BF352" s="192"/>
      <c r="BG352" s="192"/>
      <c r="BH352" s="192"/>
      <c r="BI352" s="192"/>
      <c r="BJ352" s="192"/>
      <c r="BK352" s="192">
        <f>SUM(BB352:BJ352)</f>
        <v>25800000</v>
      </c>
      <c r="BL352" s="109"/>
      <c r="BM352" s="109"/>
      <c r="BN352" s="109">
        <v>26650000</v>
      </c>
      <c r="BO352" s="109"/>
      <c r="BP352" s="109"/>
      <c r="BQ352" s="109"/>
      <c r="BR352" s="109"/>
      <c r="BS352" s="109"/>
      <c r="BT352" s="109"/>
      <c r="BU352" s="109">
        <f>SUM(BL352:BT352)</f>
        <v>26650000</v>
      </c>
      <c r="BV352" s="103">
        <f t="shared" si="153"/>
        <v>155100000</v>
      </c>
    </row>
    <row r="353" spans="1:74" ht="98.25" customHeight="1" x14ac:dyDescent="0.2">
      <c r="A353" s="84">
        <v>227</v>
      </c>
      <c r="B353" s="84">
        <v>4</v>
      </c>
      <c r="C353" s="173"/>
      <c r="D353" s="173"/>
      <c r="E353" s="111"/>
      <c r="F353" s="461"/>
      <c r="G353" s="462"/>
      <c r="H353" s="462"/>
      <c r="I353" s="94">
        <v>229</v>
      </c>
      <c r="J353" s="90" t="s">
        <v>777</v>
      </c>
      <c r="K353" s="346" t="s">
        <v>778</v>
      </c>
      <c r="L353" s="90" t="s">
        <v>690</v>
      </c>
      <c r="M353" s="248">
        <v>14</v>
      </c>
      <c r="N353" s="448" t="s">
        <v>44</v>
      </c>
      <c r="O353" s="463">
        <v>13</v>
      </c>
      <c r="P353" s="463">
        <v>13</v>
      </c>
      <c r="Q353" s="248">
        <v>13</v>
      </c>
      <c r="R353" s="117">
        <v>13</v>
      </c>
      <c r="S353" s="117">
        <v>13</v>
      </c>
      <c r="T353" s="117">
        <v>13</v>
      </c>
      <c r="U353" s="406">
        <f>AP353/$AP$349</f>
        <v>0.11118279569892472</v>
      </c>
      <c r="V353" s="95">
        <v>16</v>
      </c>
      <c r="W353" s="210" t="s">
        <v>363</v>
      </c>
      <c r="X353" s="215"/>
      <c r="Y353" s="142"/>
      <c r="Z353" s="215"/>
      <c r="AA353" s="142"/>
      <c r="AB353" s="100">
        <v>51700000</v>
      </c>
      <c r="AC353" s="100">
        <v>51700000</v>
      </c>
      <c r="AD353" s="214"/>
      <c r="AE353" s="100"/>
      <c r="AF353" s="215"/>
      <c r="AG353" s="142"/>
      <c r="AH353" s="215"/>
      <c r="AI353" s="142"/>
      <c r="AJ353" s="215"/>
      <c r="AK353" s="142"/>
      <c r="AL353" s="215"/>
      <c r="AM353" s="142"/>
      <c r="AN353" s="215"/>
      <c r="AO353" s="142"/>
      <c r="AP353" s="99">
        <f>+X353+Z353+AB353+AD353+AF353+AH353+AJ353+AL353+AN353</f>
        <v>51700000</v>
      </c>
      <c r="AQ353" s="100">
        <f>Y353+AA353+AC353+AE353+AG353+AI353+AK353+AM353+AO353</f>
        <v>51700000</v>
      </c>
      <c r="AR353" s="286"/>
      <c r="AS353" s="286"/>
      <c r="AT353" s="192">
        <v>47350000</v>
      </c>
      <c r="AU353" s="192"/>
      <c r="AV353" s="286"/>
      <c r="AW353" s="286"/>
      <c r="AX353" s="286"/>
      <c r="AY353" s="286"/>
      <c r="AZ353" s="286"/>
      <c r="BA353" s="286">
        <f>SUM(AR353:AZ353)</f>
        <v>47350000</v>
      </c>
      <c r="BB353" s="192"/>
      <c r="BC353" s="192"/>
      <c r="BD353" s="192">
        <v>44600000</v>
      </c>
      <c r="BE353" s="192"/>
      <c r="BF353" s="192"/>
      <c r="BG353" s="192"/>
      <c r="BH353" s="192"/>
      <c r="BI353" s="192"/>
      <c r="BJ353" s="192"/>
      <c r="BK353" s="192">
        <f>SUM(BB353:BJ353)</f>
        <v>44600000</v>
      </c>
      <c r="BL353" s="109"/>
      <c r="BM353" s="109"/>
      <c r="BN353" s="109">
        <v>46024000</v>
      </c>
      <c r="BO353" s="109"/>
      <c r="BP353" s="109"/>
      <c r="BQ353" s="109"/>
      <c r="BR353" s="109"/>
      <c r="BS353" s="109"/>
      <c r="BT353" s="109"/>
      <c r="BU353" s="109">
        <f>SUM(BL353:BT353)</f>
        <v>46024000</v>
      </c>
      <c r="BV353" s="103">
        <f t="shared" si="153"/>
        <v>275948000</v>
      </c>
    </row>
    <row r="354" spans="1:74" ht="114.75" customHeight="1" x14ac:dyDescent="0.2">
      <c r="A354" s="105">
        <v>228</v>
      </c>
      <c r="B354" s="84">
        <v>4</v>
      </c>
      <c r="C354" s="173"/>
      <c r="D354" s="173"/>
      <c r="E354" s="110"/>
      <c r="F354" s="464"/>
      <c r="G354" s="465"/>
      <c r="H354" s="465"/>
      <c r="I354" s="94">
        <v>230</v>
      </c>
      <c r="J354" s="90" t="s">
        <v>779</v>
      </c>
      <c r="K354" s="346" t="s">
        <v>780</v>
      </c>
      <c r="L354" s="90" t="s">
        <v>690</v>
      </c>
      <c r="M354" s="248">
        <v>14</v>
      </c>
      <c r="N354" s="448" t="s">
        <v>44</v>
      </c>
      <c r="O354" s="449">
        <v>0</v>
      </c>
      <c r="P354" s="463">
        <v>1</v>
      </c>
      <c r="Q354" s="363">
        <v>1</v>
      </c>
      <c r="R354" s="364">
        <v>1</v>
      </c>
      <c r="S354" s="364">
        <v>1</v>
      </c>
      <c r="T354" s="364">
        <v>1</v>
      </c>
      <c r="U354" s="406">
        <f>AP354/$AP$349</f>
        <v>6.1290322580645158E-2</v>
      </c>
      <c r="V354" s="95">
        <v>16</v>
      </c>
      <c r="W354" s="210" t="s">
        <v>363</v>
      </c>
      <c r="X354" s="215"/>
      <c r="Y354" s="142"/>
      <c r="Z354" s="215"/>
      <c r="AA354" s="142"/>
      <c r="AB354" s="100">
        <v>28500000</v>
      </c>
      <c r="AC354" s="101">
        <v>28500000</v>
      </c>
      <c r="AD354" s="214"/>
      <c r="AE354" s="100"/>
      <c r="AF354" s="215"/>
      <c r="AG354" s="142"/>
      <c r="AH354" s="215"/>
      <c r="AI354" s="142"/>
      <c r="AJ354" s="215"/>
      <c r="AK354" s="142"/>
      <c r="AL354" s="215"/>
      <c r="AM354" s="142"/>
      <c r="AN354" s="215"/>
      <c r="AO354" s="142"/>
      <c r="AP354" s="99">
        <f>+X354+Z354+AB354+AD354+AF354+AH354+AJ354+AL354+AN354</f>
        <v>28500000</v>
      </c>
      <c r="AQ354" s="100">
        <f>Y354+AA354+AC354+AE354+AG354+AI354+AK354+AM354+AO354</f>
        <v>28500000</v>
      </c>
      <c r="AR354" s="286"/>
      <c r="AS354" s="286"/>
      <c r="AT354" s="192">
        <v>23039775.75</v>
      </c>
      <c r="AU354" s="192"/>
      <c r="AV354" s="286"/>
      <c r="AW354" s="286"/>
      <c r="AX354" s="286"/>
      <c r="AY354" s="286"/>
      <c r="AZ354" s="286"/>
      <c r="BA354" s="286">
        <f>SUM(AR354:AZ354)</f>
        <v>23039775.75</v>
      </c>
      <c r="BB354" s="192"/>
      <c r="BC354" s="192"/>
      <c r="BD354" s="192">
        <v>24845469.022999998</v>
      </c>
      <c r="BE354" s="192"/>
      <c r="BF354" s="192"/>
      <c r="BG354" s="192"/>
      <c r="BH354" s="192"/>
      <c r="BI354" s="192"/>
      <c r="BJ354" s="192"/>
      <c r="BK354" s="192">
        <f>SUM(BB354:BJ354)</f>
        <v>24845469.022999998</v>
      </c>
      <c r="BL354" s="109"/>
      <c r="BM354" s="109"/>
      <c r="BN354" s="109">
        <v>25381333.09</v>
      </c>
      <c r="BO354" s="109"/>
      <c r="BP354" s="109"/>
      <c r="BQ354" s="109"/>
      <c r="BR354" s="109"/>
      <c r="BS354" s="109"/>
      <c r="BT354" s="109"/>
      <c r="BU354" s="109">
        <f>SUM(BL354:BT354)</f>
        <v>25381333.09</v>
      </c>
      <c r="BV354" s="103">
        <f t="shared" si="153"/>
        <v>146533155.72600001</v>
      </c>
    </row>
    <row r="355" spans="1:74" ht="24.75" customHeight="1" x14ac:dyDescent="0.2">
      <c r="A355" s="105"/>
      <c r="B355" s="84"/>
      <c r="C355" s="173"/>
      <c r="D355" s="173"/>
      <c r="E355" s="71">
        <v>79</v>
      </c>
      <c r="F355" s="72" t="s">
        <v>781</v>
      </c>
      <c r="G355" s="75"/>
      <c r="H355" s="75"/>
      <c r="I355" s="76"/>
      <c r="J355" s="75"/>
      <c r="K355" s="75"/>
      <c r="L355" s="74"/>
      <c r="M355" s="76"/>
      <c r="N355" s="77"/>
      <c r="O355" s="75"/>
      <c r="P355" s="75"/>
      <c r="Q355" s="466"/>
      <c r="R355" s="467"/>
      <c r="S355" s="467"/>
      <c r="T355" s="468"/>
      <c r="U355" s="174"/>
      <c r="V355" s="76"/>
      <c r="W355" s="76"/>
      <c r="X355" s="80">
        <f t="shared" ref="X355:AO355" si="158">SUM(X356:X358)</f>
        <v>0</v>
      </c>
      <c r="Y355" s="80">
        <f t="shared" si="158"/>
        <v>0</v>
      </c>
      <c r="Z355" s="80">
        <f t="shared" si="158"/>
        <v>0</v>
      </c>
      <c r="AA355" s="80">
        <f t="shared" si="158"/>
        <v>0</v>
      </c>
      <c r="AB355" s="80">
        <f t="shared" si="158"/>
        <v>36000000</v>
      </c>
      <c r="AC355" s="80">
        <f t="shared" si="158"/>
        <v>36000000</v>
      </c>
      <c r="AD355" s="80">
        <f t="shared" si="158"/>
        <v>0</v>
      </c>
      <c r="AE355" s="80">
        <f t="shared" si="158"/>
        <v>0</v>
      </c>
      <c r="AF355" s="80">
        <f t="shared" si="158"/>
        <v>0</v>
      </c>
      <c r="AG355" s="80">
        <f t="shared" si="158"/>
        <v>0</v>
      </c>
      <c r="AH355" s="80">
        <f t="shared" si="158"/>
        <v>0</v>
      </c>
      <c r="AI355" s="80">
        <f t="shared" si="158"/>
        <v>0</v>
      </c>
      <c r="AJ355" s="80">
        <f t="shared" si="158"/>
        <v>0</v>
      </c>
      <c r="AK355" s="80">
        <f t="shared" si="158"/>
        <v>0</v>
      </c>
      <c r="AL355" s="80">
        <f t="shared" si="158"/>
        <v>0</v>
      </c>
      <c r="AM355" s="80">
        <f t="shared" si="158"/>
        <v>0</v>
      </c>
      <c r="AN355" s="80">
        <f t="shared" si="158"/>
        <v>0</v>
      </c>
      <c r="AO355" s="80">
        <f t="shared" si="158"/>
        <v>0</v>
      </c>
      <c r="AP355" s="81">
        <f>SUM(AP356:AP358)</f>
        <v>36000000</v>
      </c>
      <c r="AQ355" s="80">
        <f>SUM(AQ356:AQ358)</f>
        <v>36000000</v>
      </c>
      <c r="AR355" s="82"/>
      <c r="AS355" s="82"/>
      <c r="AT355" s="82"/>
      <c r="AU355" s="82"/>
      <c r="AV355" s="82"/>
      <c r="AW355" s="82"/>
      <c r="AX355" s="82"/>
      <c r="AY355" s="82"/>
      <c r="AZ355" s="82"/>
      <c r="BA355" s="82">
        <f>SUM(BA356:BA358)</f>
        <v>37080000</v>
      </c>
      <c r="BB355" s="82"/>
      <c r="BC355" s="82"/>
      <c r="BD355" s="82"/>
      <c r="BE355" s="82"/>
      <c r="BF355" s="82"/>
      <c r="BG355" s="82"/>
      <c r="BH355" s="82"/>
      <c r="BI355" s="82"/>
      <c r="BJ355" s="82"/>
      <c r="BK355" s="82">
        <f>SUM(BK356:BK358)</f>
        <v>38192400</v>
      </c>
      <c r="BL355" s="82"/>
      <c r="BM355" s="82"/>
      <c r="BN355" s="82"/>
      <c r="BO355" s="82"/>
      <c r="BP355" s="82"/>
      <c r="BQ355" s="82"/>
      <c r="BR355" s="82"/>
      <c r="BS355" s="82"/>
      <c r="BT355" s="82"/>
      <c r="BU355" s="82">
        <f>SUM(BU356:BU358)</f>
        <v>39338172</v>
      </c>
      <c r="BV355" s="83">
        <f t="shared" si="153"/>
        <v>114610572</v>
      </c>
    </row>
    <row r="356" spans="1:74" ht="71.25" x14ac:dyDescent="0.2">
      <c r="A356" s="84">
        <v>229</v>
      </c>
      <c r="B356" s="84">
        <v>4</v>
      </c>
      <c r="C356" s="173"/>
      <c r="D356" s="173"/>
      <c r="E356" s="85">
        <v>13</v>
      </c>
      <c r="F356" s="459" t="s">
        <v>527</v>
      </c>
      <c r="G356" s="469">
        <v>0.71040000000000003</v>
      </c>
      <c r="H356" s="469">
        <v>0.88170000000000004</v>
      </c>
      <c r="I356" s="94">
        <v>231</v>
      </c>
      <c r="J356" s="90" t="s">
        <v>782</v>
      </c>
      <c r="K356" s="346" t="s">
        <v>783</v>
      </c>
      <c r="L356" s="90" t="s">
        <v>690</v>
      </c>
      <c r="M356" s="248">
        <v>14</v>
      </c>
      <c r="N356" s="448" t="s">
        <v>44</v>
      </c>
      <c r="O356" s="449">
        <v>1</v>
      </c>
      <c r="P356" s="449">
        <v>1</v>
      </c>
      <c r="Q356" s="248">
        <v>1</v>
      </c>
      <c r="R356" s="117">
        <v>1</v>
      </c>
      <c r="S356" s="117">
        <v>1</v>
      </c>
      <c r="T356" s="117">
        <v>1</v>
      </c>
      <c r="U356" s="388">
        <f>AP356/$AP$355</f>
        <v>8.3333333333333329E-2</v>
      </c>
      <c r="V356" s="95">
        <v>16</v>
      </c>
      <c r="W356" s="210" t="s">
        <v>363</v>
      </c>
      <c r="X356" s="389"/>
      <c r="Y356" s="136"/>
      <c r="Z356" s="389"/>
      <c r="AA356" s="136"/>
      <c r="AB356" s="141">
        <v>3000000</v>
      </c>
      <c r="AC356" s="136">
        <v>3000000</v>
      </c>
      <c r="AD356" s="215"/>
      <c r="AE356" s="142"/>
      <c r="AF356" s="389"/>
      <c r="AG356" s="136"/>
      <c r="AH356" s="389"/>
      <c r="AI356" s="136"/>
      <c r="AJ356" s="389"/>
      <c r="AK356" s="136"/>
      <c r="AL356" s="389"/>
      <c r="AM356" s="136"/>
      <c r="AN356" s="389"/>
      <c r="AO356" s="136"/>
      <c r="AP356" s="99">
        <f>+X356+Z356+AB356+AD356+AF356+AH356+AJ356+AL356+AN356</f>
        <v>3000000</v>
      </c>
      <c r="AQ356" s="100">
        <f>Y356+AA356+AC356+AE356+AG356+AI356+AK356+AM356+AO356</f>
        <v>3000000</v>
      </c>
      <c r="AR356" s="109"/>
      <c r="AS356" s="109"/>
      <c r="AT356" s="192">
        <v>3090000</v>
      </c>
      <c r="AU356" s="109"/>
      <c r="AV356" s="109"/>
      <c r="AW356" s="109"/>
      <c r="AX356" s="109"/>
      <c r="AY356" s="109"/>
      <c r="AZ356" s="109"/>
      <c r="BA356" s="109">
        <f>SUM(AR356:AY356)+AZ356</f>
        <v>3090000</v>
      </c>
      <c r="BB356" s="192"/>
      <c r="BC356" s="192"/>
      <c r="BD356" s="192">
        <v>3180000</v>
      </c>
      <c r="BE356" s="192"/>
      <c r="BF356" s="192"/>
      <c r="BG356" s="192"/>
      <c r="BH356" s="192"/>
      <c r="BI356" s="192"/>
      <c r="BJ356" s="192"/>
      <c r="BK356" s="192">
        <f>SUM(BB356:BJ356)</f>
        <v>3180000</v>
      </c>
      <c r="BL356" s="109"/>
      <c r="BM356" s="109"/>
      <c r="BN356" s="109">
        <v>3300000</v>
      </c>
      <c r="BO356" s="109"/>
      <c r="BP356" s="109"/>
      <c r="BQ356" s="109"/>
      <c r="BR356" s="109"/>
      <c r="BS356" s="109"/>
      <c r="BT356" s="109"/>
      <c r="BU356" s="109">
        <f>SUM(BL356:BT356)</f>
        <v>3300000</v>
      </c>
      <c r="BV356" s="103">
        <f t="shared" si="153"/>
        <v>19140000</v>
      </c>
    </row>
    <row r="357" spans="1:74" ht="119.25" customHeight="1" x14ac:dyDescent="0.2">
      <c r="A357" s="105">
        <v>230</v>
      </c>
      <c r="B357" s="84">
        <v>4</v>
      </c>
      <c r="C357" s="173"/>
      <c r="D357" s="173"/>
      <c r="E357" s="111"/>
      <c r="F357" s="461"/>
      <c r="G357" s="470"/>
      <c r="H357" s="470"/>
      <c r="I357" s="94">
        <v>232</v>
      </c>
      <c r="J357" s="90" t="s">
        <v>784</v>
      </c>
      <c r="K357" s="346" t="s">
        <v>785</v>
      </c>
      <c r="L357" s="90" t="s">
        <v>690</v>
      </c>
      <c r="M357" s="248">
        <v>14</v>
      </c>
      <c r="N357" s="448" t="s">
        <v>44</v>
      </c>
      <c r="O357" s="449">
        <v>12</v>
      </c>
      <c r="P357" s="449">
        <v>12</v>
      </c>
      <c r="Q357" s="248">
        <v>12</v>
      </c>
      <c r="R357" s="117">
        <v>12</v>
      </c>
      <c r="S357" s="117">
        <v>12</v>
      </c>
      <c r="T357" s="117">
        <v>12</v>
      </c>
      <c r="U357" s="388">
        <f>AP357/$AP$355</f>
        <v>0.51111111111111107</v>
      </c>
      <c r="V357" s="95">
        <v>16</v>
      </c>
      <c r="W357" s="210" t="s">
        <v>363</v>
      </c>
      <c r="X357" s="389"/>
      <c r="Y357" s="136"/>
      <c r="Z357" s="389"/>
      <c r="AA357" s="136"/>
      <c r="AB357" s="141">
        <v>18400000</v>
      </c>
      <c r="AC357" s="142">
        <v>18400000</v>
      </c>
      <c r="AD357" s="215"/>
      <c r="AE357" s="142"/>
      <c r="AF357" s="389"/>
      <c r="AG357" s="136"/>
      <c r="AH357" s="389"/>
      <c r="AI357" s="136"/>
      <c r="AJ357" s="389"/>
      <c r="AK357" s="136"/>
      <c r="AL357" s="389"/>
      <c r="AM357" s="136"/>
      <c r="AN357" s="389"/>
      <c r="AO357" s="136"/>
      <c r="AP357" s="99">
        <f>+X357+Z357+AB357+AD357+AF357+AH357+AJ357+AL357+AN357</f>
        <v>18400000</v>
      </c>
      <c r="AQ357" s="100">
        <f>Y357+AA357+AC357+AE357+AG357+AI357+AK357+AM357+AO357</f>
        <v>18400000</v>
      </c>
      <c r="AR357" s="109"/>
      <c r="AS357" s="109"/>
      <c r="AT357" s="192">
        <v>18952000</v>
      </c>
      <c r="AU357" s="109"/>
      <c r="AV357" s="109"/>
      <c r="AW357" s="109"/>
      <c r="AX357" s="109"/>
      <c r="AY357" s="109"/>
      <c r="AZ357" s="109"/>
      <c r="BA357" s="109">
        <f>SUM(AR357:AY357)+AZ357</f>
        <v>18952000</v>
      </c>
      <c r="BB357" s="192"/>
      <c r="BC357" s="192"/>
      <c r="BD357" s="192">
        <v>19520000</v>
      </c>
      <c r="BE357" s="192"/>
      <c r="BF357" s="192"/>
      <c r="BG357" s="192"/>
      <c r="BH357" s="192"/>
      <c r="BI357" s="192"/>
      <c r="BJ357" s="192"/>
      <c r="BK357" s="192">
        <f>SUM(BB357:BJ357)</f>
        <v>19520000</v>
      </c>
      <c r="BL357" s="109"/>
      <c r="BM357" s="109"/>
      <c r="BN357" s="109">
        <v>20100000</v>
      </c>
      <c r="BO357" s="109"/>
      <c r="BP357" s="109"/>
      <c r="BQ357" s="109"/>
      <c r="BR357" s="109"/>
      <c r="BS357" s="109"/>
      <c r="BT357" s="109"/>
      <c r="BU357" s="109">
        <f>SUM(BL357:BT357)</f>
        <v>20100000</v>
      </c>
      <c r="BV357" s="103">
        <f t="shared" si="153"/>
        <v>117144000</v>
      </c>
    </row>
    <row r="358" spans="1:74" ht="117" customHeight="1" x14ac:dyDescent="0.2">
      <c r="A358" s="84">
        <v>231</v>
      </c>
      <c r="B358" s="84">
        <v>4</v>
      </c>
      <c r="C358" s="173"/>
      <c r="D358" s="173"/>
      <c r="E358" s="110"/>
      <c r="F358" s="464"/>
      <c r="G358" s="471"/>
      <c r="H358" s="471"/>
      <c r="I358" s="94">
        <v>233</v>
      </c>
      <c r="J358" s="90" t="s">
        <v>786</v>
      </c>
      <c r="K358" s="346" t="s">
        <v>787</v>
      </c>
      <c r="L358" s="90" t="s">
        <v>690</v>
      </c>
      <c r="M358" s="248">
        <v>14</v>
      </c>
      <c r="N358" s="179" t="s">
        <v>44</v>
      </c>
      <c r="O358" s="449">
        <v>1</v>
      </c>
      <c r="P358" s="449">
        <v>1</v>
      </c>
      <c r="Q358" s="248">
        <v>1</v>
      </c>
      <c r="R358" s="117">
        <v>1</v>
      </c>
      <c r="S358" s="117">
        <v>1</v>
      </c>
      <c r="T358" s="117">
        <v>1</v>
      </c>
      <c r="U358" s="388">
        <f>AP358/$AP$355</f>
        <v>0.40555555555555556</v>
      </c>
      <c r="V358" s="95">
        <v>16</v>
      </c>
      <c r="W358" s="210" t="s">
        <v>363</v>
      </c>
      <c r="X358" s="389"/>
      <c r="Y358" s="136"/>
      <c r="Z358" s="389"/>
      <c r="AA358" s="136"/>
      <c r="AB358" s="141">
        <f>9600000+5000000</f>
        <v>14600000</v>
      </c>
      <c r="AC358" s="142">
        <v>14600000</v>
      </c>
      <c r="AD358" s="215"/>
      <c r="AE358" s="142"/>
      <c r="AF358" s="389"/>
      <c r="AG358" s="136"/>
      <c r="AH358" s="389"/>
      <c r="AI358" s="136"/>
      <c r="AJ358" s="389"/>
      <c r="AK358" s="136"/>
      <c r="AL358" s="389"/>
      <c r="AM358" s="136"/>
      <c r="AN358" s="389"/>
      <c r="AO358" s="136"/>
      <c r="AP358" s="99">
        <f>+X358+Z358+AB358+AD358+AF358+AH358+AJ358+AL358+AN358</f>
        <v>14600000</v>
      </c>
      <c r="AQ358" s="100">
        <f>Y358+AA358+AC358+AE358+AG358+AI358+AK358+AM358+AO358</f>
        <v>14600000</v>
      </c>
      <c r="AR358" s="109"/>
      <c r="AS358" s="109"/>
      <c r="AT358" s="192">
        <v>15038000</v>
      </c>
      <c r="AU358" s="109"/>
      <c r="AV358" s="109"/>
      <c r="AW358" s="109"/>
      <c r="AX358" s="109"/>
      <c r="AY358" s="109"/>
      <c r="AZ358" s="109"/>
      <c r="BA358" s="109">
        <f>SUM(AR358:AY358)+AZ358</f>
        <v>15038000</v>
      </c>
      <c r="BB358" s="192"/>
      <c r="BC358" s="192"/>
      <c r="BD358" s="192">
        <v>15492400</v>
      </c>
      <c r="BE358" s="192"/>
      <c r="BF358" s="192"/>
      <c r="BG358" s="192"/>
      <c r="BH358" s="192"/>
      <c r="BI358" s="192"/>
      <c r="BJ358" s="192"/>
      <c r="BK358" s="192">
        <f>SUM(BB358:BJ358)</f>
        <v>15492400</v>
      </c>
      <c r="BL358" s="109"/>
      <c r="BM358" s="109"/>
      <c r="BN358" s="109">
        <v>15938172</v>
      </c>
      <c r="BO358" s="109"/>
      <c r="BP358" s="109"/>
      <c r="BQ358" s="109"/>
      <c r="BR358" s="109"/>
      <c r="BS358" s="109"/>
      <c r="BT358" s="109"/>
      <c r="BU358" s="109">
        <f>SUM(BL358:BT358)</f>
        <v>15938172</v>
      </c>
      <c r="BV358" s="103">
        <f t="shared" si="153"/>
        <v>92937144</v>
      </c>
    </row>
    <row r="359" spans="1:74" ht="24" customHeight="1" x14ac:dyDescent="0.2">
      <c r="A359" s="84"/>
      <c r="B359" s="84"/>
      <c r="C359" s="173"/>
      <c r="D359" s="173"/>
      <c r="E359" s="71">
        <v>80</v>
      </c>
      <c r="F359" s="72" t="s">
        <v>788</v>
      </c>
      <c r="G359" s="75"/>
      <c r="H359" s="75"/>
      <c r="I359" s="74"/>
      <c r="J359" s="75"/>
      <c r="K359" s="75"/>
      <c r="L359" s="74"/>
      <c r="M359" s="76"/>
      <c r="N359" s="77"/>
      <c r="O359" s="75"/>
      <c r="P359" s="75"/>
      <c r="Q359" s="472"/>
      <c r="R359" s="185"/>
      <c r="S359" s="185"/>
      <c r="T359" s="473"/>
      <c r="U359" s="174"/>
      <c r="V359" s="76"/>
      <c r="W359" s="76"/>
      <c r="X359" s="80">
        <f t="shared" ref="X359:AO359" si="159">SUM(X360:X361)</f>
        <v>0</v>
      </c>
      <c r="Y359" s="80">
        <f t="shared" si="159"/>
        <v>0</v>
      </c>
      <c r="Z359" s="80">
        <f t="shared" si="159"/>
        <v>0</v>
      </c>
      <c r="AA359" s="80">
        <f t="shared" si="159"/>
        <v>0</v>
      </c>
      <c r="AB359" s="80">
        <f t="shared" si="159"/>
        <v>36000000</v>
      </c>
      <c r="AC359" s="80">
        <f t="shared" si="159"/>
        <v>36000000</v>
      </c>
      <c r="AD359" s="80">
        <f t="shared" si="159"/>
        <v>0</v>
      </c>
      <c r="AE359" s="80">
        <f t="shared" si="159"/>
        <v>0</v>
      </c>
      <c r="AF359" s="80">
        <f t="shared" si="159"/>
        <v>0</v>
      </c>
      <c r="AG359" s="80">
        <f t="shared" si="159"/>
        <v>0</v>
      </c>
      <c r="AH359" s="80">
        <f t="shared" si="159"/>
        <v>0</v>
      </c>
      <c r="AI359" s="80">
        <f t="shared" si="159"/>
        <v>0</v>
      </c>
      <c r="AJ359" s="80">
        <f t="shared" si="159"/>
        <v>0</v>
      </c>
      <c r="AK359" s="80">
        <f t="shared" si="159"/>
        <v>0</v>
      </c>
      <c r="AL359" s="80">
        <f t="shared" si="159"/>
        <v>0</v>
      </c>
      <c r="AM359" s="80">
        <f t="shared" si="159"/>
        <v>0</v>
      </c>
      <c r="AN359" s="80">
        <f t="shared" si="159"/>
        <v>0</v>
      </c>
      <c r="AO359" s="80">
        <f t="shared" si="159"/>
        <v>0</v>
      </c>
      <c r="AP359" s="81">
        <f>SUM(AP360:AP361)</f>
        <v>36000000</v>
      </c>
      <c r="AQ359" s="80">
        <f>SUM(AQ360:AQ361)</f>
        <v>36000000</v>
      </c>
      <c r="AR359" s="82"/>
      <c r="AS359" s="82"/>
      <c r="AT359" s="82"/>
      <c r="AU359" s="82"/>
      <c r="AV359" s="82"/>
      <c r="AW359" s="82"/>
      <c r="AX359" s="82"/>
      <c r="AY359" s="82"/>
      <c r="AZ359" s="82"/>
      <c r="BA359" s="82">
        <f>SUM(BA360:BA361)</f>
        <v>37080000</v>
      </c>
      <c r="BB359" s="82"/>
      <c r="BC359" s="82"/>
      <c r="BD359" s="82"/>
      <c r="BE359" s="82"/>
      <c r="BF359" s="82"/>
      <c r="BG359" s="82"/>
      <c r="BH359" s="82"/>
      <c r="BI359" s="82"/>
      <c r="BJ359" s="82"/>
      <c r="BK359" s="82">
        <f>SUM(BK360:BK361)</f>
        <v>38192400</v>
      </c>
      <c r="BL359" s="82"/>
      <c r="BM359" s="82"/>
      <c r="BN359" s="82"/>
      <c r="BO359" s="82"/>
      <c r="BP359" s="82"/>
      <c r="BQ359" s="82"/>
      <c r="BR359" s="82"/>
      <c r="BS359" s="82"/>
      <c r="BT359" s="82"/>
      <c r="BU359" s="82">
        <f>SUM(BU360:BU361)</f>
        <v>39338172</v>
      </c>
      <c r="BV359" s="83">
        <f t="shared" si="153"/>
        <v>114610572</v>
      </c>
    </row>
    <row r="360" spans="1:74" ht="138.75" customHeight="1" x14ac:dyDescent="0.2">
      <c r="A360" s="105">
        <v>232</v>
      </c>
      <c r="B360" s="84">
        <v>4</v>
      </c>
      <c r="C360" s="173"/>
      <c r="D360" s="173"/>
      <c r="E360" s="85">
        <v>13</v>
      </c>
      <c r="F360" s="112" t="s">
        <v>527</v>
      </c>
      <c r="G360" s="469">
        <v>0.71040000000000003</v>
      </c>
      <c r="H360" s="469">
        <v>0.88170000000000004</v>
      </c>
      <c r="I360" s="94">
        <v>234</v>
      </c>
      <c r="J360" s="90" t="s">
        <v>789</v>
      </c>
      <c r="K360" s="346" t="s">
        <v>790</v>
      </c>
      <c r="L360" s="90" t="s">
        <v>690</v>
      </c>
      <c r="M360" s="248">
        <v>14</v>
      </c>
      <c r="N360" s="448" t="s">
        <v>58</v>
      </c>
      <c r="O360" s="449" t="s">
        <v>39</v>
      </c>
      <c r="P360" s="449">
        <v>12</v>
      </c>
      <c r="Q360" s="201">
        <v>1</v>
      </c>
      <c r="R360" s="110">
        <v>7</v>
      </c>
      <c r="S360" s="110">
        <v>2</v>
      </c>
      <c r="T360" s="110">
        <v>2</v>
      </c>
      <c r="U360" s="388">
        <f>AP360/$AP$359</f>
        <v>0.3611111111111111</v>
      </c>
      <c r="V360" s="95">
        <v>16</v>
      </c>
      <c r="W360" s="210" t="s">
        <v>363</v>
      </c>
      <c r="X360" s="389"/>
      <c r="Y360" s="136"/>
      <c r="Z360" s="389"/>
      <c r="AA360" s="136"/>
      <c r="AB360" s="141">
        <f>3000000+10000000</f>
        <v>13000000</v>
      </c>
      <c r="AC360" s="142">
        <v>13000000</v>
      </c>
      <c r="AD360" s="215"/>
      <c r="AE360" s="142"/>
      <c r="AF360" s="389"/>
      <c r="AG360" s="136"/>
      <c r="AH360" s="389"/>
      <c r="AI360" s="136"/>
      <c r="AJ360" s="389"/>
      <c r="AK360" s="136"/>
      <c r="AL360" s="389"/>
      <c r="AM360" s="136"/>
      <c r="AN360" s="389"/>
      <c r="AO360" s="136"/>
      <c r="AP360" s="99">
        <f>+X360+Z360+AB360+AD360+AF360+AH360+AJ360+AL360+AN360</f>
        <v>13000000</v>
      </c>
      <c r="AQ360" s="100">
        <f>Y360+AA360+AC360+AE360+AG360+AI360+AK360+AM360+AO360</f>
        <v>13000000</v>
      </c>
      <c r="AR360" s="109"/>
      <c r="AS360" s="109"/>
      <c r="AT360" s="192">
        <v>13390000</v>
      </c>
      <c r="AU360" s="109"/>
      <c r="AV360" s="109"/>
      <c r="AW360" s="109"/>
      <c r="AX360" s="109"/>
      <c r="AY360" s="109"/>
      <c r="AZ360" s="109"/>
      <c r="BA360" s="109">
        <f>SUM(AR360:AY360)+AZ360</f>
        <v>13390000</v>
      </c>
      <c r="BB360" s="192"/>
      <c r="BC360" s="192"/>
      <c r="BD360" s="192">
        <v>13700000</v>
      </c>
      <c r="BE360" s="192"/>
      <c r="BF360" s="192"/>
      <c r="BG360" s="192"/>
      <c r="BH360" s="192"/>
      <c r="BI360" s="192"/>
      <c r="BJ360" s="192"/>
      <c r="BK360" s="192">
        <f>SUM(BB360:BJ360)</f>
        <v>13700000</v>
      </c>
      <c r="BL360" s="109"/>
      <c r="BM360" s="109"/>
      <c r="BN360" s="109">
        <v>14205000</v>
      </c>
      <c r="BO360" s="109"/>
      <c r="BP360" s="109"/>
      <c r="BQ360" s="109"/>
      <c r="BR360" s="109"/>
      <c r="BS360" s="109"/>
      <c r="BT360" s="109"/>
      <c r="BU360" s="109">
        <f>SUM(BL360:BT360)</f>
        <v>14205000</v>
      </c>
      <c r="BV360" s="103">
        <f t="shared" si="153"/>
        <v>82590000</v>
      </c>
    </row>
    <row r="361" spans="1:74" ht="85.5" x14ac:dyDescent="0.2">
      <c r="A361" s="84">
        <v>233</v>
      </c>
      <c r="B361" s="84">
        <v>4</v>
      </c>
      <c r="C361" s="173"/>
      <c r="D361" s="237"/>
      <c r="E361" s="110"/>
      <c r="F361" s="114"/>
      <c r="G361" s="471"/>
      <c r="H361" s="471"/>
      <c r="I361" s="94">
        <v>235</v>
      </c>
      <c r="J361" s="90" t="s">
        <v>791</v>
      </c>
      <c r="K361" s="346" t="s">
        <v>792</v>
      </c>
      <c r="L361" s="90" t="s">
        <v>690</v>
      </c>
      <c r="M361" s="248">
        <v>14</v>
      </c>
      <c r="N361" s="179" t="s">
        <v>58</v>
      </c>
      <c r="O361" s="449" t="s">
        <v>39</v>
      </c>
      <c r="P361" s="449">
        <v>12</v>
      </c>
      <c r="Q361" s="474">
        <v>1</v>
      </c>
      <c r="R361" s="111">
        <v>7</v>
      </c>
      <c r="S361" s="111">
        <v>2</v>
      </c>
      <c r="T361" s="111">
        <v>2</v>
      </c>
      <c r="U361" s="388">
        <f>AP361/$AP$359</f>
        <v>0.63888888888888884</v>
      </c>
      <c r="V361" s="95">
        <v>16</v>
      </c>
      <c r="W361" s="210" t="s">
        <v>363</v>
      </c>
      <c r="X361" s="389"/>
      <c r="Y361" s="136"/>
      <c r="Z361" s="389"/>
      <c r="AA361" s="136"/>
      <c r="AB361" s="141">
        <f>13000000+10000000</f>
        <v>23000000</v>
      </c>
      <c r="AC361" s="142">
        <v>23000000</v>
      </c>
      <c r="AD361" s="215"/>
      <c r="AE361" s="142"/>
      <c r="AF361" s="389"/>
      <c r="AG361" s="136"/>
      <c r="AH361" s="389"/>
      <c r="AI361" s="136"/>
      <c r="AJ361" s="389"/>
      <c r="AK361" s="136"/>
      <c r="AL361" s="389"/>
      <c r="AM361" s="136"/>
      <c r="AN361" s="389"/>
      <c r="AO361" s="136"/>
      <c r="AP361" s="99">
        <f>+X361+Z361+AB361+AD361+AF361+AH361+AJ361+AL361+AN361</f>
        <v>23000000</v>
      </c>
      <c r="AQ361" s="100">
        <f>Y361+AA361+AC361+AE361+AG361+AI361+AK361+AM361+AO361</f>
        <v>23000000</v>
      </c>
      <c r="AR361" s="109"/>
      <c r="AS361" s="109"/>
      <c r="AT361" s="192">
        <v>23690000</v>
      </c>
      <c r="AU361" s="109"/>
      <c r="AV361" s="109"/>
      <c r="AW361" s="109"/>
      <c r="AX361" s="109"/>
      <c r="AY361" s="109"/>
      <c r="AZ361" s="109"/>
      <c r="BA361" s="109">
        <f>SUM(AR361:AY361)+AZ361</f>
        <v>23690000</v>
      </c>
      <c r="BB361" s="192"/>
      <c r="BC361" s="192"/>
      <c r="BD361" s="192">
        <f>24400700+91700</f>
        <v>24492400</v>
      </c>
      <c r="BE361" s="192"/>
      <c r="BF361" s="192"/>
      <c r="BG361" s="192"/>
      <c r="BH361" s="192"/>
      <c r="BI361" s="192"/>
      <c r="BJ361" s="192"/>
      <c r="BK361" s="192">
        <f>SUM(BB361:BJ361)</f>
        <v>24492400</v>
      </c>
      <c r="BL361" s="109"/>
      <c r="BM361" s="109"/>
      <c r="BN361" s="109">
        <v>25133171.999999996</v>
      </c>
      <c r="BO361" s="109"/>
      <c r="BP361" s="109"/>
      <c r="BQ361" s="109"/>
      <c r="BR361" s="109"/>
      <c r="BS361" s="109"/>
      <c r="BT361" s="109"/>
      <c r="BU361" s="109">
        <f>SUM(BL361:BT361)</f>
        <v>25133171.999999996</v>
      </c>
      <c r="BV361" s="103">
        <f t="shared" si="153"/>
        <v>146631144</v>
      </c>
    </row>
    <row r="362" spans="1:74" ht="24" customHeight="1" x14ac:dyDescent="0.2">
      <c r="A362" s="84"/>
      <c r="B362" s="84"/>
      <c r="C362" s="173"/>
      <c r="D362" s="56">
        <v>25</v>
      </c>
      <c r="E362" s="170" t="s">
        <v>793</v>
      </c>
      <c r="F362" s="61"/>
      <c r="G362" s="58"/>
      <c r="H362" s="59"/>
      <c r="I362" s="60"/>
      <c r="J362" s="61"/>
      <c r="K362" s="61"/>
      <c r="L362" s="62"/>
      <c r="M362" s="60"/>
      <c r="N362" s="63"/>
      <c r="O362" s="61"/>
      <c r="P362" s="61"/>
      <c r="Q362" s="64"/>
      <c r="R362" s="61"/>
      <c r="S362" s="61"/>
      <c r="T362" s="60"/>
      <c r="U362" s="171"/>
      <c r="V362" s="60"/>
      <c r="W362" s="60"/>
      <c r="X362" s="66">
        <f t="shared" ref="X362:AO362" si="160">X363+X369</f>
        <v>0</v>
      </c>
      <c r="Y362" s="66">
        <f t="shared" si="160"/>
        <v>0</v>
      </c>
      <c r="Z362" s="66">
        <f t="shared" si="160"/>
        <v>0</v>
      </c>
      <c r="AA362" s="66">
        <f t="shared" si="160"/>
        <v>0</v>
      </c>
      <c r="AB362" s="66">
        <f t="shared" si="160"/>
        <v>480000000</v>
      </c>
      <c r="AC362" s="66">
        <f t="shared" si="160"/>
        <v>480000000</v>
      </c>
      <c r="AD362" s="66">
        <f t="shared" si="160"/>
        <v>0</v>
      </c>
      <c r="AE362" s="66">
        <f t="shared" si="160"/>
        <v>0</v>
      </c>
      <c r="AF362" s="66">
        <f t="shared" si="160"/>
        <v>0</v>
      </c>
      <c r="AG362" s="66">
        <f t="shared" si="160"/>
        <v>0</v>
      </c>
      <c r="AH362" s="66">
        <f t="shared" si="160"/>
        <v>0</v>
      </c>
      <c r="AI362" s="66">
        <f t="shared" si="160"/>
        <v>0</v>
      </c>
      <c r="AJ362" s="66">
        <f t="shared" si="160"/>
        <v>0</v>
      </c>
      <c r="AK362" s="66">
        <f t="shared" si="160"/>
        <v>0</v>
      </c>
      <c r="AL362" s="66">
        <f t="shared" si="160"/>
        <v>0</v>
      </c>
      <c r="AM362" s="66">
        <f t="shared" si="160"/>
        <v>0</v>
      </c>
      <c r="AN362" s="66">
        <f t="shared" si="160"/>
        <v>0</v>
      </c>
      <c r="AO362" s="66">
        <f t="shared" si="160"/>
        <v>0</v>
      </c>
      <c r="AP362" s="67">
        <f>AP363+AP369</f>
        <v>480000000</v>
      </c>
      <c r="AQ362" s="66">
        <f>AQ363+AQ369</f>
        <v>480000000</v>
      </c>
      <c r="AR362" s="68"/>
      <c r="AS362" s="68"/>
      <c r="AT362" s="68"/>
      <c r="AU362" s="68"/>
      <c r="AV362" s="68"/>
      <c r="AW362" s="68"/>
      <c r="AX362" s="68"/>
      <c r="AY362" s="68"/>
      <c r="AZ362" s="68"/>
      <c r="BA362" s="68">
        <f>BA363+BA369</f>
        <v>490000000</v>
      </c>
      <c r="BB362" s="68"/>
      <c r="BC362" s="68"/>
      <c r="BD362" s="68"/>
      <c r="BE362" s="68"/>
      <c r="BF362" s="68"/>
      <c r="BG362" s="68"/>
      <c r="BH362" s="68"/>
      <c r="BI362" s="68"/>
      <c r="BJ362" s="68"/>
      <c r="BK362" s="68">
        <f>BK363+BK369</f>
        <v>280000000</v>
      </c>
      <c r="BL362" s="68"/>
      <c r="BM362" s="68"/>
      <c r="BN362" s="68"/>
      <c r="BO362" s="68"/>
      <c r="BP362" s="68"/>
      <c r="BQ362" s="68"/>
      <c r="BR362" s="68"/>
      <c r="BS362" s="68"/>
      <c r="BT362" s="68"/>
      <c r="BU362" s="68">
        <f>BU363+BU369</f>
        <v>230000000</v>
      </c>
      <c r="BV362" s="172">
        <f t="shared" si="153"/>
        <v>1000000000</v>
      </c>
    </row>
    <row r="363" spans="1:74" ht="24" customHeight="1" x14ac:dyDescent="0.2">
      <c r="A363" s="84"/>
      <c r="B363" s="84"/>
      <c r="C363" s="173"/>
      <c r="D363" s="169"/>
      <c r="E363" s="71">
        <v>81</v>
      </c>
      <c r="F363" s="72" t="s">
        <v>794</v>
      </c>
      <c r="G363" s="75"/>
      <c r="H363" s="75"/>
      <c r="I363" s="76"/>
      <c r="J363" s="75"/>
      <c r="K363" s="75"/>
      <c r="L363" s="323"/>
      <c r="M363" s="324"/>
      <c r="N363" s="325"/>
      <c r="O363" s="75"/>
      <c r="P363" s="75"/>
      <c r="Q363" s="326"/>
      <c r="R363" s="310"/>
      <c r="S363" s="310"/>
      <c r="T363" s="324"/>
      <c r="U363" s="174"/>
      <c r="V363" s="76"/>
      <c r="W363" s="76"/>
      <c r="X363" s="80">
        <f t="shared" ref="X363:AO363" si="161">SUM(X364:X368)</f>
        <v>0</v>
      </c>
      <c r="Y363" s="80">
        <f t="shared" si="161"/>
        <v>0</v>
      </c>
      <c r="Z363" s="80">
        <f t="shared" si="161"/>
        <v>0</v>
      </c>
      <c r="AA363" s="80">
        <f t="shared" si="161"/>
        <v>0</v>
      </c>
      <c r="AB363" s="80">
        <f t="shared" si="161"/>
        <v>400000000</v>
      </c>
      <c r="AC363" s="80">
        <f t="shared" si="161"/>
        <v>400000000</v>
      </c>
      <c r="AD363" s="80">
        <f t="shared" si="161"/>
        <v>0</v>
      </c>
      <c r="AE363" s="80">
        <f t="shared" si="161"/>
        <v>0</v>
      </c>
      <c r="AF363" s="80">
        <f t="shared" si="161"/>
        <v>0</v>
      </c>
      <c r="AG363" s="80">
        <f t="shared" si="161"/>
        <v>0</v>
      </c>
      <c r="AH363" s="80">
        <f t="shared" si="161"/>
        <v>0</v>
      </c>
      <c r="AI363" s="80">
        <f t="shared" si="161"/>
        <v>0</v>
      </c>
      <c r="AJ363" s="80">
        <f t="shared" si="161"/>
        <v>0</v>
      </c>
      <c r="AK363" s="80">
        <f t="shared" si="161"/>
        <v>0</v>
      </c>
      <c r="AL363" s="80">
        <f t="shared" si="161"/>
        <v>0</v>
      </c>
      <c r="AM363" s="80">
        <f t="shared" si="161"/>
        <v>0</v>
      </c>
      <c r="AN363" s="80">
        <f t="shared" si="161"/>
        <v>0</v>
      </c>
      <c r="AO363" s="80">
        <f t="shared" si="161"/>
        <v>0</v>
      </c>
      <c r="AP363" s="81">
        <f>SUM(AP364:AP368)</f>
        <v>400000000</v>
      </c>
      <c r="AQ363" s="80">
        <f>SUM(AQ364:AQ368)</f>
        <v>400000000</v>
      </c>
      <c r="AR363" s="82"/>
      <c r="AS363" s="82"/>
      <c r="AT363" s="82"/>
      <c r="AU363" s="82"/>
      <c r="AV363" s="82"/>
      <c r="AW363" s="82"/>
      <c r="AX363" s="82"/>
      <c r="AY363" s="82"/>
      <c r="AZ363" s="82"/>
      <c r="BA363" s="82">
        <f>SUM(BA364:BA368)</f>
        <v>400000000</v>
      </c>
      <c r="BB363" s="82"/>
      <c r="BC363" s="82"/>
      <c r="BD363" s="82"/>
      <c r="BE363" s="82"/>
      <c r="BF363" s="82"/>
      <c r="BG363" s="82"/>
      <c r="BH363" s="82"/>
      <c r="BI363" s="82"/>
      <c r="BJ363" s="82"/>
      <c r="BK363" s="82">
        <f>SUM(BK364:BK368)</f>
        <v>200000000</v>
      </c>
      <c r="BL363" s="82"/>
      <c r="BM363" s="82"/>
      <c r="BN363" s="82"/>
      <c r="BO363" s="82"/>
      <c r="BP363" s="82"/>
      <c r="BQ363" s="82"/>
      <c r="BR363" s="82"/>
      <c r="BS363" s="82"/>
      <c r="BT363" s="82"/>
      <c r="BU363" s="82">
        <f>SUM(BU364:BU368)</f>
        <v>150000000</v>
      </c>
      <c r="BV363" s="83">
        <f t="shared" si="153"/>
        <v>750000000</v>
      </c>
    </row>
    <row r="364" spans="1:74" ht="74.25" customHeight="1" x14ac:dyDescent="0.2">
      <c r="A364" s="105">
        <v>234</v>
      </c>
      <c r="B364" s="84">
        <v>4</v>
      </c>
      <c r="C364" s="173"/>
      <c r="D364" s="173"/>
      <c r="E364" s="356">
        <v>38</v>
      </c>
      <c r="F364" s="475" t="s">
        <v>795</v>
      </c>
      <c r="G364" s="85">
        <v>0</v>
      </c>
      <c r="H364" s="85">
        <v>2</v>
      </c>
      <c r="I364" s="94">
        <v>236</v>
      </c>
      <c r="J364" s="90" t="s">
        <v>796</v>
      </c>
      <c r="K364" s="346" t="s">
        <v>797</v>
      </c>
      <c r="L364" s="94" t="s">
        <v>798</v>
      </c>
      <c r="M364" s="248">
        <v>12</v>
      </c>
      <c r="N364" s="117" t="s">
        <v>58</v>
      </c>
      <c r="O364" s="449">
        <v>1</v>
      </c>
      <c r="P364" s="449">
        <v>14</v>
      </c>
      <c r="Q364" s="248">
        <v>4</v>
      </c>
      <c r="R364" s="117">
        <v>7</v>
      </c>
      <c r="S364" s="117">
        <v>2</v>
      </c>
      <c r="T364" s="117">
        <v>1</v>
      </c>
      <c r="U364" s="406">
        <f>AP364/$AP$363</f>
        <v>0.14374999999999999</v>
      </c>
      <c r="V364" s="95">
        <v>11</v>
      </c>
      <c r="W364" s="210" t="s">
        <v>216</v>
      </c>
      <c r="X364" s="215"/>
      <c r="Y364" s="142"/>
      <c r="Z364" s="215"/>
      <c r="AA364" s="142"/>
      <c r="AB364" s="141">
        <v>57500000</v>
      </c>
      <c r="AC364" s="136">
        <v>57500000</v>
      </c>
      <c r="AD364" s="215"/>
      <c r="AE364" s="142"/>
      <c r="AF364" s="215"/>
      <c r="AG364" s="142"/>
      <c r="AH364" s="215"/>
      <c r="AI364" s="142"/>
      <c r="AJ364" s="215"/>
      <c r="AK364" s="142"/>
      <c r="AL364" s="215"/>
      <c r="AM364" s="142"/>
      <c r="AN364" s="215"/>
      <c r="AO364" s="142"/>
      <c r="AP364" s="99">
        <f>+X364+Z364+AB364+AD364+AF364+AH364+AJ364+AL364+AN364</f>
        <v>57500000</v>
      </c>
      <c r="AQ364" s="100">
        <f>Y364+AA364+AC364+AE364+AG364+AI364+AK364+AM364+AO364</f>
        <v>57500000</v>
      </c>
      <c r="AR364" s="109"/>
      <c r="AS364" s="109"/>
      <c r="AT364" s="109">
        <v>57499999.999999993</v>
      </c>
      <c r="AU364" s="109"/>
      <c r="AV364" s="109"/>
      <c r="AW364" s="109"/>
      <c r="AX364" s="109"/>
      <c r="AY364" s="109"/>
      <c r="AZ364" s="109"/>
      <c r="BA364" s="109">
        <f>SUM(AR364:AY364)+AZ364</f>
        <v>57499999.999999993</v>
      </c>
      <c r="BB364" s="109"/>
      <c r="BC364" s="109"/>
      <c r="BD364" s="192">
        <v>28749999.999999996</v>
      </c>
      <c r="BE364" s="109"/>
      <c r="BF364" s="109"/>
      <c r="BG364" s="109"/>
      <c r="BH364" s="109"/>
      <c r="BI364" s="109"/>
      <c r="BJ364" s="109"/>
      <c r="BK364" s="109">
        <f>SUM(BB364:BJ364)</f>
        <v>28749999.999999996</v>
      </c>
      <c r="BL364" s="109"/>
      <c r="BM364" s="109"/>
      <c r="BN364" s="109">
        <v>21500000</v>
      </c>
      <c r="BO364" s="109"/>
      <c r="BP364" s="109"/>
      <c r="BQ364" s="109"/>
      <c r="BR364" s="109"/>
      <c r="BS364" s="109"/>
      <c r="BT364" s="109"/>
      <c r="BU364" s="109">
        <f>SUM(BL364:BT364)</f>
        <v>21500000</v>
      </c>
      <c r="BV364" s="103">
        <f t="shared" si="153"/>
        <v>215499999.99999997</v>
      </c>
    </row>
    <row r="365" spans="1:74" ht="103.5" customHeight="1" x14ac:dyDescent="0.2">
      <c r="A365" s="84">
        <v>235</v>
      </c>
      <c r="B365" s="84">
        <v>4</v>
      </c>
      <c r="C365" s="173"/>
      <c r="D365" s="173"/>
      <c r="E365" s="179"/>
      <c r="F365" s="178"/>
      <c r="G365" s="173"/>
      <c r="H365" s="173"/>
      <c r="I365" s="89">
        <v>237</v>
      </c>
      <c r="J365" s="90" t="s">
        <v>799</v>
      </c>
      <c r="K365" s="346" t="s">
        <v>800</v>
      </c>
      <c r="L365" s="94" t="s">
        <v>798</v>
      </c>
      <c r="M365" s="248">
        <v>12</v>
      </c>
      <c r="N365" s="117" t="s">
        <v>58</v>
      </c>
      <c r="O365" s="449" t="s">
        <v>39</v>
      </c>
      <c r="P365" s="463">
        <v>150</v>
      </c>
      <c r="Q365" s="248">
        <v>50</v>
      </c>
      <c r="R365" s="117">
        <v>70</v>
      </c>
      <c r="S365" s="117">
        <v>20</v>
      </c>
      <c r="T365" s="117">
        <v>10</v>
      </c>
      <c r="U365" s="406">
        <f>AP365/$AP$363</f>
        <v>0.1605</v>
      </c>
      <c r="V365" s="95">
        <v>4</v>
      </c>
      <c r="W365" s="210" t="s">
        <v>100</v>
      </c>
      <c r="X365" s="215"/>
      <c r="Y365" s="142"/>
      <c r="Z365" s="215"/>
      <c r="AA365" s="142"/>
      <c r="AB365" s="141">
        <f>49000000+15200000</f>
        <v>64200000</v>
      </c>
      <c r="AC365" s="142">
        <v>64200000</v>
      </c>
      <c r="AD365" s="215"/>
      <c r="AE365" s="142"/>
      <c r="AF365" s="215"/>
      <c r="AG365" s="142"/>
      <c r="AH365" s="215"/>
      <c r="AI365" s="142"/>
      <c r="AJ365" s="215"/>
      <c r="AK365" s="142"/>
      <c r="AL365" s="215"/>
      <c r="AM365" s="142"/>
      <c r="AN365" s="215"/>
      <c r="AO365" s="142"/>
      <c r="AP365" s="99">
        <f>+X365+Z365+AB365+AD365+AF365+AH365+AJ365+AL365+AN365</f>
        <v>64200000</v>
      </c>
      <c r="AQ365" s="100">
        <f>Y365+AA365+AC365+AE365+AG365+AI365+AK365+AM365+AO365</f>
        <v>64200000</v>
      </c>
      <c r="AR365" s="109"/>
      <c r="AS365" s="109"/>
      <c r="AT365" s="109">
        <v>64200000</v>
      </c>
      <c r="AU365" s="109"/>
      <c r="AV365" s="109"/>
      <c r="AW365" s="109"/>
      <c r="AX365" s="109"/>
      <c r="AY365" s="109"/>
      <c r="AZ365" s="109"/>
      <c r="BA365" s="109">
        <f>SUM(AR365:AY365)+AZ365</f>
        <v>64200000</v>
      </c>
      <c r="BB365" s="109"/>
      <c r="BC365" s="109"/>
      <c r="BD365" s="192">
        <v>32100000</v>
      </c>
      <c r="BE365" s="109"/>
      <c r="BF365" s="109"/>
      <c r="BG365" s="109"/>
      <c r="BH365" s="109"/>
      <c r="BI365" s="109"/>
      <c r="BJ365" s="109"/>
      <c r="BK365" s="109">
        <f>SUM(BB365:BJ365)</f>
        <v>32100000</v>
      </c>
      <c r="BL365" s="109"/>
      <c r="BM365" s="109"/>
      <c r="BN365" s="109">
        <v>24000000</v>
      </c>
      <c r="BO365" s="109"/>
      <c r="BP365" s="109"/>
      <c r="BQ365" s="109"/>
      <c r="BR365" s="109"/>
      <c r="BS365" s="109"/>
      <c r="BT365" s="109"/>
      <c r="BU365" s="109">
        <f>SUM(BL365:BT365)</f>
        <v>24000000</v>
      </c>
      <c r="BV365" s="103">
        <f t="shared" si="153"/>
        <v>240600000</v>
      </c>
    </row>
    <row r="366" spans="1:74" ht="114" x14ac:dyDescent="0.2">
      <c r="A366" s="105">
        <v>236</v>
      </c>
      <c r="B366" s="84">
        <v>4</v>
      </c>
      <c r="C366" s="173"/>
      <c r="D366" s="173"/>
      <c r="E366" s="179"/>
      <c r="F366" s="178"/>
      <c r="G366" s="173"/>
      <c r="H366" s="173"/>
      <c r="I366" s="89">
        <v>238</v>
      </c>
      <c r="J366" s="90" t="s">
        <v>801</v>
      </c>
      <c r="K366" s="346" t="s">
        <v>802</v>
      </c>
      <c r="L366" s="94" t="s">
        <v>798</v>
      </c>
      <c r="M366" s="248">
        <v>12</v>
      </c>
      <c r="N366" s="117" t="s">
        <v>44</v>
      </c>
      <c r="O366" s="449" t="s">
        <v>39</v>
      </c>
      <c r="P366" s="449">
        <v>12</v>
      </c>
      <c r="Q366" s="248">
        <v>12</v>
      </c>
      <c r="R366" s="117">
        <v>12</v>
      </c>
      <c r="S366" s="117">
        <v>12</v>
      </c>
      <c r="T366" s="117">
        <v>12</v>
      </c>
      <c r="U366" s="406">
        <f>AP366/$AP$363</f>
        <v>0.24399999999999999</v>
      </c>
      <c r="V366" s="95">
        <v>11</v>
      </c>
      <c r="W366" s="210" t="s">
        <v>216</v>
      </c>
      <c r="X366" s="215"/>
      <c r="Y366" s="142"/>
      <c r="Z366" s="215"/>
      <c r="AA366" s="142"/>
      <c r="AB366" s="141">
        <f>67600000+30000000</f>
        <v>97600000</v>
      </c>
      <c r="AC366" s="142">
        <v>97600000</v>
      </c>
      <c r="AD366" s="215"/>
      <c r="AE366" s="142"/>
      <c r="AF366" s="215"/>
      <c r="AG366" s="142"/>
      <c r="AH366" s="215"/>
      <c r="AI366" s="142"/>
      <c r="AJ366" s="215"/>
      <c r="AK366" s="142"/>
      <c r="AL366" s="215"/>
      <c r="AM366" s="142"/>
      <c r="AN366" s="215"/>
      <c r="AO366" s="142"/>
      <c r="AP366" s="99">
        <f>+X366+Z366+AB366+AD366+AF366+AH366+AJ366+AL366+AN366</f>
        <v>97600000</v>
      </c>
      <c r="AQ366" s="100">
        <f>Y366+AA366+AC366+AE366+AG366+AI366+AK366+AM366+AO366</f>
        <v>97600000</v>
      </c>
      <c r="AR366" s="109"/>
      <c r="AS366" s="109"/>
      <c r="AT366" s="109">
        <v>97600000</v>
      </c>
      <c r="AU366" s="109"/>
      <c r="AV366" s="109"/>
      <c r="AW366" s="109"/>
      <c r="AX366" s="109"/>
      <c r="AY366" s="109"/>
      <c r="AZ366" s="109"/>
      <c r="BA366" s="109">
        <f>SUM(AR366:AY366)+AZ366</f>
        <v>97600000</v>
      </c>
      <c r="BB366" s="109"/>
      <c r="BC366" s="109"/>
      <c r="BD366" s="192">
        <v>48800000</v>
      </c>
      <c r="BE366" s="109"/>
      <c r="BF366" s="109"/>
      <c r="BG366" s="109"/>
      <c r="BH366" s="109"/>
      <c r="BI366" s="109"/>
      <c r="BJ366" s="109"/>
      <c r="BK366" s="109">
        <f>SUM(BB366:BJ366)</f>
        <v>48800000</v>
      </c>
      <c r="BL366" s="109"/>
      <c r="BM366" s="109"/>
      <c r="BN366" s="109">
        <v>36600000</v>
      </c>
      <c r="BO366" s="109"/>
      <c r="BP366" s="109"/>
      <c r="BQ366" s="109"/>
      <c r="BR366" s="109"/>
      <c r="BS366" s="109"/>
      <c r="BT366" s="109"/>
      <c r="BU366" s="109">
        <f>SUM(BL366:BT366)</f>
        <v>36600000</v>
      </c>
      <c r="BV366" s="103">
        <f t="shared" si="153"/>
        <v>366000000</v>
      </c>
    </row>
    <row r="367" spans="1:74" ht="67.5" customHeight="1" x14ac:dyDescent="0.2">
      <c r="A367" s="84">
        <v>237</v>
      </c>
      <c r="B367" s="84">
        <v>4</v>
      </c>
      <c r="C367" s="173"/>
      <c r="D367" s="173"/>
      <c r="E367" s="179"/>
      <c r="F367" s="178"/>
      <c r="G367" s="173"/>
      <c r="H367" s="173"/>
      <c r="I367" s="89">
        <v>239</v>
      </c>
      <c r="J367" s="90" t="s">
        <v>803</v>
      </c>
      <c r="K367" s="346" t="s">
        <v>804</v>
      </c>
      <c r="L367" s="94" t="s">
        <v>798</v>
      </c>
      <c r="M367" s="248">
        <v>12</v>
      </c>
      <c r="N367" s="117" t="s">
        <v>58</v>
      </c>
      <c r="O367" s="449" t="s">
        <v>39</v>
      </c>
      <c r="P367" s="449">
        <v>10</v>
      </c>
      <c r="Q367" s="248">
        <v>1</v>
      </c>
      <c r="R367" s="117">
        <v>6</v>
      </c>
      <c r="S367" s="117">
        <v>2</v>
      </c>
      <c r="T367" s="117">
        <v>1</v>
      </c>
      <c r="U367" s="406">
        <f>AP367/$AP$363</f>
        <v>0.15007000000000001</v>
      </c>
      <c r="V367" s="95">
        <v>11</v>
      </c>
      <c r="W367" s="210" t="s">
        <v>216</v>
      </c>
      <c r="X367" s="215"/>
      <c r="Y367" s="142"/>
      <c r="Z367" s="215"/>
      <c r="AA367" s="142"/>
      <c r="AB367" s="141">
        <v>60028000</v>
      </c>
      <c r="AC367" s="136">
        <v>60028000</v>
      </c>
      <c r="AD367" s="215"/>
      <c r="AE367" s="142"/>
      <c r="AF367" s="215"/>
      <c r="AG367" s="142"/>
      <c r="AH367" s="215"/>
      <c r="AI367" s="142"/>
      <c r="AJ367" s="215"/>
      <c r="AK367" s="142"/>
      <c r="AL367" s="215"/>
      <c r="AM367" s="142"/>
      <c r="AN367" s="215"/>
      <c r="AO367" s="142"/>
      <c r="AP367" s="99">
        <f>+X367+Z367+AB367+AD367+AF367+AH367+AJ367+AL367+AN367</f>
        <v>60028000</v>
      </c>
      <c r="AQ367" s="100">
        <f>Y367+AA367+AC367+AE367+AG367+AI367+AK367+AM367+AO367</f>
        <v>60028000</v>
      </c>
      <c r="AR367" s="109"/>
      <c r="AS367" s="109"/>
      <c r="AT367" s="109">
        <v>60028000</v>
      </c>
      <c r="AU367" s="109"/>
      <c r="AV367" s="109"/>
      <c r="AW367" s="109"/>
      <c r="AX367" s="109"/>
      <c r="AY367" s="109"/>
      <c r="AZ367" s="109"/>
      <c r="BA367" s="109">
        <f>SUM(AR367:AY367)+AZ367</f>
        <v>60028000</v>
      </c>
      <c r="BB367" s="109"/>
      <c r="BC367" s="109"/>
      <c r="BD367" s="192">
        <v>30014000</v>
      </c>
      <c r="BE367" s="109"/>
      <c r="BF367" s="109"/>
      <c r="BG367" s="109"/>
      <c r="BH367" s="109"/>
      <c r="BI367" s="109"/>
      <c r="BJ367" s="109"/>
      <c r="BK367" s="109">
        <f>SUM(BB367:BJ367)</f>
        <v>30014000</v>
      </c>
      <c r="BL367" s="109"/>
      <c r="BM367" s="109"/>
      <c r="BN367" s="109">
        <v>22600000</v>
      </c>
      <c r="BO367" s="109"/>
      <c r="BP367" s="109"/>
      <c r="BQ367" s="109"/>
      <c r="BR367" s="109"/>
      <c r="BS367" s="109"/>
      <c r="BT367" s="109"/>
      <c r="BU367" s="109">
        <f>SUM(BL367:BT367)</f>
        <v>22600000</v>
      </c>
      <c r="BV367" s="103">
        <f t="shared" ref="BV367:BV398" si="162">SUM(AR367:BU367)</f>
        <v>225284000</v>
      </c>
    </row>
    <row r="368" spans="1:74" ht="123.75" customHeight="1" x14ac:dyDescent="0.2">
      <c r="A368" s="105">
        <v>238</v>
      </c>
      <c r="B368" s="84">
        <v>4</v>
      </c>
      <c r="C368" s="173"/>
      <c r="D368" s="173"/>
      <c r="E368" s="448"/>
      <c r="F368" s="341"/>
      <c r="G368" s="173"/>
      <c r="H368" s="173"/>
      <c r="I368" s="89">
        <v>240</v>
      </c>
      <c r="J368" s="90" t="s">
        <v>805</v>
      </c>
      <c r="K368" s="476" t="s">
        <v>806</v>
      </c>
      <c r="L368" s="94" t="s">
        <v>798</v>
      </c>
      <c r="M368" s="248">
        <v>12</v>
      </c>
      <c r="N368" s="117" t="s">
        <v>44</v>
      </c>
      <c r="O368" s="449">
        <v>1</v>
      </c>
      <c r="P368" s="449">
        <v>1</v>
      </c>
      <c r="Q368" s="248">
        <v>1</v>
      </c>
      <c r="R368" s="117">
        <v>1</v>
      </c>
      <c r="S368" s="117">
        <v>1</v>
      </c>
      <c r="T368" s="117">
        <v>1</v>
      </c>
      <c r="U368" s="406">
        <f>AP368/$AP$363</f>
        <v>0.30168</v>
      </c>
      <c r="V368" s="95">
        <v>11</v>
      </c>
      <c r="W368" s="210" t="s">
        <v>216</v>
      </c>
      <c r="X368" s="215"/>
      <c r="Y368" s="142"/>
      <c r="Z368" s="215"/>
      <c r="AA368" s="142"/>
      <c r="AB368" s="141">
        <f>80800000+39872000</f>
        <v>120672000</v>
      </c>
      <c r="AC368" s="142">
        <v>120672000</v>
      </c>
      <c r="AD368" s="215"/>
      <c r="AE368" s="142"/>
      <c r="AF368" s="215"/>
      <c r="AG368" s="142"/>
      <c r="AH368" s="215"/>
      <c r="AI368" s="142"/>
      <c r="AJ368" s="215"/>
      <c r="AK368" s="142"/>
      <c r="AL368" s="215"/>
      <c r="AM368" s="142"/>
      <c r="AN368" s="215"/>
      <c r="AO368" s="142"/>
      <c r="AP368" s="99">
        <f>+X368+Z368+AB368+AD368+AF368+AH368+AJ368+AL368+AN368</f>
        <v>120672000</v>
      </c>
      <c r="AQ368" s="100">
        <f>Y368+AA368+AC368+AE368+AG368+AI368+AK368+AM368+AO368</f>
        <v>120672000</v>
      </c>
      <c r="AR368" s="109"/>
      <c r="AS368" s="109"/>
      <c r="AT368" s="109">
        <v>120672000</v>
      </c>
      <c r="AU368" s="109"/>
      <c r="AV368" s="109"/>
      <c r="AW368" s="109"/>
      <c r="AX368" s="109"/>
      <c r="AY368" s="109"/>
      <c r="AZ368" s="109"/>
      <c r="BA368" s="109">
        <f>SUM(AR368:AY368)+AZ368</f>
        <v>120672000</v>
      </c>
      <c r="BB368" s="109"/>
      <c r="BC368" s="109"/>
      <c r="BD368" s="192">
        <v>60336000</v>
      </c>
      <c r="BE368" s="109"/>
      <c r="BF368" s="109"/>
      <c r="BG368" s="109"/>
      <c r="BH368" s="109"/>
      <c r="BI368" s="109"/>
      <c r="BJ368" s="109"/>
      <c r="BK368" s="109">
        <f>SUM(BB368:BJ368)</f>
        <v>60336000</v>
      </c>
      <c r="BL368" s="109"/>
      <c r="BM368" s="109"/>
      <c r="BN368" s="109">
        <v>45300000</v>
      </c>
      <c r="BO368" s="109"/>
      <c r="BP368" s="109"/>
      <c r="BQ368" s="109"/>
      <c r="BR368" s="109"/>
      <c r="BS368" s="109"/>
      <c r="BT368" s="109"/>
      <c r="BU368" s="109">
        <f>SUM(BL368:BT368)</f>
        <v>45300000</v>
      </c>
      <c r="BV368" s="103">
        <f t="shared" si="162"/>
        <v>452616000</v>
      </c>
    </row>
    <row r="369" spans="1:74" ht="24.75" customHeight="1" x14ac:dyDescent="0.2">
      <c r="A369" s="105"/>
      <c r="B369" s="84"/>
      <c r="C369" s="173"/>
      <c r="D369" s="173"/>
      <c r="E369" s="71">
        <v>82</v>
      </c>
      <c r="F369" s="451" t="s">
        <v>807</v>
      </c>
      <c r="G369" s="185"/>
      <c r="H369" s="185"/>
      <c r="I369" s="76"/>
      <c r="J369" s="72"/>
      <c r="K369" s="75"/>
      <c r="L369" s="220"/>
      <c r="M369" s="473"/>
      <c r="N369" s="477"/>
      <c r="O369" s="75"/>
      <c r="P369" s="75"/>
      <c r="Q369" s="472"/>
      <c r="R369" s="185"/>
      <c r="S369" s="185"/>
      <c r="T369" s="473"/>
      <c r="U369" s="174"/>
      <c r="V369" s="76"/>
      <c r="W369" s="76"/>
      <c r="X369" s="80">
        <f t="shared" ref="X369:AO369" si="163">SUM(X370:X371)</f>
        <v>0</v>
      </c>
      <c r="Y369" s="80">
        <f t="shared" si="163"/>
        <v>0</v>
      </c>
      <c r="Z369" s="80">
        <f t="shared" si="163"/>
        <v>0</v>
      </c>
      <c r="AA369" s="80">
        <f t="shared" si="163"/>
        <v>0</v>
      </c>
      <c r="AB369" s="80">
        <f t="shared" si="163"/>
        <v>80000000</v>
      </c>
      <c r="AC369" s="80">
        <f t="shared" si="163"/>
        <v>80000000</v>
      </c>
      <c r="AD369" s="80">
        <f t="shared" si="163"/>
        <v>0</v>
      </c>
      <c r="AE369" s="80">
        <f t="shared" si="163"/>
        <v>0</v>
      </c>
      <c r="AF369" s="80">
        <f t="shared" si="163"/>
        <v>0</v>
      </c>
      <c r="AG369" s="80">
        <f t="shared" si="163"/>
        <v>0</v>
      </c>
      <c r="AH369" s="80">
        <f t="shared" si="163"/>
        <v>0</v>
      </c>
      <c r="AI369" s="80">
        <f t="shared" si="163"/>
        <v>0</v>
      </c>
      <c r="AJ369" s="80">
        <f t="shared" si="163"/>
        <v>0</v>
      </c>
      <c r="AK369" s="80">
        <f t="shared" si="163"/>
        <v>0</v>
      </c>
      <c r="AL369" s="80">
        <f t="shared" si="163"/>
        <v>0</v>
      </c>
      <c r="AM369" s="80">
        <f t="shared" si="163"/>
        <v>0</v>
      </c>
      <c r="AN369" s="80">
        <f t="shared" si="163"/>
        <v>0</v>
      </c>
      <c r="AO369" s="80">
        <f t="shared" si="163"/>
        <v>0</v>
      </c>
      <c r="AP369" s="81">
        <f>SUM(AP370:AP371)</f>
        <v>80000000</v>
      </c>
      <c r="AQ369" s="80">
        <f>SUM(AQ370:AQ371)</f>
        <v>80000000</v>
      </c>
      <c r="AR369" s="82"/>
      <c r="AS369" s="82"/>
      <c r="AT369" s="82"/>
      <c r="AU369" s="82"/>
      <c r="AV369" s="82"/>
      <c r="AW369" s="82"/>
      <c r="AX369" s="82"/>
      <c r="AY369" s="82"/>
      <c r="AZ369" s="82"/>
      <c r="BA369" s="82">
        <f>SUM(BA370:BA371)</f>
        <v>90000000</v>
      </c>
      <c r="BB369" s="82"/>
      <c r="BC369" s="82"/>
      <c r="BD369" s="82"/>
      <c r="BE369" s="82"/>
      <c r="BF369" s="82"/>
      <c r="BG369" s="82"/>
      <c r="BH369" s="82"/>
      <c r="BI369" s="82"/>
      <c r="BJ369" s="82"/>
      <c r="BK369" s="82">
        <f>SUM(BK370:BK371)</f>
        <v>80000000</v>
      </c>
      <c r="BL369" s="82"/>
      <c r="BM369" s="82"/>
      <c r="BN369" s="82"/>
      <c r="BO369" s="82"/>
      <c r="BP369" s="82"/>
      <c r="BQ369" s="82"/>
      <c r="BR369" s="82"/>
      <c r="BS369" s="82"/>
      <c r="BT369" s="82"/>
      <c r="BU369" s="82">
        <f>SUM(BU370:BU371)</f>
        <v>80000000</v>
      </c>
      <c r="BV369" s="83">
        <f t="shared" si="162"/>
        <v>250000000</v>
      </c>
    </row>
    <row r="370" spans="1:74" ht="121.5" customHeight="1" x14ac:dyDescent="0.2">
      <c r="A370" s="84">
        <v>239</v>
      </c>
      <c r="B370" s="84">
        <v>4</v>
      </c>
      <c r="C370" s="173"/>
      <c r="D370" s="173"/>
      <c r="E370" s="87">
        <v>38</v>
      </c>
      <c r="F370" s="475" t="s">
        <v>795</v>
      </c>
      <c r="G370" s="85">
        <v>0</v>
      </c>
      <c r="H370" s="85">
        <v>2</v>
      </c>
      <c r="I370" s="94">
        <v>241</v>
      </c>
      <c r="J370" s="90" t="s">
        <v>808</v>
      </c>
      <c r="K370" s="346" t="s">
        <v>809</v>
      </c>
      <c r="L370" s="94" t="s">
        <v>798</v>
      </c>
      <c r="M370" s="248">
        <v>12</v>
      </c>
      <c r="N370" s="117" t="s">
        <v>44</v>
      </c>
      <c r="O370" s="449">
        <v>1</v>
      </c>
      <c r="P370" s="449">
        <v>1</v>
      </c>
      <c r="Q370" s="474">
        <v>1</v>
      </c>
      <c r="R370" s="111">
        <v>1</v>
      </c>
      <c r="S370" s="111">
        <v>1</v>
      </c>
      <c r="T370" s="111">
        <v>1</v>
      </c>
      <c r="U370" s="411">
        <f>AP370/AP369</f>
        <v>0.5625</v>
      </c>
      <c r="V370" s="95">
        <v>11</v>
      </c>
      <c r="W370" s="92" t="s">
        <v>216</v>
      </c>
      <c r="X370" s="141"/>
      <c r="Y370" s="142"/>
      <c r="Z370" s="141"/>
      <c r="AA370" s="142"/>
      <c r="AB370" s="141">
        <v>45000000</v>
      </c>
      <c r="AC370" s="136">
        <v>45000000</v>
      </c>
      <c r="AD370" s="141"/>
      <c r="AE370" s="142"/>
      <c r="AF370" s="141"/>
      <c r="AG370" s="142"/>
      <c r="AH370" s="141"/>
      <c r="AI370" s="142"/>
      <c r="AJ370" s="141"/>
      <c r="AK370" s="142"/>
      <c r="AL370" s="141"/>
      <c r="AM370" s="142"/>
      <c r="AN370" s="141"/>
      <c r="AO370" s="142"/>
      <c r="AP370" s="99">
        <f>+X370+Z370+AB370+AD370+AF370+AH370+AJ370+AL370+AN370</f>
        <v>45000000</v>
      </c>
      <c r="AQ370" s="100">
        <f>Y370+AA370+AC370+AE370+AG370+AI370+AK370+AM370+AO370</f>
        <v>45000000</v>
      </c>
      <c r="AR370" s="109"/>
      <c r="AS370" s="109"/>
      <c r="AT370" s="192">
        <v>50625000</v>
      </c>
      <c r="AU370" s="109"/>
      <c r="AV370" s="109"/>
      <c r="AW370" s="109"/>
      <c r="AX370" s="109"/>
      <c r="AY370" s="109"/>
      <c r="AZ370" s="109"/>
      <c r="BA370" s="109">
        <f>SUM(AR370:AY370)+AZ370</f>
        <v>50625000</v>
      </c>
      <c r="BB370" s="109"/>
      <c r="BC370" s="109"/>
      <c r="BD370" s="109">
        <v>45000000</v>
      </c>
      <c r="BE370" s="109"/>
      <c r="BF370" s="109"/>
      <c r="BG370" s="109"/>
      <c r="BH370" s="109"/>
      <c r="BI370" s="109"/>
      <c r="BJ370" s="109"/>
      <c r="BK370" s="109">
        <f>SUM(BB370:BJ370)</f>
        <v>45000000</v>
      </c>
      <c r="BL370" s="109"/>
      <c r="BM370" s="109"/>
      <c r="BN370" s="109">
        <v>45000000</v>
      </c>
      <c r="BO370" s="109"/>
      <c r="BP370" s="109"/>
      <c r="BQ370" s="109"/>
      <c r="BR370" s="109"/>
      <c r="BS370" s="109"/>
      <c r="BT370" s="109"/>
      <c r="BU370" s="109">
        <f>SUM(BL370:BT370)</f>
        <v>45000000</v>
      </c>
      <c r="BV370" s="103">
        <f t="shared" si="162"/>
        <v>281250000</v>
      </c>
    </row>
    <row r="371" spans="1:74" ht="84.75" customHeight="1" x14ac:dyDescent="0.2">
      <c r="A371" s="84">
        <v>240</v>
      </c>
      <c r="B371" s="84">
        <v>4</v>
      </c>
      <c r="C371" s="237"/>
      <c r="D371" s="237"/>
      <c r="E371" s="210"/>
      <c r="F371" s="178"/>
      <c r="G371" s="178"/>
      <c r="H371" s="178"/>
      <c r="I371" s="94">
        <v>242</v>
      </c>
      <c r="J371" s="90" t="s">
        <v>810</v>
      </c>
      <c r="K371" s="86" t="s">
        <v>811</v>
      </c>
      <c r="L371" s="94" t="s">
        <v>798</v>
      </c>
      <c r="M371" s="248">
        <v>12</v>
      </c>
      <c r="N371" s="117" t="s">
        <v>44</v>
      </c>
      <c r="O371" s="449">
        <v>1</v>
      </c>
      <c r="P371" s="449">
        <v>1</v>
      </c>
      <c r="Q371" s="312">
        <v>1</v>
      </c>
      <c r="R371" s="85">
        <v>1</v>
      </c>
      <c r="S371" s="85">
        <v>1</v>
      </c>
      <c r="T371" s="85">
        <v>1</v>
      </c>
      <c r="U371" s="411">
        <f>AP371/AP369</f>
        <v>0.4375</v>
      </c>
      <c r="V371" s="95">
        <v>11</v>
      </c>
      <c r="W371" s="92" t="s">
        <v>216</v>
      </c>
      <c r="X371" s="141"/>
      <c r="Y371" s="142"/>
      <c r="Z371" s="141"/>
      <c r="AA371" s="142"/>
      <c r="AB371" s="141">
        <v>35000000</v>
      </c>
      <c r="AC371" s="136">
        <v>35000000</v>
      </c>
      <c r="AD371" s="141"/>
      <c r="AE371" s="142"/>
      <c r="AF371" s="141"/>
      <c r="AG371" s="142"/>
      <c r="AH371" s="141"/>
      <c r="AI371" s="142"/>
      <c r="AJ371" s="141"/>
      <c r="AK371" s="142"/>
      <c r="AL371" s="141"/>
      <c r="AM371" s="142"/>
      <c r="AN371" s="141"/>
      <c r="AO371" s="142"/>
      <c r="AP371" s="99">
        <f>+X371+Z371+AB371+AD371+AF371+AH371+AJ371+AL371+AN371</f>
        <v>35000000</v>
      </c>
      <c r="AQ371" s="100">
        <f>Y371+AA371+AC371+AE371+AG371+AI371+AK371+AM371+AO371</f>
        <v>35000000</v>
      </c>
      <c r="AR371" s="109"/>
      <c r="AS371" s="109"/>
      <c r="AT371" s="192">
        <v>39375000</v>
      </c>
      <c r="AU371" s="109"/>
      <c r="AV371" s="109"/>
      <c r="AW371" s="109"/>
      <c r="AX371" s="109"/>
      <c r="AY371" s="109"/>
      <c r="AZ371" s="109"/>
      <c r="BA371" s="109">
        <f>SUM(AR371:AY371)+AZ371</f>
        <v>39375000</v>
      </c>
      <c r="BB371" s="109"/>
      <c r="BC371" s="109"/>
      <c r="BD371" s="109">
        <v>35000000</v>
      </c>
      <c r="BE371" s="109"/>
      <c r="BF371" s="109"/>
      <c r="BG371" s="109"/>
      <c r="BH371" s="109"/>
      <c r="BI371" s="109"/>
      <c r="BJ371" s="109"/>
      <c r="BK371" s="109">
        <f>SUM(BB371:BJ371)</f>
        <v>35000000</v>
      </c>
      <c r="BL371" s="109"/>
      <c r="BM371" s="109"/>
      <c r="BN371" s="109">
        <v>35000000</v>
      </c>
      <c r="BO371" s="109"/>
      <c r="BP371" s="109"/>
      <c r="BQ371" s="109"/>
      <c r="BR371" s="109"/>
      <c r="BS371" s="109"/>
      <c r="BT371" s="109"/>
      <c r="BU371" s="109">
        <f>SUM(BL371:BT371)</f>
        <v>35000000</v>
      </c>
      <c r="BV371" s="103">
        <f t="shared" si="162"/>
        <v>218750000</v>
      </c>
    </row>
    <row r="372" spans="1:74" ht="19.5" customHeight="1" x14ac:dyDescent="0.2">
      <c r="A372" s="84"/>
      <c r="B372" s="84"/>
      <c r="C372" s="159">
        <v>5</v>
      </c>
      <c r="D372" s="160" t="s">
        <v>812</v>
      </c>
      <c r="E372" s="161"/>
      <c r="F372" s="44"/>
      <c r="G372" s="44"/>
      <c r="H372" s="44"/>
      <c r="I372" s="161"/>
      <c r="J372" s="162"/>
      <c r="K372" s="162"/>
      <c r="L372" s="163"/>
      <c r="M372" s="161"/>
      <c r="N372" s="164"/>
      <c r="O372" s="162"/>
      <c r="P372" s="162"/>
      <c r="Q372" s="165"/>
      <c r="R372" s="162"/>
      <c r="S372" s="162"/>
      <c r="T372" s="161"/>
      <c r="U372" s="166"/>
      <c r="V372" s="161"/>
      <c r="W372" s="161"/>
      <c r="X372" s="49">
        <f t="shared" ref="X372:AO372" si="164">X373+X382+X392</f>
        <v>0</v>
      </c>
      <c r="Y372" s="49">
        <f t="shared" si="164"/>
        <v>0</v>
      </c>
      <c r="Z372" s="49">
        <f t="shared" si="164"/>
        <v>64260244</v>
      </c>
      <c r="AA372" s="49">
        <f t="shared" si="164"/>
        <v>46963067.460000001</v>
      </c>
      <c r="AB372" s="49">
        <f t="shared" si="164"/>
        <v>3988020116</v>
      </c>
      <c r="AC372" s="49">
        <f t="shared" si="164"/>
        <v>4088020116</v>
      </c>
      <c r="AD372" s="49">
        <f t="shared" si="164"/>
        <v>435000000</v>
      </c>
      <c r="AE372" s="49">
        <f t="shared" si="164"/>
        <v>170000000</v>
      </c>
      <c r="AF372" s="49">
        <f t="shared" si="164"/>
        <v>0</v>
      </c>
      <c r="AG372" s="49">
        <f t="shared" si="164"/>
        <v>0</v>
      </c>
      <c r="AH372" s="49">
        <f t="shared" si="164"/>
        <v>0</v>
      </c>
      <c r="AI372" s="49">
        <f t="shared" si="164"/>
        <v>0</v>
      </c>
      <c r="AJ372" s="49">
        <f t="shared" si="164"/>
        <v>0</v>
      </c>
      <c r="AK372" s="49">
        <f t="shared" si="164"/>
        <v>0</v>
      </c>
      <c r="AL372" s="49">
        <f t="shared" si="164"/>
        <v>0</v>
      </c>
      <c r="AM372" s="49">
        <f t="shared" si="164"/>
        <v>0</v>
      </c>
      <c r="AN372" s="49">
        <f t="shared" si="164"/>
        <v>5097000000</v>
      </c>
      <c r="AO372" s="49">
        <f t="shared" si="164"/>
        <v>0</v>
      </c>
      <c r="AP372" s="167">
        <f>AP373+AP382+AP392</f>
        <v>9584280360</v>
      </c>
      <c r="AQ372" s="49">
        <f>AQ373+AQ382+AQ392</f>
        <v>4304983183.46</v>
      </c>
      <c r="AR372" s="52"/>
      <c r="AS372" s="52"/>
      <c r="AT372" s="52"/>
      <c r="AU372" s="52"/>
      <c r="AV372" s="52"/>
      <c r="AW372" s="52"/>
      <c r="AX372" s="52"/>
      <c r="AY372" s="52"/>
      <c r="AZ372" s="52"/>
      <c r="BA372" s="52">
        <f>BA373+BA382+BA392</f>
        <v>10025352274</v>
      </c>
      <c r="BB372" s="52"/>
      <c r="BC372" s="52"/>
      <c r="BD372" s="52"/>
      <c r="BE372" s="52"/>
      <c r="BF372" s="52"/>
      <c r="BG372" s="52"/>
      <c r="BH372" s="52"/>
      <c r="BI372" s="52"/>
      <c r="BJ372" s="52"/>
      <c r="BK372" s="52">
        <f>BK373+BK382+BK392</f>
        <v>5407740749</v>
      </c>
      <c r="BL372" s="52"/>
      <c r="BM372" s="52"/>
      <c r="BN372" s="52"/>
      <c r="BO372" s="52"/>
      <c r="BP372" s="52"/>
      <c r="BQ372" s="52"/>
      <c r="BR372" s="52"/>
      <c r="BS372" s="52"/>
      <c r="BT372" s="52"/>
      <c r="BU372" s="52">
        <f>BU373+BU382+BU392</f>
        <v>5303709080</v>
      </c>
      <c r="BV372" s="168">
        <f t="shared" si="162"/>
        <v>20736802103</v>
      </c>
    </row>
    <row r="373" spans="1:74" ht="19.5" customHeight="1" x14ac:dyDescent="0.2">
      <c r="A373" s="84"/>
      <c r="B373" s="84"/>
      <c r="C373" s="169"/>
      <c r="D373" s="56">
        <v>26</v>
      </c>
      <c r="E373" s="170" t="s">
        <v>813</v>
      </c>
      <c r="F373" s="61"/>
      <c r="G373" s="61"/>
      <c r="H373" s="59"/>
      <c r="I373" s="60"/>
      <c r="J373" s="61"/>
      <c r="K373" s="61"/>
      <c r="L373" s="62"/>
      <c r="M373" s="60"/>
      <c r="N373" s="63"/>
      <c r="O373" s="61"/>
      <c r="P373" s="61"/>
      <c r="Q373" s="64"/>
      <c r="R373" s="61"/>
      <c r="S373" s="61"/>
      <c r="T373" s="60"/>
      <c r="U373" s="171"/>
      <c r="V373" s="60"/>
      <c r="W373" s="60"/>
      <c r="X373" s="66">
        <f t="shared" ref="X373:AO373" si="165">X374+X379</f>
        <v>0</v>
      </c>
      <c r="Y373" s="66">
        <f t="shared" si="165"/>
        <v>0</v>
      </c>
      <c r="Z373" s="66">
        <f t="shared" si="165"/>
        <v>0</v>
      </c>
      <c r="AA373" s="66">
        <f t="shared" si="165"/>
        <v>0</v>
      </c>
      <c r="AB373" s="66">
        <f t="shared" si="165"/>
        <v>400000000</v>
      </c>
      <c r="AC373" s="66">
        <f t="shared" si="165"/>
        <v>500000000</v>
      </c>
      <c r="AD373" s="66">
        <f t="shared" si="165"/>
        <v>0</v>
      </c>
      <c r="AE373" s="66">
        <f t="shared" si="165"/>
        <v>0</v>
      </c>
      <c r="AF373" s="66">
        <f t="shared" si="165"/>
        <v>0</v>
      </c>
      <c r="AG373" s="66">
        <f t="shared" si="165"/>
        <v>0</v>
      </c>
      <c r="AH373" s="66">
        <f t="shared" si="165"/>
        <v>0</v>
      </c>
      <c r="AI373" s="66">
        <f t="shared" si="165"/>
        <v>0</v>
      </c>
      <c r="AJ373" s="66">
        <f t="shared" si="165"/>
        <v>0</v>
      </c>
      <c r="AK373" s="66">
        <f t="shared" si="165"/>
        <v>0</v>
      </c>
      <c r="AL373" s="66">
        <f t="shared" si="165"/>
        <v>0</v>
      </c>
      <c r="AM373" s="66">
        <f t="shared" si="165"/>
        <v>0</v>
      </c>
      <c r="AN373" s="66">
        <f t="shared" si="165"/>
        <v>0</v>
      </c>
      <c r="AO373" s="66">
        <f t="shared" si="165"/>
        <v>0</v>
      </c>
      <c r="AP373" s="67">
        <f>AP374+AP379</f>
        <v>400000000</v>
      </c>
      <c r="AQ373" s="66">
        <f>AQ374+AQ379</f>
        <v>500000000</v>
      </c>
      <c r="AR373" s="68"/>
      <c r="AS373" s="68"/>
      <c r="AT373" s="68"/>
      <c r="AU373" s="68"/>
      <c r="AV373" s="68"/>
      <c r="AW373" s="68"/>
      <c r="AX373" s="68"/>
      <c r="AY373" s="68"/>
      <c r="AZ373" s="68"/>
      <c r="BA373" s="68">
        <f>BA374+BA379</f>
        <v>430000000</v>
      </c>
      <c r="BB373" s="68"/>
      <c r="BC373" s="68"/>
      <c r="BD373" s="68"/>
      <c r="BE373" s="68"/>
      <c r="BF373" s="68"/>
      <c r="BG373" s="68"/>
      <c r="BH373" s="68"/>
      <c r="BI373" s="68"/>
      <c r="BJ373" s="68"/>
      <c r="BK373" s="68">
        <f>BK374+BK379</f>
        <v>350000000</v>
      </c>
      <c r="BL373" s="68"/>
      <c r="BM373" s="68"/>
      <c r="BN373" s="68"/>
      <c r="BO373" s="68"/>
      <c r="BP373" s="68"/>
      <c r="BQ373" s="68"/>
      <c r="BR373" s="68"/>
      <c r="BS373" s="68"/>
      <c r="BT373" s="68"/>
      <c r="BU373" s="68">
        <f>BU374+BU379</f>
        <v>330000000</v>
      </c>
      <c r="BV373" s="172">
        <f t="shared" si="162"/>
        <v>1110000000</v>
      </c>
    </row>
    <row r="374" spans="1:74" ht="19.5" customHeight="1" x14ac:dyDescent="0.2">
      <c r="A374" s="84"/>
      <c r="B374" s="84"/>
      <c r="C374" s="173"/>
      <c r="D374" s="169"/>
      <c r="E374" s="71">
        <v>83</v>
      </c>
      <c r="F374" s="72" t="s">
        <v>814</v>
      </c>
      <c r="G374" s="75"/>
      <c r="H374" s="75"/>
      <c r="I374" s="74"/>
      <c r="J374" s="75"/>
      <c r="K374" s="75"/>
      <c r="L374" s="74"/>
      <c r="M374" s="76"/>
      <c r="N374" s="77"/>
      <c r="O374" s="75"/>
      <c r="P374" s="75"/>
      <c r="Q374" s="78"/>
      <c r="R374" s="75"/>
      <c r="S374" s="75"/>
      <c r="T374" s="76"/>
      <c r="U374" s="174"/>
      <c r="V374" s="76"/>
      <c r="W374" s="76"/>
      <c r="X374" s="80">
        <f t="shared" ref="X374:AO374" si="166">SUM(X375:X378)</f>
        <v>0</v>
      </c>
      <c r="Y374" s="80">
        <f t="shared" si="166"/>
        <v>0</v>
      </c>
      <c r="Z374" s="80">
        <f t="shared" si="166"/>
        <v>0</v>
      </c>
      <c r="AA374" s="80">
        <f t="shared" si="166"/>
        <v>0</v>
      </c>
      <c r="AB374" s="80">
        <f t="shared" si="166"/>
        <v>350000000</v>
      </c>
      <c r="AC374" s="80">
        <f t="shared" si="166"/>
        <v>450000000</v>
      </c>
      <c r="AD374" s="80">
        <f t="shared" si="166"/>
        <v>0</v>
      </c>
      <c r="AE374" s="80">
        <f t="shared" si="166"/>
        <v>0</v>
      </c>
      <c r="AF374" s="80">
        <f t="shared" si="166"/>
        <v>0</v>
      </c>
      <c r="AG374" s="80">
        <f t="shared" si="166"/>
        <v>0</v>
      </c>
      <c r="AH374" s="80">
        <f t="shared" si="166"/>
        <v>0</v>
      </c>
      <c r="AI374" s="80">
        <f t="shared" si="166"/>
        <v>0</v>
      </c>
      <c r="AJ374" s="80">
        <f t="shared" si="166"/>
        <v>0</v>
      </c>
      <c r="AK374" s="80">
        <f t="shared" si="166"/>
        <v>0</v>
      </c>
      <c r="AL374" s="80">
        <f t="shared" si="166"/>
        <v>0</v>
      </c>
      <c r="AM374" s="80">
        <f t="shared" si="166"/>
        <v>0</v>
      </c>
      <c r="AN374" s="80">
        <f t="shared" si="166"/>
        <v>0</v>
      </c>
      <c r="AO374" s="80">
        <f t="shared" si="166"/>
        <v>0</v>
      </c>
      <c r="AP374" s="81">
        <f>SUM(AP375:AP378)</f>
        <v>350000000</v>
      </c>
      <c r="AQ374" s="80">
        <f>SUM(AQ375:AQ378)</f>
        <v>450000000</v>
      </c>
      <c r="AR374" s="82"/>
      <c r="AS374" s="82"/>
      <c r="AT374" s="82"/>
      <c r="AU374" s="82"/>
      <c r="AV374" s="82"/>
      <c r="AW374" s="82"/>
      <c r="AX374" s="82"/>
      <c r="AY374" s="82"/>
      <c r="AZ374" s="82"/>
      <c r="BA374" s="82">
        <f>SUM(BA375:BA378)</f>
        <v>350000000</v>
      </c>
      <c r="BB374" s="82"/>
      <c r="BC374" s="82"/>
      <c r="BD374" s="82"/>
      <c r="BE374" s="82"/>
      <c r="BF374" s="82"/>
      <c r="BG374" s="82"/>
      <c r="BH374" s="82"/>
      <c r="BI374" s="82"/>
      <c r="BJ374" s="82"/>
      <c r="BK374" s="82">
        <f>SUM(BK375:BK378)</f>
        <v>300000000</v>
      </c>
      <c r="BL374" s="82"/>
      <c r="BM374" s="82"/>
      <c r="BN374" s="82"/>
      <c r="BO374" s="82"/>
      <c r="BP374" s="82"/>
      <c r="BQ374" s="82"/>
      <c r="BR374" s="82"/>
      <c r="BS374" s="82"/>
      <c r="BT374" s="82"/>
      <c r="BU374" s="82">
        <f>SUM(BU375:BU378)</f>
        <v>280000000</v>
      </c>
      <c r="BV374" s="83">
        <f t="shared" si="162"/>
        <v>930000000</v>
      </c>
    </row>
    <row r="375" spans="1:74" ht="71.25" x14ac:dyDescent="0.2">
      <c r="A375" s="105">
        <v>242</v>
      </c>
      <c r="B375" s="84">
        <v>5</v>
      </c>
      <c r="C375" s="173"/>
      <c r="D375" s="173"/>
      <c r="E375" s="85">
        <v>37</v>
      </c>
      <c r="F375" s="86" t="s">
        <v>523</v>
      </c>
      <c r="G375" s="120" t="s">
        <v>524</v>
      </c>
      <c r="H375" s="338">
        <v>0.6</v>
      </c>
      <c r="I375" s="94">
        <v>243</v>
      </c>
      <c r="J375" s="90" t="s">
        <v>815</v>
      </c>
      <c r="K375" s="346" t="s">
        <v>816</v>
      </c>
      <c r="L375" s="91" t="s">
        <v>817</v>
      </c>
      <c r="M375" s="91">
        <v>17</v>
      </c>
      <c r="N375" s="457" t="s">
        <v>58</v>
      </c>
      <c r="O375" s="449" t="s">
        <v>39</v>
      </c>
      <c r="P375" s="449">
        <v>20</v>
      </c>
      <c r="Q375" s="368">
        <v>2</v>
      </c>
      <c r="R375" s="449">
        <v>6</v>
      </c>
      <c r="S375" s="449">
        <v>6</v>
      </c>
      <c r="T375" s="449">
        <v>6</v>
      </c>
      <c r="U375" s="340">
        <f>AP375/$AP$374</f>
        <v>0.2857142857142857</v>
      </c>
      <c r="V375" s="95">
        <v>16</v>
      </c>
      <c r="W375" s="92" t="s">
        <v>363</v>
      </c>
      <c r="X375" s="141"/>
      <c r="Y375" s="142"/>
      <c r="Z375" s="141"/>
      <c r="AA375" s="142"/>
      <c r="AB375" s="141">
        <f>48000000+52000000</f>
        <v>100000000</v>
      </c>
      <c r="AC375" s="136">
        <v>100000000</v>
      </c>
      <c r="AD375" s="141"/>
      <c r="AE375" s="142"/>
      <c r="AF375" s="141"/>
      <c r="AG375" s="142"/>
      <c r="AH375" s="141"/>
      <c r="AI375" s="142"/>
      <c r="AJ375" s="141"/>
      <c r="AK375" s="142"/>
      <c r="AL375" s="141"/>
      <c r="AM375" s="142"/>
      <c r="AN375" s="141"/>
      <c r="AO375" s="142"/>
      <c r="AP375" s="99">
        <f>+X375+Z375+AB375+AD375+AF375+AH375+AJ375+AL375+AN375</f>
        <v>100000000</v>
      </c>
      <c r="AQ375" s="100">
        <f>Y375+AA375+AC375+AE375+AG375+AI375+AK375+AM375+AO375</f>
        <v>100000000</v>
      </c>
      <c r="AR375" s="109"/>
      <c r="AS375" s="109"/>
      <c r="AT375" s="109">
        <v>100000000</v>
      </c>
      <c r="AU375" s="109"/>
      <c r="AV375" s="109"/>
      <c r="AW375" s="109"/>
      <c r="AX375" s="109"/>
      <c r="AY375" s="109"/>
      <c r="AZ375" s="109"/>
      <c r="BA375" s="109">
        <f>SUM(AR375:AY375)+AZ375</f>
        <v>100000000</v>
      </c>
      <c r="BB375" s="109"/>
      <c r="BC375" s="109"/>
      <c r="BD375" s="109">
        <v>85700000</v>
      </c>
      <c r="BE375" s="109"/>
      <c r="BF375" s="109"/>
      <c r="BG375" s="109"/>
      <c r="BH375" s="109"/>
      <c r="BI375" s="109"/>
      <c r="BJ375" s="109"/>
      <c r="BK375" s="109">
        <f>SUM(BB375:BJ375)</f>
        <v>85700000</v>
      </c>
      <c r="BL375" s="109"/>
      <c r="BM375" s="109"/>
      <c r="BN375" s="109">
        <v>80000000</v>
      </c>
      <c r="BO375" s="109"/>
      <c r="BP375" s="109"/>
      <c r="BQ375" s="109"/>
      <c r="BR375" s="109"/>
      <c r="BS375" s="109"/>
      <c r="BT375" s="109"/>
      <c r="BU375" s="109">
        <f>SUM(BL375:BT375)</f>
        <v>80000000</v>
      </c>
      <c r="BV375" s="103">
        <f t="shared" si="162"/>
        <v>531400000</v>
      </c>
    </row>
    <row r="376" spans="1:74" ht="71.25" x14ac:dyDescent="0.2">
      <c r="A376" s="84">
        <v>243</v>
      </c>
      <c r="B376" s="84">
        <v>5</v>
      </c>
      <c r="C376" s="173"/>
      <c r="D376" s="173"/>
      <c r="E376" s="111">
        <v>37</v>
      </c>
      <c r="F376" s="112" t="s">
        <v>818</v>
      </c>
      <c r="G376" s="113" t="s">
        <v>524</v>
      </c>
      <c r="H376" s="402">
        <v>0.6</v>
      </c>
      <c r="I376" s="94">
        <v>244</v>
      </c>
      <c r="J376" s="90" t="s">
        <v>819</v>
      </c>
      <c r="K376" s="86" t="s">
        <v>820</v>
      </c>
      <c r="L376" s="91" t="s">
        <v>817</v>
      </c>
      <c r="M376" s="91">
        <v>17</v>
      </c>
      <c r="N376" s="367" t="s">
        <v>58</v>
      </c>
      <c r="O376" s="368" t="s">
        <v>39</v>
      </c>
      <c r="P376" s="368">
        <v>40</v>
      </c>
      <c r="Q376" s="368">
        <v>4</v>
      </c>
      <c r="R376" s="368">
        <v>12</v>
      </c>
      <c r="S376" s="368">
        <v>12</v>
      </c>
      <c r="T376" s="368">
        <v>12</v>
      </c>
      <c r="U376" s="340">
        <f>AP376/$AP$374</f>
        <v>0.11428571428571428</v>
      </c>
      <c r="V376" s="95">
        <v>16</v>
      </c>
      <c r="W376" s="92" t="s">
        <v>363</v>
      </c>
      <c r="X376" s="141"/>
      <c r="Y376" s="142"/>
      <c r="Z376" s="141"/>
      <c r="AA376" s="142"/>
      <c r="AB376" s="141">
        <v>40000000</v>
      </c>
      <c r="AC376" s="136">
        <v>140000000</v>
      </c>
      <c r="AD376" s="141"/>
      <c r="AE376" s="142"/>
      <c r="AF376" s="141"/>
      <c r="AG376" s="142"/>
      <c r="AH376" s="141"/>
      <c r="AI376" s="142"/>
      <c r="AJ376" s="141"/>
      <c r="AK376" s="142"/>
      <c r="AL376" s="141"/>
      <c r="AM376" s="142"/>
      <c r="AN376" s="141"/>
      <c r="AO376" s="142"/>
      <c r="AP376" s="99">
        <f>+X376+Z376+AB376+AD376+AF376+AH376+AJ376+AL376+AN376</f>
        <v>40000000</v>
      </c>
      <c r="AQ376" s="100">
        <f>Y376+AA376+AC376+AE376+AG376+AI376+AK376+AM376+AO376</f>
        <v>140000000</v>
      </c>
      <c r="AR376" s="109"/>
      <c r="AS376" s="109"/>
      <c r="AT376" s="109">
        <v>40000000</v>
      </c>
      <c r="AU376" s="109"/>
      <c r="AV376" s="109"/>
      <c r="AW376" s="109"/>
      <c r="AX376" s="109"/>
      <c r="AY376" s="109"/>
      <c r="AZ376" s="109"/>
      <c r="BA376" s="109">
        <f>SUM(AR376:AY376)+AZ376</f>
        <v>40000000</v>
      </c>
      <c r="BB376" s="109"/>
      <c r="BC376" s="109"/>
      <c r="BD376" s="109">
        <v>34250000</v>
      </c>
      <c r="BE376" s="109"/>
      <c r="BF376" s="109"/>
      <c r="BG376" s="109"/>
      <c r="BH376" s="109"/>
      <c r="BI376" s="109"/>
      <c r="BJ376" s="109"/>
      <c r="BK376" s="109">
        <f>SUM(BB376:BJ376)</f>
        <v>34250000</v>
      </c>
      <c r="BL376" s="109"/>
      <c r="BM376" s="109"/>
      <c r="BN376" s="109">
        <v>32000000</v>
      </c>
      <c r="BO376" s="109"/>
      <c r="BP376" s="109"/>
      <c r="BQ376" s="109"/>
      <c r="BR376" s="109"/>
      <c r="BS376" s="109"/>
      <c r="BT376" s="109"/>
      <c r="BU376" s="109">
        <f>SUM(BL376:BT376)</f>
        <v>32000000</v>
      </c>
      <c r="BV376" s="103">
        <f t="shared" si="162"/>
        <v>212500000</v>
      </c>
    </row>
    <row r="377" spans="1:74" ht="42.75" x14ac:dyDescent="0.2">
      <c r="A377" s="105">
        <v>244</v>
      </c>
      <c r="B377" s="84">
        <v>5</v>
      </c>
      <c r="C377" s="173"/>
      <c r="D377" s="173"/>
      <c r="E377" s="111"/>
      <c r="F377" s="154"/>
      <c r="G377" s="149"/>
      <c r="H377" s="443"/>
      <c r="I377" s="94">
        <v>245</v>
      </c>
      <c r="J377" s="90" t="s">
        <v>821</v>
      </c>
      <c r="K377" s="346" t="s">
        <v>822</v>
      </c>
      <c r="L377" s="91" t="s">
        <v>817</v>
      </c>
      <c r="M377" s="91">
        <v>17</v>
      </c>
      <c r="N377" s="367" t="s">
        <v>44</v>
      </c>
      <c r="O377" s="368" t="s">
        <v>39</v>
      </c>
      <c r="P377" s="368">
        <v>1</v>
      </c>
      <c r="Q377" s="368">
        <v>1</v>
      </c>
      <c r="R377" s="449">
        <v>1</v>
      </c>
      <c r="S377" s="449">
        <v>1</v>
      </c>
      <c r="T377" s="449">
        <v>1</v>
      </c>
      <c r="U377" s="340">
        <f>AP377/$AP$374</f>
        <v>0.51428571428571423</v>
      </c>
      <c r="V377" s="95">
        <v>16</v>
      </c>
      <c r="W377" s="92" t="s">
        <v>363</v>
      </c>
      <c r="X377" s="141"/>
      <c r="Y377" s="142"/>
      <c r="Z377" s="141"/>
      <c r="AA377" s="142"/>
      <c r="AB377" s="141">
        <v>180000000</v>
      </c>
      <c r="AC377" s="136">
        <v>180000000</v>
      </c>
      <c r="AD377" s="141"/>
      <c r="AE377" s="142"/>
      <c r="AF377" s="141"/>
      <c r="AG377" s="142"/>
      <c r="AH377" s="141"/>
      <c r="AI377" s="142"/>
      <c r="AJ377" s="141"/>
      <c r="AK377" s="142"/>
      <c r="AL377" s="141"/>
      <c r="AM377" s="142"/>
      <c r="AN377" s="141"/>
      <c r="AO377" s="142"/>
      <c r="AP377" s="99">
        <f>+X377+Z377+AB377+AD377+AF377+AH377+AJ377+AL377+AN377</f>
        <v>180000000</v>
      </c>
      <c r="AQ377" s="100">
        <f>Y377+AA377+AC377+AE377+AG377+AI377+AK377+AM377+AO377</f>
        <v>180000000</v>
      </c>
      <c r="AR377" s="109"/>
      <c r="AS377" s="109"/>
      <c r="AT377" s="109">
        <v>179999999.99999997</v>
      </c>
      <c r="AU377" s="109"/>
      <c r="AV377" s="109"/>
      <c r="AW377" s="109"/>
      <c r="AX377" s="109"/>
      <c r="AY377" s="109"/>
      <c r="AZ377" s="109"/>
      <c r="BA377" s="109">
        <f>SUM(AR377:AY377)+AZ377</f>
        <v>179999999.99999997</v>
      </c>
      <c r="BB377" s="109"/>
      <c r="BC377" s="109"/>
      <c r="BD377" s="109">
        <v>154250000</v>
      </c>
      <c r="BE377" s="109"/>
      <c r="BF377" s="109"/>
      <c r="BG377" s="109"/>
      <c r="BH377" s="109"/>
      <c r="BI377" s="109"/>
      <c r="BJ377" s="109"/>
      <c r="BK377" s="109">
        <f>SUM(BB377:BJ377)</f>
        <v>154250000</v>
      </c>
      <c r="BL377" s="109"/>
      <c r="BM377" s="109"/>
      <c r="BN377" s="109">
        <v>144000000</v>
      </c>
      <c r="BO377" s="109"/>
      <c r="BP377" s="109"/>
      <c r="BQ377" s="109"/>
      <c r="BR377" s="109"/>
      <c r="BS377" s="109"/>
      <c r="BT377" s="109"/>
      <c r="BU377" s="109">
        <f>SUM(BL377:BT377)</f>
        <v>144000000</v>
      </c>
      <c r="BV377" s="103">
        <f t="shared" si="162"/>
        <v>956500000</v>
      </c>
    </row>
    <row r="378" spans="1:74" s="208" customFormat="1" ht="99.75" x14ac:dyDescent="0.2">
      <c r="A378" s="199">
        <v>245</v>
      </c>
      <c r="B378" s="199">
        <v>5</v>
      </c>
      <c r="C378" s="200"/>
      <c r="D378" s="200"/>
      <c r="E378" s="201"/>
      <c r="F378" s="397"/>
      <c r="G378" s="201"/>
      <c r="H378" s="478"/>
      <c r="I378" s="94">
        <v>246</v>
      </c>
      <c r="J378" s="90" t="s">
        <v>823</v>
      </c>
      <c r="K378" s="247" t="s">
        <v>824</v>
      </c>
      <c r="L378" s="91" t="s">
        <v>817</v>
      </c>
      <c r="M378" s="308">
        <v>17</v>
      </c>
      <c r="N378" s="367" t="s">
        <v>44</v>
      </c>
      <c r="O378" s="368" t="s">
        <v>39</v>
      </c>
      <c r="P378" s="368">
        <v>13</v>
      </c>
      <c r="Q378" s="368">
        <v>13</v>
      </c>
      <c r="R378" s="368">
        <v>13</v>
      </c>
      <c r="S378" s="368">
        <v>13</v>
      </c>
      <c r="T378" s="368">
        <v>13</v>
      </c>
      <c r="U378" s="340">
        <f>AP378/$AP$374</f>
        <v>8.5714285714285715E-2</v>
      </c>
      <c r="V378" s="94">
        <v>16</v>
      </c>
      <c r="W378" s="91" t="s">
        <v>363</v>
      </c>
      <c r="X378" s="231"/>
      <c r="Y378" s="136"/>
      <c r="Z378" s="231"/>
      <c r="AA378" s="136"/>
      <c r="AB378" s="231">
        <v>30000000</v>
      </c>
      <c r="AC378" s="136">
        <v>30000000</v>
      </c>
      <c r="AD378" s="231"/>
      <c r="AE378" s="136"/>
      <c r="AF378" s="231"/>
      <c r="AG378" s="136"/>
      <c r="AH378" s="231"/>
      <c r="AI378" s="136"/>
      <c r="AJ378" s="231"/>
      <c r="AK378" s="136"/>
      <c r="AL378" s="231"/>
      <c r="AM378" s="136"/>
      <c r="AN378" s="231"/>
      <c r="AO378" s="136"/>
      <c r="AP378" s="99">
        <f>+X378+Z378+AB378+AD378+AF378+AH378+AJ378+AL378+AN378</f>
        <v>30000000</v>
      </c>
      <c r="AQ378" s="100">
        <f>Y378+AA378+AC378+AE378+AG378+AI378+AK378+AM378+AO378</f>
        <v>30000000</v>
      </c>
      <c r="AR378" s="205"/>
      <c r="AS378" s="205"/>
      <c r="AT378" s="205">
        <v>30000000</v>
      </c>
      <c r="AU378" s="205"/>
      <c r="AV378" s="205"/>
      <c r="AW378" s="205"/>
      <c r="AX378" s="205"/>
      <c r="AY378" s="205"/>
      <c r="AZ378" s="205"/>
      <c r="BA378" s="109">
        <f>SUM(AR378:AY378)+AZ378</f>
        <v>30000000</v>
      </c>
      <c r="BB378" s="205"/>
      <c r="BC378" s="205"/>
      <c r="BD378" s="205">
        <f>25700000+100000</f>
        <v>25800000</v>
      </c>
      <c r="BE378" s="205"/>
      <c r="BF378" s="205"/>
      <c r="BG378" s="205"/>
      <c r="BH378" s="205"/>
      <c r="BI378" s="205"/>
      <c r="BJ378" s="205"/>
      <c r="BK378" s="109">
        <f>SUM(BB378:BJ378)</f>
        <v>25800000</v>
      </c>
      <c r="BL378" s="109"/>
      <c r="BM378" s="109"/>
      <c r="BN378" s="205">
        <v>24000000</v>
      </c>
      <c r="BO378" s="205"/>
      <c r="BP378" s="109"/>
      <c r="BQ378" s="109"/>
      <c r="BR378" s="109"/>
      <c r="BS378" s="109"/>
      <c r="BT378" s="109"/>
      <c r="BU378" s="109">
        <f>SUM(BL378:BT378)</f>
        <v>24000000</v>
      </c>
      <c r="BV378" s="207">
        <f t="shared" si="162"/>
        <v>159600000</v>
      </c>
    </row>
    <row r="379" spans="1:74" ht="27.75" customHeight="1" x14ac:dyDescent="0.2">
      <c r="A379" s="84"/>
      <c r="B379" s="84"/>
      <c r="C379" s="173"/>
      <c r="D379" s="173"/>
      <c r="E379" s="71">
        <v>84</v>
      </c>
      <c r="F379" s="72" t="s">
        <v>825</v>
      </c>
      <c r="G379" s="75"/>
      <c r="H379" s="75"/>
      <c r="I379" s="76"/>
      <c r="J379" s="75"/>
      <c r="K379" s="75"/>
      <c r="L379" s="323"/>
      <c r="M379" s="324"/>
      <c r="N379" s="325"/>
      <c r="O379" s="75"/>
      <c r="P379" s="75"/>
      <c r="Q379" s="326"/>
      <c r="R379" s="310"/>
      <c r="S379" s="310"/>
      <c r="T379" s="324"/>
      <c r="U379" s="174"/>
      <c r="V379" s="76"/>
      <c r="W379" s="76"/>
      <c r="X379" s="80">
        <f t="shared" ref="X379:AO379" si="167">SUM(X380:X381)</f>
        <v>0</v>
      </c>
      <c r="Y379" s="80">
        <f t="shared" si="167"/>
        <v>0</v>
      </c>
      <c r="Z379" s="80">
        <f t="shared" si="167"/>
        <v>0</v>
      </c>
      <c r="AA379" s="80">
        <f t="shared" si="167"/>
        <v>0</v>
      </c>
      <c r="AB379" s="80">
        <f t="shared" si="167"/>
        <v>50000000</v>
      </c>
      <c r="AC379" s="80">
        <f t="shared" si="167"/>
        <v>50000000</v>
      </c>
      <c r="AD379" s="80">
        <f t="shared" si="167"/>
        <v>0</v>
      </c>
      <c r="AE379" s="80">
        <f t="shared" si="167"/>
        <v>0</v>
      </c>
      <c r="AF379" s="80">
        <f t="shared" si="167"/>
        <v>0</v>
      </c>
      <c r="AG379" s="80">
        <f t="shared" si="167"/>
        <v>0</v>
      </c>
      <c r="AH379" s="80">
        <f t="shared" si="167"/>
        <v>0</v>
      </c>
      <c r="AI379" s="80">
        <f t="shared" si="167"/>
        <v>0</v>
      </c>
      <c r="AJ379" s="80">
        <f t="shared" si="167"/>
        <v>0</v>
      </c>
      <c r="AK379" s="80">
        <f t="shared" si="167"/>
        <v>0</v>
      </c>
      <c r="AL379" s="80">
        <f t="shared" si="167"/>
        <v>0</v>
      </c>
      <c r="AM379" s="80">
        <f t="shared" si="167"/>
        <v>0</v>
      </c>
      <c r="AN379" s="80">
        <f t="shared" si="167"/>
        <v>0</v>
      </c>
      <c r="AO379" s="80">
        <f t="shared" si="167"/>
        <v>0</v>
      </c>
      <c r="AP379" s="81">
        <f>SUM(AP380:AP381)</f>
        <v>50000000</v>
      </c>
      <c r="AQ379" s="80">
        <f>SUM(AQ380:AQ381)</f>
        <v>50000000</v>
      </c>
      <c r="AR379" s="82"/>
      <c r="AS379" s="82"/>
      <c r="AT379" s="82"/>
      <c r="AU379" s="82"/>
      <c r="AV379" s="82"/>
      <c r="AW379" s="82"/>
      <c r="AX379" s="82"/>
      <c r="AY379" s="82"/>
      <c r="AZ379" s="82"/>
      <c r="BA379" s="82">
        <f>SUM(BA380:BA381)</f>
        <v>80000000</v>
      </c>
      <c r="BB379" s="82"/>
      <c r="BC379" s="82"/>
      <c r="BD379" s="82"/>
      <c r="BE379" s="82"/>
      <c r="BF379" s="82"/>
      <c r="BG379" s="82"/>
      <c r="BH379" s="82"/>
      <c r="BI379" s="82"/>
      <c r="BJ379" s="82"/>
      <c r="BK379" s="82">
        <f>SUM(BK380:BK381)</f>
        <v>50000000</v>
      </c>
      <c r="BL379" s="82"/>
      <c r="BM379" s="82"/>
      <c r="BN379" s="82"/>
      <c r="BO379" s="82"/>
      <c r="BP379" s="82"/>
      <c r="BQ379" s="82"/>
      <c r="BR379" s="82"/>
      <c r="BS379" s="82"/>
      <c r="BT379" s="82"/>
      <c r="BU379" s="82">
        <f>SUM(BU380:BU381)</f>
        <v>50000000</v>
      </c>
      <c r="BV379" s="83">
        <f t="shared" si="162"/>
        <v>180000000</v>
      </c>
    </row>
    <row r="380" spans="1:74" ht="71.25" x14ac:dyDescent="0.2">
      <c r="A380" s="105">
        <v>246</v>
      </c>
      <c r="B380" s="84">
        <v>5</v>
      </c>
      <c r="C380" s="173"/>
      <c r="D380" s="173"/>
      <c r="E380" s="85">
        <v>37</v>
      </c>
      <c r="F380" s="112" t="s">
        <v>826</v>
      </c>
      <c r="G380" s="113" t="s">
        <v>524</v>
      </c>
      <c r="H380" s="402">
        <v>0.6</v>
      </c>
      <c r="I380" s="94">
        <v>247</v>
      </c>
      <c r="J380" s="90" t="s">
        <v>827</v>
      </c>
      <c r="K380" s="346" t="s">
        <v>828</v>
      </c>
      <c r="L380" s="94" t="s">
        <v>829</v>
      </c>
      <c r="M380" s="248">
        <v>16</v>
      </c>
      <c r="N380" s="364" t="s">
        <v>44</v>
      </c>
      <c r="O380" s="449" t="s">
        <v>39</v>
      </c>
      <c r="P380" s="449">
        <v>1</v>
      </c>
      <c r="Q380" s="363">
        <v>1</v>
      </c>
      <c r="R380" s="364">
        <v>1</v>
      </c>
      <c r="S380" s="364">
        <v>1</v>
      </c>
      <c r="T380" s="364">
        <v>1</v>
      </c>
      <c r="U380" s="411">
        <f>AP380/AP379</f>
        <v>0.5</v>
      </c>
      <c r="V380" s="95">
        <v>16</v>
      </c>
      <c r="W380" s="92" t="s">
        <v>363</v>
      </c>
      <c r="X380" s="141"/>
      <c r="Y380" s="142"/>
      <c r="Z380" s="141"/>
      <c r="AA380" s="142"/>
      <c r="AB380" s="141">
        <v>25000000</v>
      </c>
      <c r="AC380" s="101">
        <v>25000000</v>
      </c>
      <c r="AD380" s="141"/>
      <c r="AE380" s="142"/>
      <c r="AF380" s="141"/>
      <c r="AG380" s="142"/>
      <c r="AH380" s="141"/>
      <c r="AI380" s="142"/>
      <c r="AJ380" s="141"/>
      <c r="AK380" s="142"/>
      <c r="AL380" s="141"/>
      <c r="AM380" s="142"/>
      <c r="AN380" s="141"/>
      <c r="AO380" s="142"/>
      <c r="AP380" s="99">
        <f>+X380+Z380+AB380+AD380+AF380+AH380+AJ380+AL380+AN380</f>
        <v>25000000</v>
      </c>
      <c r="AQ380" s="100">
        <f>Y380+AA380+AC380+AE380+AG380+AI380+AK380+AM380+AO380</f>
        <v>25000000</v>
      </c>
      <c r="AR380" s="109"/>
      <c r="AS380" s="109"/>
      <c r="AT380" s="192">
        <v>40000000</v>
      </c>
      <c r="AU380" s="109"/>
      <c r="AV380" s="109"/>
      <c r="AW380" s="109"/>
      <c r="AX380" s="109"/>
      <c r="AY380" s="109"/>
      <c r="AZ380" s="109"/>
      <c r="BA380" s="109">
        <f>SUM(AR380:AY380)+AZ380</f>
        <v>40000000</v>
      </c>
      <c r="BB380" s="109"/>
      <c r="BC380" s="109"/>
      <c r="BD380" s="109">
        <v>25000000</v>
      </c>
      <c r="BE380" s="109"/>
      <c r="BF380" s="109"/>
      <c r="BG380" s="109"/>
      <c r="BH380" s="109"/>
      <c r="BI380" s="109"/>
      <c r="BJ380" s="109"/>
      <c r="BK380" s="109">
        <f>SUM(BB380:BJ380)</f>
        <v>25000000</v>
      </c>
      <c r="BL380" s="109"/>
      <c r="BM380" s="109"/>
      <c r="BN380" s="109">
        <v>25000000</v>
      </c>
      <c r="BO380" s="109"/>
      <c r="BP380" s="109"/>
      <c r="BQ380" s="109"/>
      <c r="BR380" s="109"/>
      <c r="BS380" s="109"/>
      <c r="BT380" s="109"/>
      <c r="BU380" s="109">
        <f>SUM(BL380:BT380)</f>
        <v>25000000</v>
      </c>
      <c r="BV380" s="103">
        <f t="shared" si="162"/>
        <v>180000000</v>
      </c>
    </row>
    <row r="381" spans="1:74" ht="57" x14ac:dyDescent="0.2">
      <c r="A381" s="84">
        <v>247</v>
      </c>
      <c r="B381" s="84">
        <v>5</v>
      </c>
      <c r="C381" s="173"/>
      <c r="D381" s="237"/>
      <c r="E381" s="110"/>
      <c r="F381" s="114"/>
      <c r="G381" s="116"/>
      <c r="H381" s="403"/>
      <c r="I381" s="94">
        <v>248</v>
      </c>
      <c r="J381" s="90" t="s">
        <v>830</v>
      </c>
      <c r="K381" s="346" t="s">
        <v>831</v>
      </c>
      <c r="L381" s="91" t="s">
        <v>817</v>
      </c>
      <c r="M381" s="308">
        <v>17</v>
      </c>
      <c r="N381" s="449" t="s">
        <v>44</v>
      </c>
      <c r="O381" s="449" t="s">
        <v>39</v>
      </c>
      <c r="P381" s="449">
        <v>12</v>
      </c>
      <c r="Q381" s="368">
        <v>12</v>
      </c>
      <c r="R381" s="449">
        <v>12</v>
      </c>
      <c r="S381" s="449">
        <v>12</v>
      </c>
      <c r="T381" s="449">
        <v>12</v>
      </c>
      <c r="U381" s="411">
        <f>AP381/AP379</f>
        <v>0.5</v>
      </c>
      <c r="V381" s="94">
        <v>17</v>
      </c>
      <c r="W381" s="91" t="s">
        <v>832</v>
      </c>
      <c r="X381" s="141"/>
      <c r="Y381" s="142"/>
      <c r="Z381" s="141"/>
      <c r="AA381" s="142"/>
      <c r="AB381" s="141">
        <v>25000000</v>
      </c>
      <c r="AC381" s="136">
        <v>25000000</v>
      </c>
      <c r="AD381" s="141"/>
      <c r="AE381" s="142"/>
      <c r="AF381" s="141"/>
      <c r="AG381" s="142"/>
      <c r="AH381" s="141"/>
      <c r="AI381" s="142"/>
      <c r="AJ381" s="141"/>
      <c r="AK381" s="142"/>
      <c r="AL381" s="141"/>
      <c r="AM381" s="142"/>
      <c r="AN381" s="141"/>
      <c r="AO381" s="142"/>
      <c r="AP381" s="99">
        <f>+X381+Z381+AB381+AD381+AF381+AH381+AJ381+AL381+AN381</f>
        <v>25000000</v>
      </c>
      <c r="AQ381" s="100">
        <f>Y381+AA381+AC381+AE381+AG381+AI381+AK381+AM381+AO381</f>
        <v>25000000</v>
      </c>
      <c r="AR381" s="109"/>
      <c r="AS381" s="109"/>
      <c r="AT381" s="192">
        <v>40000000</v>
      </c>
      <c r="AU381" s="109"/>
      <c r="AV381" s="109"/>
      <c r="AW381" s="109"/>
      <c r="AX381" s="109"/>
      <c r="AY381" s="109"/>
      <c r="AZ381" s="109"/>
      <c r="BA381" s="109">
        <f>SUM(AR381:AY381)+AZ381</f>
        <v>40000000</v>
      </c>
      <c r="BB381" s="109"/>
      <c r="BC381" s="109"/>
      <c r="BD381" s="109">
        <v>25000000</v>
      </c>
      <c r="BE381" s="109"/>
      <c r="BF381" s="109"/>
      <c r="BG381" s="109"/>
      <c r="BH381" s="109"/>
      <c r="BI381" s="109"/>
      <c r="BJ381" s="109"/>
      <c r="BK381" s="109">
        <f>SUM(BB381:BJ381)</f>
        <v>25000000</v>
      </c>
      <c r="BL381" s="109"/>
      <c r="BM381" s="109"/>
      <c r="BN381" s="109">
        <v>25000000</v>
      </c>
      <c r="BO381" s="109"/>
      <c r="BP381" s="109"/>
      <c r="BQ381" s="109"/>
      <c r="BR381" s="109"/>
      <c r="BS381" s="109"/>
      <c r="BT381" s="109"/>
      <c r="BU381" s="109">
        <f>SUM(BL381:BT381)</f>
        <v>25000000</v>
      </c>
      <c r="BV381" s="103">
        <f t="shared" si="162"/>
        <v>180000000</v>
      </c>
    </row>
    <row r="382" spans="1:74" ht="21" customHeight="1" x14ac:dyDescent="0.2">
      <c r="A382" s="84"/>
      <c r="B382" s="84"/>
      <c r="C382" s="173"/>
      <c r="D382" s="56">
        <v>27</v>
      </c>
      <c r="E382" s="170" t="s">
        <v>833</v>
      </c>
      <c r="F382" s="59"/>
      <c r="G382" s="59"/>
      <c r="H382" s="59"/>
      <c r="I382" s="60"/>
      <c r="J382" s="61"/>
      <c r="K382" s="61"/>
      <c r="L382" s="62"/>
      <c r="M382" s="60"/>
      <c r="N382" s="63"/>
      <c r="O382" s="61"/>
      <c r="P382" s="61"/>
      <c r="Q382" s="64"/>
      <c r="R382" s="61"/>
      <c r="S382" s="61"/>
      <c r="T382" s="60"/>
      <c r="U382" s="171"/>
      <c r="V382" s="60"/>
      <c r="W382" s="60"/>
      <c r="X382" s="66">
        <f t="shared" ref="X382:AO382" si="168">X383+X390</f>
        <v>0</v>
      </c>
      <c r="Y382" s="66">
        <f t="shared" si="168"/>
        <v>0</v>
      </c>
      <c r="Z382" s="66">
        <f t="shared" si="168"/>
        <v>0</v>
      </c>
      <c r="AA382" s="66">
        <f t="shared" si="168"/>
        <v>0</v>
      </c>
      <c r="AB382" s="66">
        <f t="shared" si="168"/>
        <v>580000000</v>
      </c>
      <c r="AC382" s="66">
        <f t="shared" si="168"/>
        <v>580000000</v>
      </c>
      <c r="AD382" s="66">
        <f t="shared" si="168"/>
        <v>0</v>
      </c>
      <c r="AE382" s="66">
        <f t="shared" si="168"/>
        <v>0</v>
      </c>
      <c r="AF382" s="66">
        <f t="shared" si="168"/>
        <v>0</v>
      </c>
      <c r="AG382" s="66">
        <f t="shared" si="168"/>
        <v>0</v>
      </c>
      <c r="AH382" s="66">
        <f t="shared" si="168"/>
        <v>0</v>
      </c>
      <c r="AI382" s="66">
        <f t="shared" si="168"/>
        <v>0</v>
      </c>
      <c r="AJ382" s="66">
        <f t="shared" si="168"/>
        <v>0</v>
      </c>
      <c r="AK382" s="66">
        <f t="shared" si="168"/>
        <v>0</v>
      </c>
      <c r="AL382" s="66">
        <f t="shared" si="168"/>
        <v>0</v>
      </c>
      <c r="AM382" s="66">
        <f t="shared" si="168"/>
        <v>0</v>
      </c>
      <c r="AN382" s="66">
        <f t="shared" si="168"/>
        <v>1000000000</v>
      </c>
      <c r="AO382" s="66">
        <f t="shared" si="168"/>
        <v>0</v>
      </c>
      <c r="AP382" s="67">
        <f>AP383+AP390</f>
        <v>1580000000</v>
      </c>
      <c r="AQ382" s="66">
        <f>AQ383+AQ390</f>
        <v>580000000</v>
      </c>
      <c r="AR382" s="68"/>
      <c r="AS382" s="68"/>
      <c r="AT382" s="68"/>
      <c r="AU382" s="68"/>
      <c r="AV382" s="68"/>
      <c r="AW382" s="68"/>
      <c r="AX382" s="68"/>
      <c r="AY382" s="68"/>
      <c r="AZ382" s="68"/>
      <c r="BA382" s="68">
        <f>BA383+BA390</f>
        <v>1580000000</v>
      </c>
      <c r="BB382" s="68"/>
      <c r="BC382" s="68"/>
      <c r="BD382" s="68"/>
      <c r="BE382" s="68"/>
      <c r="BF382" s="68"/>
      <c r="BG382" s="68"/>
      <c r="BH382" s="68"/>
      <c r="BI382" s="68"/>
      <c r="BJ382" s="68"/>
      <c r="BK382" s="68">
        <f>BK383+BK390</f>
        <v>1580000000</v>
      </c>
      <c r="BL382" s="68"/>
      <c r="BM382" s="68"/>
      <c r="BN382" s="68"/>
      <c r="BO382" s="68"/>
      <c r="BP382" s="68"/>
      <c r="BQ382" s="68"/>
      <c r="BR382" s="68"/>
      <c r="BS382" s="68"/>
      <c r="BT382" s="68"/>
      <c r="BU382" s="68">
        <f>BU383+BU390</f>
        <v>1580000000</v>
      </c>
      <c r="BV382" s="172">
        <f t="shared" si="162"/>
        <v>4740000000</v>
      </c>
    </row>
    <row r="383" spans="1:74" ht="21" customHeight="1" x14ac:dyDescent="0.2">
      <c r="A383" s="84"/>
      <c r="B383" s="84"/>
      <c r="C383" s="173"/>
      <c r="D383" s="169"/>
      <c r="E383" s="71">
        <v>85</v>
      </c>
      <c r="F383" s="72" t="s">
        <v>834</v>
      </c>
      <c r="G383" s="75"/>
      <c r="H383" s="75"/>
      <c r="I383" s="76"/>
      <c r="J383" s="75"/>
      <c r="K383" s="75"/>
      <c r="L383" s="74"/>
      <c r="M383" s="76"/>
      <c r="N383" s="77"/>
      <c r="O383" s="75"/>
      <c r="P383" s="75"/>
      <c r="Q383" s="78"/>
      <c r="R383" s="75"/>
      <c r="S383" s="75"/>
      <c r="T383" s="76"/>
      <c r="U383" s="174"/>
      <c r="V383" s="76"/>
      <c r="W383" s="76"/>
      <c r="X383" s="80">
        <f t="shared" ref="X383:AO383" si="169">SUM(X384:X389)</f>
        <v>0</v>
      </c>
      <c r="Y383" s="80">
        <f t="shared" si="169"/>
        <v>0</v>
      </c>
      <c r="Z383" s="80">
        <f t="shared" si="169"/>
        <v>0</v>
      </c>
      <c r="AA383" s="80">
        <f t="shared" si="169"/>
        <v>0</v>
      </c>
      <c r="AB383" s="80">
        <f t="shared" si="169"/>
        <v>500000000</v>
      </c>
      <c r="AC383" s="80">
        <f t="shared" si="169"/>
        <v>500000000</v>
      </c>
      <c r="AD383" s="80">
        <f t="shared" si="169"/>
        <v>0</v>
      </c>
      <c r="AE383" s="80">
        <f t="shared" si="169"/>
        <v>0</v>
      </c>
      <c r="AF383" s="80">
        <f t="shared" si="169"/>
        <v>0</v>
      </c>
      <c r="AG383" s="80">
        <f t="shared" si="169"/>
        <v>0</v>
      </c>
      <c r="AH383" s="80">
        <f t="shared" si="169"/>
        <v>0</v>
      </c>
      <c r="AI383" s="80">
        <f t="shared" si="169"/>
        <v>0</v>
      </c>
      <c r="AJ383" s="80">
        <f t="shared" si="169"/>
        <v>0</v>
      </c>
      <c r="AK383" s="80">
        <f t="shared" si="169"/>
        <v>0</v>
      </c>
      <c r="AL383" s="80">
        <f t="shared" si="169"/>
        <v>0</v>
      </c>
      <c r="AM383" s="80">
        <f t="shared" si="169"/>
        <v>0</v>
      </c>
      <c r="AN383" s="80">
        <f t="shared" si="169"/>
        <v>1000000000</v>
      </c>
      <c r="AO383" s="80">
        <f t="shared" si="169"/>
        <v>0</v>
      </c>
      <c r="AP383" s="81">
        <f>SUM(AP384:AP389)</f>
        <v>1500000000</v>
      </c>
      <c r="AQ383" s="80">
        <f>SUM(AQ384:AQ389)</f>
        <v>500000000</v>
      </c>
      <c r="AR383" s="82"/>
      <c r="AS383" s="82"/>
      <c r="AT383" s="82"/>
      <c r="AU383" s="82"/>
      <c r="AV383" s="82"/>
      <c r="AW383" s="82"/>
      <c r="AX383" s="82"/>
      <c r="AY383" s="82"/>
      <c r="AZ383" s="82"/>
      <c r="BA383" s="82">
        <f>SUM(BA384:BA389)</f>
        <v>1500000000</v>
      </c>
      <c r="BB383" s="82"/>
      <c r="BC383" s="82"/>
      <c r="BD383" s="82"/>
      <c r="BE383" s="82"/>
      <c r="BF383" s="82"/>
      <c r="BG383" s="82"/>
      <c r="BH383" s="82"/>
      <c r="BI383" s="82"/>
      <c r="BJ383" s="82"/>
      <c r="BK383" s="82">
        <f>SUM(BK384:BK389)</f>
        <v>1500000000</v>
      </c>
      <c r="BL383" s="82"/>
      <c r="BM383" s="82"/>
      <c r="BN383" s="82"/>
      <c r="BO383" s="82"/>
      <c r="BP383" s="82"/>
      <c r="BQ383" s="82"/>
      <c r="BR383" s="82"/>
      <c r="BS383" s="82"/>
      <c r="BT383" s="82"/>
      <c r="BU383" s="82">
        <f>SUM(BU384:BU389)</f>
        <v>1500000000</v>
      </c>
      <c r="BV383" s="83">
        <f t="shared" si="162"/>
        <v>4500000000</v>
      </c>
    </row>
    <row r="384" spans="1:74" ht="124.5" customHeight="1" x14ac:dyDescent="0.2">
      <c r="A384" s="105">
        <v>248</v>
      </c>
      <c r="B384" s="84">
        <v>5</v>
      </c>
      <c r="C384" s="173"/>
      <c r="D384" s="173"/>
      <c r="E384" s="85">
        <v>37</v>
      </c>
      <c r="F384" s="112" t="s">
        <v>826</v>
      </c>
      <c r="G384" s="113" t="s">
        <v>524</v>
      </c>
      <c r="H384" s="402">
        <v>0.6</v>
      </c>
      <c r="I384" s="94">
        <v>249</v>
      </c>
      <c r="J384" s="90" t="s">
        <v>835</v>
      </c>
      <c r="K384" s="346" t="s">
        <v>836</v>
      </c>
      <c r="L384" s="91" t="s">
        <v>837</v>
      </c>
      <c r="M384" s="308">
        <v>16</v>
      </c>
      <c r="N384" s="457" t="s">
        <v>44</v>
      </c>
      <c r="O384" s="449">
        <v>1</v>
      </c>
      <c r="P384" s="449">
        <v>1</v>
      </c>
      <c r="Q384" s="368">
        <v>1</v>
      </c>
      <c r="R384" s="449">
        <v>1</v>
      </c>
      <c r="S384" s="449">
        <v>1</v>
      </c>
      <c r="T384" s="449">
        <v>1</v>
      </c>
      <c r="U384" s="273">
        <f t="shared" ref="U384:U389" si="170">AP384/$AP$383</f>
        <v>0.13333333333333333</v>
      </c>
      <c r="V384" s="94">
        <v>16</v>
      </c>
      <c r="W384" s="91" t="s">
        <v>363</v>
      </c>
      <c r="X384" s="231"/>
      <c r="Y384" s="136"/>
      <c r="Z384" s="231"/>
      <c r="AA384" s="136"/>
      <c r="AB384" s="141">
        <v>200000000</v>
      </c>
      <c r="AC384" s="136">
        <v>200000000</v>
      </c>
      <c r="AD384" s="141"/>
      <c r="AE384" s="142"/>
      <c r="AF384" s="231"/>
      <c r="AG384" s="136"/>
      <c r="AH384" s="231"/>
      <c r="AI384" s="136"/>
      <c r="AJ384" s="231"/>
      <c r="AK384" s="136"/>
      <c r="AL384" s="231"/>
      <c r="AM384" s="136"/>
      <c r="AN384" s="231"/>
      <c r="AO384" s="136"/>
      <c r="AP384" s="99">
        <f t="shared" ref="AP384:AP389" si="171">+X384+Z384+AB384+AD384+AF384+AH384+AJ384+AL384+AN384</f>
        <v>200000000</v>
      </c>
      <c r="AQ384" s="100">
        <f t="shared" ref="AQ384:AQ389" si="172">Y384+AA384+AC384+AE384+AG384+AI384+AK384+AM384+AO384</f>
        <v>200000000</v>
      </c>
      <c r="AR384" s="109"/>
      <c r="AS384" s="109"/>
      <c r="AT384" s="109">
        <v>200000000</v>
      </c>
      <c r="AU384" s="109"/>
      <c r="AV384" s="109"/>
      <c r="AW384" s="109"/>
      <c r="AX384" s="109"/>
      <c r="AY384" s="109"/>
      <c r="AZ384" s="109"/>
      <c r="BA384" s="109">
        <f t="shared" ref="BA384:BA389" si="173">SUM(AR384:AY384)+AZ384</f>
        <v>200000000</v>
      </c>
      <c r="BB384" s="109"/>
      <c r="BC384" s="109"/>
      <c r="BD384" s="109">
        <v>200000000</v>
      </c>
      <c r="BE384" s="109"/>
      <c r="BF384" s="109"/>
      <c r="BG384" s="109"/>
      <c r="BH384" s="109"/>
      <c r="BI384" s="109"/>
      <c r="BJ384" s="109"/>
      <c r="BK384" s="109">
        <f t="shared" ref="BK384:BK389" si="174">SUM(BB384:BJ384)</f>
        <v>200000000</v>
      </c>
      <c r="BL384" s="109"/>
      <c r="BM384" s="109"/>
      <c r="BN384" s="109">
        <v>200000000</v>
      </c>
      <c r="BO384" s="109"/>
      <c r="BP384" s="109"/>
      <c r="BQ384" s="109"/>
      <c r="BR384" s="109"/>
      <c r="BS384" s="109"/>
      <c r="BT384" s="109"/>
      <c r="BU384" s="109">
        <f t="shared" ref="BU384:BU389" si="175">SUM(BL384:BT384)</f>
        <v>200000000</v>
      </c>
      <c r="BV384" s="103">
        <f t="shared" si="162"/>
        <v>1200000000</v>
      </c>
    </row>
    <row r="385" spans="1:76" ht="108" customHeight="1" x14ac:dyDescent="0.2">
      <c r="A385" s="84">
        <v>249</v>
      </c>
      <c r="B385" s="84">
        <v>5</v>
      </c>
      <c r="C385" s="173"/>
      <c r="D385" s="173"/>
      <c r="E385" s="111"/>
      <c r="F385" s="154"/>
      <c r="G385" s="149"/>
      <c r="H385" s="443"/>
      <c r="I385" s="94">
        <v>250</v>
      </c>
      <c r="J385" s="90" t="s">
        <v>838</v>
      </c>
      <c r="K385" s="346" t="s">
        <v>839</v>
      </c>
      <c r="L385" s="91" t="s">
        <v>837</v>
      </c>
      <c r="M385" s="308">
        <v>16</v>
      </c>
      <c r="N385" s="448" t="s">
        <v>44</v>
      </c>
      <c r="O385" s="449">
        <v>1</v>
      </c>
      <c r="P385" s="449">
        <v>3</v>
      </c>
      <c r="Q385" s="479">
        <v>3</v>
      </c>
      <c r="R385" s="110">
        <v>3</v>
      </c>
      <c r="S385" s="110">
        <v>3</v>
      </c>
      <c r="T385" s="110">
        <v>3</v>
      </c>
      <c r="U385" s="273">
        <f t="shared" si="170"/>
        <v>4.6166666666666668E-2</v>
      </c>
      <c r="V385" s="94">
        <v>16</v>
      </c>
      <c r="W385" s="91" t="s">
        <v>363</v>
      </c>
      <c r="X385" s="231"/>
      <c r="Y385" s="136"/>
      <c r="Z385" s="231"/>
      <c r="AA385" s="136"/>
      <c r="AB385" s="141">
        <v>69250000</v>
      </c>
      <c r="AC385" s="100">
        <v>69250000</v>
      </c>
      <c r="AD385" s="141"/>
      <c r="AE385" s="142"/>
      <c r="AF385" s="231"/>
      <c r="AG385" s="136"/>
      <c r="AH385" s="231"/>
      <c r="AI385" s="136"/>
      <c r="AJ385" s="231"/>
      <c r="AK385" s="136"/>
      <c r="AL385" s="231"/>
      <c r="AM385" s="136"/>
      <c r="AN385" s="231"/>
      <c r="AO385" s="136"/>
      <c r="AP385" s="99">
        <f t="shared" si="171"/>
        <v>69250000</v>
      </c>
      <c r="AQ385" s="100">
        <f t="shared" si="172"/>
        <v>69250000</v>
      </c>
      <c r="AR385" s="109"/>
      <c r="AS385" s="109"/>
      <c r="AT385" s="109">
        <v>69250000</v>
      </c>
      <c r="AU385" s="109"/>
      <c r="AV385" s="109"/>
      <c r="AW385" s="109"/>
      <c r="AX385" s="109"/>
      <c r="AY385" s="109"/>
      <c r="AZ385" s="109"/>
      <c r="BA385" s="109">
        <f t="shared" si="173"/>
        <v>69250000</v>
      </c>
      <c r="BB385" s="109"/>
      <c r="BC385" s="109"/>
      <c r="BD385" s="109">
        <v>60000000</v>
      </c>
      <c r="BE385" s="109"/>
      <c r="BF385" s="109"/>
      <c r="BG385" s="109"/>
      <c r="BH385" s="109"/>
      <c r="BI385" s="109"/>
      <c r="BJ385" s="109"/>
      <c r="BK385" s="109">
        <f t="shared" si="174"/>
        <v>60000000</v>
      </c>
      <c r="BL385" s="109"/>
      <c r="BM385" s="109"/>
      <c r="BN385" s="109">
        <v>60000000</v>
      </c>
      <c r="BO385" s="109"/>
      <c r="BP385" s="109"/>
      <c r="BQ385" s="109"/>
      <c r="BR385" s="109"/>
      <c r="BS385" s="109"/>
      <c r="BT385" s="109"/>
      <c r="BU385" s="109">
        <f t="shared" si="175"/>
        <v>60000000</v>
      </c>
      <c r="BV385" s="103">
        <f t="shared" si="162"/>
        <v>378500000</v>
      </c>
    </row>
    <row r="386" spans="1:76" ht="57" x14ac:dyDescent="0.2">
      <c r="A386" s="105">
        <v>250</v>
      </c>
      <c r="B386" s="84">
        <v>5</v>
      </c>
      <c r="C386" s="173"/>
      <c r="D386" s="173"/>
      <c r="E386" s="111"/>
      <c r="F386" s="154"/>
      <c r="G386" s="149"/>
      <c r="H386" s="443"/>
      <c r="I386" s="94">
        <v>251</v>
      </c>
      <c r="J386" s="90" t="s">
        <v>840</v>
      </c>
      <c r="K386" s="346" t="s">
        <v>841</v>
      </c>
      <c r="L386" s="91" t="s">
        <v>837</v>
      </c>
      <c r="M386" s="308">
        <v>16</v>
      </c>
      <c r="N386" s="147" t="s">
        <v>44</v>
      </c>
      <c r="O386" s="449">
        <v>0</v>
      </c>
      <c r="P386" s="449">
        <v>1</v>
      </c>
      <c r="Q386" s="246">
        <v>1</v>
      </c>
      <c r="R386" s="117">
        <v>1</v>
      </c>
      <c r="S386" s="117">
        <v>1</v>
      </c>
      <c r="T386" s="117">
        <v>1</v>
      </c>
      <c r="U386" s="273">
        <f t="shared" si="170"/>
        <v>0.13716666666666666</v>
      </c>
      <c r="V386" s="94">
        <v>16</v>
      </c>
      <c r="W386" s="91" t="s">
        <v>363</v>
      </c>
      <c r="X386" s="231"/>
      <c r="Y386" s="136"/>
      <c r="Z386" s="231"/>
      <c r="AA386" s="136"/>
      <c r="AB386" s="141">
        <v>205750000</v>
      </c>
      <c r="AC386" s="100">
        <v>205750000</v>
      </c>
      <c r="AD386" s="141"/>
      <c r="AE386" s="142"/>
      <c r="AF386" s="231"/>
      <c r="AG386" s="136"/>
      <c r="AH386" s="231"/>
      <c r="AI386" s="136"/>
      <c r="AJ386" s="231"/>
      <c r="AK386" s="136"/>
      <c r="AL386" s="231"/>
      <c r="AM386" s="136"/>
      <c r="AN386" s="231"/>
      <c r="AO386" s="136"/>
      <c r="AP386" s="99">
        <f t="shared" si="171"/>
        <v>205750000</v>
      </c>
      <c r="AQ386" s="100">
        <f t="shared" si="172"/>
        <v>205750000</v>
      </c>
      <c r="AR386" s="109"/>
      <c r="AS386" s="109"/>
      <c r="AT386" s="109">
        <v>205750000</v>
      </c>
      <c r="AU386" s="109"/>
      <c r="AV386" s="109"/>
      <c r="AW386" s="109"/>
      <c r="AX386" s="109"/>
      <c r="AY386" s="109"/>
      <c r="AZ386" s="109"/>
      <c r="BA386" s="109">
        <f t="shared" si="173"/>
        <v>205750000</v>
      </c>
      <c r="BB386" s="109"/>
      <c r="BC386" s="109"/>
      <c r="BD386" s="109">
        <v>205000000</v>
      </c>
      <c r="BE386" s="109"/>
      <c r="BF386" s="109"/>
      <c r="BG386" s="109"/>
      <c r="BH386" s="109"/>
      <c r="BI386" s="109"/>
      <c r="BJ386" s="109"/>
      <c r="BK386" s="109">
        <f t="shared" si="174"/>
        <v>205000000</v>
      </c>
      <c r="BL386" s="109"/>
      <c r="BM386" s="109"/>
      <c r="BN386" s="109">
        <v>205000000</v>
      </c>
      <c r="BO386" s="109"/>
      <c r="BP386" s="109"/>
      <c r="BQ386" s="109"/>
      <c r="BR386" s="109"/>
      <c r="BS386" s="109"/>
      <c r="BT386" s="109"/>
      <c r="BU386" s="109">
        <f t="shared" si="175"/>
        <v>205000000</v>
      </c>
      <c r="BV386" s="103">
        <f t="shared" si="162"/>
        <v>1231500000</v>
      </c>
    </row>
    <row r="387" spans="1:76" ht="85.5" x14ac:dyDescent="0.2">
      <c r="A387" s="84">
        <v>251</v>
      </c>
      <c r="B387" s="84">
        <v>5</v>
      </c>
      <c r="C387" s="173"/>
      <c r="D387" s="173"/>
      <c r="E387" s="111"/>
      <c r="F387" s="154"/>
      <c r="G387" s="149"/>
      <c r="H387" s="443"/>
      <c r="I387" s="94">
        <v>252</v>
      </c>
      <c r="J387" s="90" t="s">
        <v>842</v>
      </c>
      <c r="K387" s="346" t="s">
        <v>843</v>
      </c>
      <c r="L387" s="91" t="s">
        <v>837</v>
      </c>
      <c r="M387" s="308">
        <v>16</v>
      </c>
      <c r="N387" s="147" t="s">
        <v>58</v>
      </c>
      <c r="O387" s="449">
        <v>4</v>
      </c>
      <c r="P387" s="449">
        <v>3</v>
      </c>
      <c r="Q387" s="347">
        <v>0</v>
      </c>
      <c r="R387" s="117">
        <v>0</v>
      </c>
      <c r="S387" s="117">
        <v>1</v>
      </c>
      <c r="T387" s="117">
        <v>2</v>
      </c>
      <c r="U387" s="273">
        <f t="shared" si="170"/>
        <v>0</v>
      </c>
      <c r="V387" s="94">
        <v>16</v>
      </c>
      <c r="W387" s="91" t="s">
        <v>363</v>
      </c>
      <c r="X387" s="231"/>
      <c r="Y387" s="136"/>
      <c r="Z387" s="231"/>
      <c r="AA387" s="136"/>
      <c r="AB387" s="141"/>
      <c r="AC387" s="142"/>
      <c r="AD387" s="141"/>
      <c r="AE387" s="142"/>
      <c r="AF387" s="231"/>
      <c r="AG387" s="136"/>
      <c r="AH387" s="231"/>
      <c r="AI387" s="136"/>
      <c r="AJ387" s="231"/>
      <c r="AK387" s="136"/>
      <c r="AL387" s="231"/>
      <c r="AM387" s="136"/>
      <c r="AN387" s="231"/>
      <c r="AO387" s="136"/>
      <c r="AP387" s="99">
        <f t="shared" si="171"/>
        <v>0</v>
      </c>
      <c r="AQ387" s="100">
        <f t="shared" si="172"/>
        <v>0</v>
      </c>
      <c r="AR387" s="109"/>
      <c r="AS387" s="109"/>
      <c r="AT387" s="109">
        <v>0</v>
      </c>
      <c r="AU387" s="109"/>
      <c r="AV387" s="109"/>
      <c r="AW387" s="109"/>
      <c r="AX387" s="109"/>
      <c r="AY387" s="109"/>
      <c r="AZ387" s="109"/>
      <c r="BA387" s="109">
        <f t="shared" si="173"/>
        <v>0</v>
      </c>
      <c r="BB387" s="109"/>
      <c r="BC387" s="109"/>
      <c r="BD387" s="109">
        <v>10000000</v>
      </c>
      <c r="BE387" s="109"/>
      <c r="BF387" s="109"/>
      <c r="BG387" s="109"/>
      <c r="BH387" s="109"/>
      <c r="BI387" s="109"/>
      <c r="BJ387" s="109"/>
      <c r="BK387" s="109">
        <f t="shared" si="174"/>
        <v>10000000</v>
      </c>
      <c r="BL387" s="109"/>
      <c r="BM387" s="109"/>
      <c r="BN387" s="109">
        <v>10000000</v>
      </c>
      <c r="BO387" s="109"/>
      <c r="BP387" s="109"/>
      <c r="BQ387" s="109"/>
      <c r="BR387" s="109"/>
      <c r="BS387" s="109"/>
      <c r="BT387" s="109"/>
      <c r="BU387" s="109">
        <f t="shared" si="175"/>
        <v>10000000</v>
      </c>
      <c r="BV387" s="103">
        <f t="shared" si="162"/>
        <v>40000000</v>
      </c>
    </row>
    <row r="388" spans="1:76" ht="66" customHeight="1" x14ac:dyDescent="0.2">
      <c r="A388" s="84"/>
      <c r="B388" s="84"/>
      <c r="C388" s="173"/>
      <c r="D388" s="173"/>
      <c r="E388" s="111"/>
      <c r="F388" s="154"/>
      <c r="G388" s="149"/>
      <c r="H388" s="443"/>
      <c r="I388" s="94">
        <v>253</v>
      </c>
      <c r="J388" s="247" t="s">
        <v>844</v>
      </c>
      <c r="K388" s="346" t="s">
        <v>845</v>
      </c>
      <c r="L388" s="91" t="s">
        <v>837</v>
      </c>
      <c r="M388" s="308">
        <v>16</v>
      </c>
      <c r="N388" s="480" t="s">
        <v>58</v>
      </c>
      <c r="O388" s="368">
        <v>0</v>
      </c>
      <c r="P388" s="367">
        <v>1</v>
      </c>
      <c r="Q388" s="481">
        <v>0.25</v>
      </c>
      <c r="R388" s="481">
        <v>0.25</v>
      </c>
      <c r="S388" s="481">
        <v>0.25</v>
      </c>
      <c r="T388" s="481">
        <v>0.25</v>
      </c>
      <c r="U388" s="273">
        <f t="shared" si="170"/>
        <v>0.66666666666666663</v>
      </c>
      <c r="V388" s="94">
        <v>16</v>
      </c>
      <c r="W388" s="91" t="s">
        <v>363</v>
      </c>
      <c r="X388" s="231"/>
      <c r="Y388" s="136"/>
      <c r="Z388" s="231"/>
      <c r="AA388" s="136"/>
      <c r="AB388" s="141"/>
      <c r="AC388" s="142"/>
      <c r="AD388" s="141"/>
      <c r="AE388" s="142"/>
      <c r="AF388" s="231"/>
      <c r="AG388" s="136"/>
      <c r="AH388" s="231"/>
      <c r="AI388" s="136"/>
      <c r="AJ388" s="231"/>
      <c r="AK388" s="136"/>
      <c r="AL388" s="231"/>
      <c r="AM388" s="136"/>
      <c r="AN388" s="231">
        <v>1000000000</v>
      </c>
      <c r="AO388" s="136"/>
      <c r="AP388" s="99">
        <f t="shared" si="171"/>
        <v>1000000000</v>
      </c>
      <c r="AQ388" s="100">
        <f t="shared" si="172"/>
        <v>0</v>
      </c>
      <c r="AR388" s="109"/>
      <c r="AS388" s="109"/>
      <c r="AT388" s="109" t="s">
        <v>0</v>
      </c>
      <c r="AU388" s="109"/>
      <c r="AV388" s="109"/>
      <c r="AW388" s="109"/>
      <c r="AX388" s="109"/>
      <c r="AY388" s="109"/>
      <c r="AZ388" s="109">
        <v>1000000000</v>
      </c>
      <c r="BA388" s="109">
        <f t="shared" si="173"/>
        <v>1000000000</v>
      </c>
      <c r="BB388" s="109"/>
      <c r="BC388" s="109"/>
      <c r="BD388" s="109" t="s">
        <v>0</v>
      </c>
      <c r="BE388" s="109"/>
      <c r="BF388" s="109"/>
      <c r="BG388" s="109"/>
      <c r="BH388" s="109"/>
      <c r="BI388" s="109"/>
      <c r="BJ388" s="109">
        <v>1000000000</v>
      </c>
      <c r="BK388" s="109">
        <f t="shared" si="174"/>
        <v>1000000000</v>
      </c>
      <c r="BL388" s="109"/>
      <c r="BM388" s="109"/>
      <c r="BN388" s="109" t="s">
        <v>0</v>
      </c>
      <c r="BO388" s="109"/>
      <c r="BP388" s="109"/>
      <c r="BQ388" s="109"/>
      <c r="BR388" s="109"/>
      <c r="BS388" s="109"/>
      <c r="BT388" s="109">
        <v>1000000000</v>
      </c>
      <c r="BU388" s="109">
        <f t="shared" si="175"/>
        <v>1000000000</v>
      </c>
      <c r="BV388" s="103">
        <f t="shared" si="162"/>
        <v>6000000000</v>
      </c>
    </row>
    <row r="389" spans="1:76" ht="114" x14ac:dyDescent="0.2">
      <c r="A389" s="105">
        <v>252</v>
      </c>
      <c r="B389" s="84">
        <v>5</v>
      </c>
      <c r="C389" s="173"/>
      <c r="D389" s="173"/>
      <c r="E389" s="110"/>
      <c r="F389" s="114"/>
      <c r="G389" s="116"/>
      <c r="H389" s="403"/>
      <c r="I389" s="94">
        <v>254</v>
      </c>
      <c r="J389" s="247" t="s">
        <v>846</v>
      </c>
      <c r="K389" s="346" t="s">
        <v>847</v>
      </c>
      <c r="L389" s="91" t="s">
        <v>837</v>
      </c>
      <c r="M389" s="308">
        <v>16</v>
      </c>
      <c r="N389" s="248" t="s">
        <v>44</v>
      </c>
      <c r="O389" s="368">
        <v>0</v>
      </c>
      <c r="P389" s="367">
        <v>1</v>
      </c>
      <c r="Q389" s="248">
        <v>1</v>
      </c>
      <c r="R389" s="117">
        <v>1</v>
      </c>
      <c r="S389" s="117">
        <v>1</v>
      </c>
      <c r="T389" s="117">
        <v>1</v>
      </c>
      <c r="U389" s="273">
        <f t="shared" si="170"/>
        <v>1.6666666666666666E-2</v>
      </c>
      <c r="V389" s="94">
        <v>16</v>
      </c>
      <c r="W389" s="91" t="s">
        <v>363</v>
      </c>
      <c r="X389" s="231"/>
      <c r="Y389" s="136"/>
      <c r="Z389" s="231"/>
      <c r="AA389" s="136"/>
      <c r="AB389" s="141">
        <v>25000000</v>
      </c>
      <c r="AC389" s="101">
        <v>25000000</v>
      </c>
      <c r="AD389" s="141"/>
      <c r="AE389" s="142"/>
      <c r="AF389" s="231"/>
      <c r="AG389" s="136"/>
      <c r="AH389" s="231"/>
      <c r="AI389" s="136"/>
      <c r="AJ389" s="231"/>
      <c r="AK389" s="136"/>
      <c r="AL389" s="231"/>
      <c r="AM389" s="136"/>
      <c r="AN389" s="231"/>
      <c r="AO389" s="136"/>
      <c r="AP389" s="99">
        <f t="shared" si="171"/>
        <v>25000000</v>
      </c>
      <c r="AQ389" s="100">
        <f t="shared" si="172"/>
        <v>25000000</v>
      </c>
      <c r="AR389" s="109"/>
      <c r="AS389" s="109"/>
      <c r="AT389" s="109">
        <v>25000000</v>
      </c>
      <c r="AU389" s="109"/>
      <c r="AV389" s="109"/>
      <c r="AW389" s="109"/>
      <c r="AX389" s="109"/>
      <c r="AY389" s="109"/>
      <c r="AZ389" s="109"/>
      <c r="BA389" s="109">
        <f t="shared" si="173"/>
        <v>25000000</v>
      </c>
      <c r="BB389" s="109"/>
      <c r="BC389" s="109"/>
      <c r="BD389" s="109">
        <v>25000000</v>
      </c>
      <c r="BE389" s="109"/>
      <c r="BF389" s="109"/>
      <c r="BG389" s="109"/>
      <c r="BH389" s="109"/>
      <c r="BI389" s="109"/>
      <c r="BJ389" s="109"/>
      <c r="BK389" s="109">
        <f t="shared" si="174"/>
        <v>25000000</v>
      </c>
      <c r="BL389" s="109"/>
      <c r="BM389" s="109"/>
      <c r="BN389" s="109">
        <v>25000000</v>
      </c>
      <c r="BO389" s="109"/>
      <c r="BP389" s="109"/>
      <c r="BQ389" s="109"/>
      <c r="BR389" s="109"/>
      <c r="BS389" s="109"/>
      <c r="BT389" s="109"/>
      <c r="BU389" s="109">
        <f t="shared" si="175"/>
        <v>25000000</v>
      </c>
      <c r="BV389" s="103">
        <f t="shared" si="162"/>
        <v>150000000</v>
      </c>
    </row>
    <row r="390" spans="1:76" ht="27.75" customHeight="1" x14ac:dyDescent="0.2">
      <c r="A390" s="105"/>
      <c r="B390" s="84"/>
      <c r="C390" s="173"/>
      <c r="D390" s="173"/>
      <c r="E390" s="71">
        <v>86</v>
      </c>
      <c r="F390" s="72" t="s">
        <v>848</v>
      </c>
      <c r="G390" s="75"/>
      <c r="H390" s="75"/>
      <c r="I390" s="74"/>
      <c r="J390" s="75"/>
      <c r="K390" s="75"/>
      <c r="L390" s="220"/>
      <c r="M390" s="473"/>
      <c r="N390" s="477"/>
      <c r="O390" s="75"/>
      <c r="P390" s="75"/>
      <c r="Q390" s="472"/>
      <c r="R390" s="185"/>
      <c r="S390" s="185"/>
      <c r="T390" s="473"/>
      <c r="U390" s="482"/>
      <c r="V390" s="473"/>
      <c r="W390" s="473"/>
      <c r="X390" s="80">
        <f t="shared" ref="X390:AO390" si="176">SUM(X391)</f>
        <v>0</v>
      </c>
      <c r="Y390" s="80">
        <f t="shared" si="176"/>
        <v>0</v>
      </c>
      <c r="Z390" s="80">
        <f t="shared" si="176"/>
        <v>0</v>
      </c>
      <c r="AA390" s="80">
        <f t="shared" si="176"/>
        <v>0</v>
      </c>
      <c r="AB390" s="80">
        <f t="shared" si="176"/>
        <v>80000000</v>
      </c>
      <c r="AC390" s="80">
        <f t="shared" si="176"/>
        <v>80000000</v>
      </c>
      <c r="AD390" s="80">
        <f t="shared" si="176"/>
        <v>0</v>
      </c>
      <c r="AE390" s="80">
        <f t="shared" si="176"/>
        <v>0</v>
      </c>
      <c r="AF390" s="80">
        <f t="shared" si="176"/>
        <v>0</v>
      </c>
      <c r="AG390" s="80">
        <f t="shared" si="176"/>
        <v>0</v>
      </c>
      <c r="AH390" s="80">
        <f t="shared" si="176"/>
        <v>0</v>
      </c>
      <c r="AI390" s="80">
        <f t="shared" si="176"/>
        <v>0</v>
      </c>
      <c r="AJ390" s="80">
        <f t="shared" si="176"/>
        <v>0</v>
      </c>
      <c r="AK390" s="80">
        <f t="shared" si="176"/>
        <v>0</v>
      </c>
      <c r="AL390" s="80">
        <f t="shared" si="176"/>
        <v>0</v>
      </c>
      <c r="AM390" s="80">
        <f t="shared" si="176"/>
        <v>0</v>
      </c>
      <c r="AN390" s="80">
        <f t="shared" si="176"/>
        <v>0</v>
      </c>
      <c r="AO390" s="80">
        <f t="shared" si="176"/>
        <v>0</v>
      </c>
      <c r="AP390" s="81">
        <f>SUM(AP391)</f>
        <v>80000000</v>
      </c>
      <c r="AQ390" s="80">
        <f>SUM(AQ391)</f>
        <v>80000000</v>
      </c>
      <c r="AR390" s="82"/>
      <c r="AS390" s="82"/>
      <c r="AT390" s="82"/>
      <c r="AU390" s="82"/>
      <c r="AV390" s="82"/>
      <c r="AW390" s="82"/>
      <c r="AX390" s="82"/>
      <c r="AY390" s="82"/>
      <c r="AZ390" s="82"/>
      <c r="BA390" s="82">
        <f>SUM(BA391)</f>
        <v>80000000</v>
      </c>
      <c r="BB390" s="82"/>
      <c r="BC390" s="82"/>
      <c r="BD390" s="82"/>
      <c r="BE390" s="82"/>
      <c r="BF390" s="82"/>
      <c r="BG390" s="82"/>
      <c r="BH390" s="82"/>
      <c r="BI390" s="82"/>
      <c r="BJ390" s="82"/>
      <c r="BK390" s="82">
        <f>SUM(BK391)</f>
        <v>80000000</v>
      </c>
      <c r="BL390" s="82"/>
      <c r="BM390" s="82"/>
      <c r="BN390" s="82"/>
      <c r="BO390" s="82"/>
      <c r="BP390" s="82"/>
      <c r="BQ390" s="82"/>
      <c r="BR390" s="82"/>
      <c r="BS390" s="82"/>
      <c r="BT390" s="82"/>
      <c r="BU390" s="82">
        <f>SUM(BU391)</f>
        <v>80000000</v>
      </c>
      <c r="BV390" s="83">
        <f t="shared" si="162"/>
        <v>240000000</v>
      </c>
    </row>
    <row r="391" spans="1:76" ht="71.25" x14ac:dyDescent="0.2">
      <c r="A391" s="84">
        <v>253</v>
      </c>
      <c r="B391" s="84">
        <v>5</v>
      </c>
      <c r="C391" s="173"/>
      <c r="D391" s="237"/>
      <c r="E391" s="117">
        <v>37</v>
      </c>
      <c r="F391" s="86" t="s">
        <v>826</v>
      </c>
      <c r="G391" s="120" t="s">
        <v>524</v>
      </c>
      <c r="H391" s="338">
        <v>0.6</v>
      </c>
      <c r="I391" s="94">
        <v>255</v>
      </c>
      <c r="J391" s="90" t="s">
        <v>849</v>
      </c>
      <c r="K391" s="346" t="s">
        <v>850</v>
      </c>
      <c r="L391" s="94" t="s">
        <v>829</v>
      </c>
      <c r="M391" s="248">
        <v>16</v>
      </c>
      <c r="N391" s="117" t="s">
        <v>44</v>
      </c>
      <c r="O391" s="449">
        <v>12</v>
      </c>
      <c r="P391" s="449">
        <v>12</v>
      </c>
      <c r="Q391" s="248">
        <v>12</v>
      </c>
      <c r="R391" s="117">
        <v>12</v>
      </c>
      <c r="S391" s="117">
        <v>12</v>
      </c>
      <c r="T391" s="117">
        <v>12</v>
      </c>
      <c r="U391" s="273">
        <f>AP391/AP390</f>
        <v>1</v>
      </c>
      <c r="V391" s="95">
        <v>16</v>
      </c>
      <c r="W391" s="92" t="s">
        <v>363</v>
      </c>
      <c r="X391" s="231"/>
      <c r="Y391" s="136"/>
      <c r="Z391" s="231"/>
      <c r="AA391" s="136"/>
      <c r="AB391" s="141">
        <f>76685000+3315000</f>
        <v>80000000</v>
      </c>
      <c r="AC391" s="142">
        <v>80000000</v>
      </c>
      <c r="AD391" s="141"/>
      <c r="AE391" s="142"/>
      <c r="AF391" s="231"/>
      <c r="AG391" s="136"/>
      <c r="AH391" s="231"/>
      <c r="AI391" s="136"/>
      <c r="AJ391" s="231"/>
      <c r="AK391" s="136"/>
      <c r="AL391" s="231"/>
      <c r="AM391" s="136"/>
      <c r="AN391" s="231"/>
      <c r="AO391" s="136"/>
      <c r="AP391" s="99">
        <f>+X391+Z391+AB391+AD391+AF391+AH391+AJ391+AL391+AN391</f>
        <v>80000000</v>
      </c>
      <c r="AQ391" s="100">
        <f>Y391+AA391+AC391+AE391+AG391+AI391+AK391+AM391+AO391</f>
        <v>80000000</v>
      </c>
      <c r="AR391" s="109"/>
      <c r="AS391" s="109"/>
      <c r="AT391" s="109">
        <v>80000000</v>
      </c>
      <c r="AU391" s="109"/>
      <c r="AV391" s="109"/>
      <c r="AW391" s="109"/>
      <c r="AX391" s="109"/>
      <c r="AY391" s="109"/>
      <c r="AZ391" s="109"/>
      <c r="BA391" s="109">
        <f>SUM(AR391:AY391)+AZ391</f>
        <v>80000000</v>
      </c>
      <c r="BB391" s="109"/>
      <c r="BC391" s="109"/>
      <c r="BD391" s="109">
        <v>80000000</v>
      </c>
      <c r="BE391" s="109"/>
      <c r="BF391" s="109"/>
      <c r="BG391" s="109"/>
      <c r="BH391" s="109"/>
      <c r="BI391" s="109"/>
      <c r="BJ391" s="109"/>
      <c r="BK391" s="109">
        <f>SUM(BB391:BJ391)</f>
        <v>80000000</v>
      </c>
      <c r="BL391" s="109"/>
      <c r="BM391" s="109"/>
      <c r="BN391" s="109">
        <v>80000000</v>
      </c>
      <c r="BO391" s="109"/>
      <c r="BP391" s="109"/>
      <c r="BQ391" s="109"/>
      <c r="BR391" s="109"/>
      <c r="BS391" s="109"/>
      <c r="BT391" s="109"/>
      <c r="BU391" s="109">
        <f>SUM(BL391:BT391)</f>
        <v>80000000</v>
      </c>
      <c r="BV391" s="103">
        <f t="shared" si="162"/>
        <v>480000000</v>
      </c>
    </row>
    <row r="392" spans="1:76" s="208" customFormat="1" ht="26.25" customHeight="1" x14ac:dyDescent="0.2">
      <c r="A392" s="199"/>
      <c r="B392" s="199"/>
      <c r="C392" s="173"/>
      <c r="D392" s="56">
        <v>28</v>
      </c>
      <c r="E392" s="170" t="s">
        <v>851</v>
      </c>
      <c r="F392" s="58"/>
      <c r="G392" s="59"/>
      <c r="H392" s="59"/>
      <c r="I392" s="60"/>
      <c r="J392" s="61"/>
      <c r="K392" s="61"/>
      <c r="L392" s="483"/>
      <c r="M392" s="484"/>
      <c r="N392" s="485"/>
      <c r="O392" s="61"/>
      <c r="P392" s="61"/>
      <c r="Q392" s="486"/>
      <c r="R392" s="487"/>
      <c r="S392" s="487"/>
      <c r="T392" s="484"/>
      <c r="U392" s="171"/>
      <c r="V392" s="60"/>
      <c r="W392" s="60"/>
      <c r="X392" s="66">
        <f t="shared" ref="X392:AO392" si="177">X393+X413+X419</f>
        <v>0</v>
      </c>
      <c r="Y392" s="66">
        <f t="shared" si="177"/>
        <v>0</v>
      </c>
      <c r="Z392" s="66">
        <f t="shared" si="177"/>
        <v>64260244</v>
      </c>
      <c r="AA392" s="66">
        <f t="shared" si="177"/>
        <v>46963067.460000001</v>
      </c>
      <c r="AB392" s="66">
        <f t="shared" si="177"/>
        <v>3008020116</v>
      </c>
      <c r="AC392" s="66">
        <f t="shared" si="177"/>
        <v>3008020116</v>
      </c>
      <c r="AD392" s="66">
        <f t="shared" si="177"/>
        <v>435000000</v>
      </c>
      <c r="AE392" s="66">
        <f t="shared" si="177"/>
        <v>170000000</v>
      </c>
      <c r="AF392" s="66">
        <f t="shared" si="177"/>
        <v>0</v>
      </c>
      <c r="AG392" s="66">
        <f t="shared" si="177"/>
        <v>0</v>
      </c>
      <c r="AH392" s="66">
        <f t="shared" si="177"/>
        <v>0</v>
      </c>
      <c r="AI392" s="66">
        <f t="shared" si="177"/>
        <v>0</v>
      </c>
      <c r="AJ392" s="66">
        <f t="shared" si="177"/>
        <v>0</v>
      </c>
      <c r="AK392" s="66">
        <f t="shared" si="177"/>
        <v>0</v>
      </c>
      <c r="AL392" s="66">
        <f t="shared" si="177"/>
        <v>0</v>
      </c>
      <c r="AM392" s="66">
        <f t="shared" si="177"/>
        <v>0</v>
      </c>
      <c r="AN392" s="66">
        <f t="shared" si="177"/>
        <v>4097000000</v>
      </c>
      <c r="AO392" s="66">
        <f t="shared" si="177"/>
        <v>0</v>
      </c>
      <c r="AP392" s="67">
        <f>AP393+AP413+AP419</f>
        <v>7604280360</v>
      </c>
      <c r="AQ392" s="66">
        <f>AQ393+AQ413+AQ419</f>
        <v>3224983183.46</v>
      </c>
      <c r="AR392" s="68"/>
      <c r="AS392" s="68"/>
      <c r="AT392" s="68"/>
      <c r="AU392" s="68"/>
      <c r="AV392" s="68"/>
      <c r="AW392" s="68"/>
      <c r="AX392" s="68"/>
      <c r="AY392" s="68"/>
      <c r="AZ392" s="68"/>
      <c r="BA392" s="68">
        <f>BA393+BA413+BA419</f>
        <v>8015352274</v>
      </c>
      <c r="BB392" s="68"/>
      <c r="BC392" s="68"/>
      <c r="BD392" s="68"/>
      <c r="BE392" s="68"/>
      <c r="BF392" s="68"/>
      <c r="BG392" s="68"/>
      <c r="BH392" s="68"/>
      <c r="BI392" s="68"/>
      <c r="BJ392" s="68"/>
      <c r="BK392" s="68">
        <f>BK393+BK413+BK419</f>
        <v>3477740749</v>
      </c>
      <c r="BL392" s="68"/>
      <c r="BM392" s="68"/>
      <c r="BN392" s="68"/>
      <c r="BO392" s="68"/>
      <c r="BP392" s="68"/>
      <c r="BQ392" s="68"/>
      <c r="BR392" s="68"/>
      <c r="BS392" s="68"/>
      <c r="BT392" s="68"/>
      <c r="BU392" s="68">
        <f>BU393+BU413+BU419</f>
        <v>3393709080</v>
      </c>
      <c r="BV392" s="172">
        <f t="shared" si="162"/>
        <v>14886802103</v>
      </c>
      <c r="BW392" s="1"/>
      <c r="BX392" s="1"/>
    </row>
    <row r="393" spans="1:76" s="208" customFormat="1" ht="26.25" customHeight="1" x14ac:dyDescent="0.2">
      <c r="A393" s="199"/>
      <c r="B393" s="199"/>
      <c r="C393" s="173"/>
      <c r="D393" s="245"/>
      <c r="E393" s="71">
        <v>87</v>
      </c>
      <c r="F393" s="72" t="s">
        <v>852</v>
      </c>
      <c r="G393" s="75"/>
      <c r="H393" s="75"/>
      <c r="I393" s="76"/>
      <c r="J393" s="72"/>
      <c r="K393" s="75"/>
      <c r="L393" s="74"/>
      <c r="M393" s="76"/>
      <c r="N393" s="77"/>
      <c r="O393" s="75"/>
      <c r="P393" s="75"/>
      <c r="Q393" s="78"/>
      <c r="R393" s="75"/>
      <c r="S393" s="75"/>
      <c r="T393" s="76"/>
      <c r="U393" s="174"/>
      <c r="V393" s="76"/>
      <c r="W393" s="76"/>
      <c r="X393" s="80">
        <f t="shared" ref="X393:AO393" si="178">SUM(X394:X412)</f>
        <v>0</v>
      </c>
      <c r="Y393" s="80">
        <f t="shared" si="178"/>
        <v>0</v>
      </c>
      <c r="Z393" s="80">
        <f t="shared" si="178"/>
        <v>0</v>
      </c>
      <c r="AA393" s="80">
        <f t="shared" si="178"/>
        <v>0</v>
      </c>
      <c r="AB393" s="80">
        <f t="shared" si="178"/>
        <v>980000000</v>
      </c>
      <c r="AC393" s="80">
        <f t="shared" si="178"/>
        <v>980000000</v>
      </c>
      <c r="AD393" s="80">
        <f t="shared" si="178"/>
        <v>0</v>
      </c>
      <c r="AE393" s="80">
        <f t="shared" si="178"/>
        <v>0</v>
      </c>
      <c r="AF393" s="80">
        <f t="shared" si="178"/>
        <v>0</v>
      </c>
      <c r="AG393" s="80">
        <f t="shared" si="178"/>
        <v>0</v>
      </c>
      <c r="AH393" s="80">
        <f t="shared" si="178"/>
        <v>0</v>
      </c>
      <c r="AI393" s="80">
        <f t="shared" si="178"/>
        <v>0</v>
      </c>
      <c r="AJ393" s="80">
        <f t="shared" si="178"/>
        <v>0</v>
      </c>
      <c r="AK393" s="80">
        <f t="shared" si="178"/>
        <v>0</v>
      </c>
      <c r="AL393" s="80">
        <f t="shared" si="178"/>
        <v>0</v>
      </c>
      <c r="AM393" s="80">
        <f t="shared" si="178"/>
        <v>0</v>
      </c>
      <c r="AN393" s="80">
        <f t="shared" si="178"/>
        <v>4097000000</v>
      </c>
      <c r="AO393" s="80">
        <f t="shared" si="178"/>
        <v>0</v>
      </c>
      <c r="AP393" s="81">
        <f>SUM(AP394:AP412)</f>
        <v>5077000000</v>
      </c>
      <c r="AQ393" s="80">
        <f>SUM(AQ394:AQ412)</f>
        <v>980000000</v>
      </c>
      <c r="AR393" s="82"/>
      <c r="AS393" s="82"/>
      <c r="AT393" s="82"/>
      <c r="AU393" s="82"/>
      <c r="AV393" s="82"/>
      <c r="AW393" s="82"/>
      <c r="AX393" s="82"/>
      <c r="AY393" s="82"/>
      <c r="AZ393" s="82"/>
      <c r="BA393" s="82">
        <f>SUM(BA394:BA412)</f>
        <v>2420000000</v>
      </c>
      <c r="BB393" s="82"/>
      <c r="BC393" s="82"/>
      <c r="BD393" s="82"/>
      <c r="BE393" s="82"/>
      <c r="BF393" s="82"/>
      <c r="BG393" s="82"/>
      <c r="BH393" s="82"/>
      <c r="BI393" s="82"/>
      <c r="BJ393" s="82"/>
      <c r="BK393" s="82">
        <f>SUM(BK394:BK412)</f>
        <v>2420000000</v>
      </c>
      <c r="BL393" s="82"/>
      <c r="BM393" s="82"/>
      <c r="BN393" s="82"/>
      <c r="BO393" s="82"/>
      <c r="BP393" s="82"/>
      <c r="BQ393" s="82"/>
      <c r="BR393" s="82"/>
      <c r="BS393" s="82"/>
      <c r="BT393" s="82"/>
      <c r="BU393" s="82">
        <f>SUM(BU394:BU412)</f>
        <v>2400000000</v>
      </c>
      <c r="BV393" s="83">
        <f t="shared" si="162"/>
        <v>7240000000</v>
      </c>
      <c r="BW393" s="1"/>
      <c r="BX393" s="1"/>
    </row>
    <row r="394" spans="1:76" ht="96.75" customHeight="1" x14ac:dyDescent="0.2">
      <c r="A394" s="105">
        <v>254</v>
      </c>
      <c r="B394" s="84">
        <v>5</v>
      </c>
      <c r="C394" s="173"/>
      <c r="D394" s="200"/>
      <c r="E394" s="85">
        <v>38</v>
      </c>
      <c r="F394" s="112" t="s">
        <v>795</v>
      </c>
      <c r="G394" s="85">
        <v>0</v>
      </c>
      <c r="H394" s="85">
        <v>2</v>
      </c>
      <c r="I394" s="94">
        <v>256</v>
      </c>
      <c r="J394" s="90" t="s">
        <v>853</v>
      </c>
      <c r="K394" s="346" t="s">
        <v>854</v>
      </c>
      <c r="L394" s="91" t="s">
        <v>817</v>
      </c>
      <c r="M394" s="308">
        <v>17</v>
      </c>
      <c r="N394" s="457" t="s">
        <v>58</v>
      </c>
      <c r="O394" s="449">
        <v>1</v>
      </c>
      <c r="P394" s="449">
        <v>1</v>
      </c>
      <c r="Q394" s="368">
        <v>1</v>
      </c>
      <c r="R394" s="449">
        <v>0</v>
      </c>
      <c r="S394" s="449">
        <v>0</v>
      </c>
      <c r="T394" s="449">
        <v>0</v>
      </c>
      <c r="U394" s="273">
        <f t="shared" ref="U394:U412" si="179">AP394/$AP$393</f>
        <v>3.8713807366555053E-2</v>
      </c>
      <c r="V394" s="94">
        <v>16</v>
      </c>
      <c r="W394" s="91" t="s">
        <v>363</v>
      </c>
      <c r="X394" s="231"/>
      <c r="Y394" s="136"/>
      <c r="Z394" s="231"/>
      <c r="AA394" s="136"/>
      <c r="AB394" s="136">
        <v>196550000</v>
      </c>
      <c r="AC394" s="136">
        <v>196550000</v>
      </c>
      <c r="AD394" s="253"/>
      <c r="AE394" s="249"/>
      <c r="AF394" s="231"/>
      <c r="AG394" s="136"/>
      <c r="AH394" s="231"/>
      <c r="AI394" s="136"/>
      <c r="AJ394" s="231"/>
      <c r="AK394" s="136"/>
      <c r="AL394" s="231"/>
      <c r="AM394" s="136"/>
      <c r="AN394" s="231"/>
      <c r="AO394" s="136"/>
      <c r="AP394" s="99">
        <f t="shared" ref="AP394:AP412" si="180">+X394+Z394+AB394+AD394+AF394+AH394+AJ394+AL394+AN394</f>
        <v>196550000</v>
      </c>
      <c r="AQ394" s="100">
        <f t="shared" ref="AQ394:AQ412" si="181">Y394+AA394+AC394+AE394+AG394+AI394+AK394+AM394+AO394</f>
        <v>196550000</v>
      </c>
      <c r="AR394" s="109"/>
      <c r="AS394" s="109"/>
      <c r="AT394" s="192" t="s">
        <v>0</v>
      </c>
      <c r="AU394" s="109"/>
      <c r="AV394" s="109"/>
      <c r="AW394" s="109"/>
      <c r="AX394" s="109"/>
      <c r="AY394" s="109"/>
      <c r="AZ394" s="109"/>
      <c r="BA394" s="109">
        <f t="shared" ref="BA394:BA412" si="182">SUM(AR394:AY394)+AZ394</f>
        <v>0</v>
      </c>
      <c r="BB394" s="192"/>
      <c r="BC394" s="192"/>
      <c r="BD394" s="192" t="s">
        <v>0</v>
      </c>
      <c r="BE394" s="192"/>
      <c r="BF394" s="192"/>
      <c r="BG394" s="192"/>
      <c r="BH394" s="192"/>
      <c r="BI394" s="192"/>
      <c r="BJ394" s="192"/>
      <c r="BK394" s="192">
        <f t="shared" ref="BK394:BK412" si="183">SUM(BB394:BJ394)</f>
        <v>0</v>
      </c>
      <c r="BL394" s="109"/>
      <c r="BM394" s="109"/>
      <c r="BN394" s="192" t="s">
        <v>0</v>
      </c>
      <c r="BO394" s="109"/>
      <c r="BP394" s="109"/>
      <c r="BQ394" s="109"/>
      <c r="BR394" s="109"/>
      <c r="BS394" s="109"/>
      <c r="BT394" s="192"/>
      <c r="BU394" s="109">
        <f t="shared" ref="BU394:BU412" si="184">SUM(BL394:BT394)</f>
        <v>0</v>
      </c>
      <c r="BV394" s="103">
        <f t="shared" si="162"/>
        <v>0</v>
      </c>
    </row>
    <row r="395" spans="1:76" ht="72.75" customHeight="1" x14ac:dyDescent="0.2">
      <c r="A395" s="105"/>
      <c r="B395" s="84">
        <v>5</v>
      </c>
      <c r="C395" s="173"/>
      <c r="D395" s="200"/>
      <c r="E395" s="111"/>
      <c r="F395" s="154"/>
      <c r="G395" s="111"/>
      <c r="H395" s="111"/>
      <c r="I395" s="94">
        <v>257</v>
      </c>
      <c r="J395" s="90" t="s">
        <v>855</v>
      </c>
      <c r="K395" s="86" t="s">
        <v>272</v>
      </c>
      <c r="L395" s="91" t="s">
        <v>817</v>
      </c>
      <c r="M395" s="308">
        <v>17</v>
      </c>
      <c r="N395" s="107" t="s">
        <v>44</v>
      </c>
      <c r="O395" s="93">
        <v>0</v>
      </c>
      <c r="P395" s="93">
        <v>1</v>
      </c>
      <c r="Q395" s="108">
        <v>1</v>
      </c>
      <c r="R395" s="93">
        <v>1</v>
      </c>
      <c r="S395" s="93">
        <v>1</v>
      </c>
      <c r="T395" s="93">
        <v>1</v>
      </c>
      <c r="U395" s="273">
        <f t="shared" si="179"/>
        <v>0.30248178057908215</v>
      </c>
      <c r="V395" s="94">
        <v>13</v>
      </c>
      <c r="W395" s="91" t="s">
        <v>141</v>
      </c>
      <c r="X395" s="231"/>
      <c r="Y395" s="136"/>
      <c r="Z395" s="231"/>
      <c r="AA395" s="136"/>
      <c r="AB395" s="100">
        <v>35700000</v>
      </c>
      <c r="AC395" s="100">
        <v>35700000</v>
      </c>
      <c r="AD395" s="488"/>
      <c r="AE395" s="137"/>
      <c r="AF395" s="231"/>
      <c r="AG395" s="136"/>
      <c r="AH395" s="231"/>
      <c r="AI395" s="136"/>
      <c r="AJ395" s="231"/>
      <c r="AK395" s="136"/>
      <c r="AL395" s="231"/>
      <c r="AM395" s="136"/>
      <c r="AN395" s="231">
        <v>1500000000</v>
      </c>
      <c r="AO395" s="136"/>
      <c r="AP395" s="99">
        <f t="shared" si="180"/>
        <v>1535700000</v>
      </c>
      <c r="AQ395" s="100">
        <f t="shared" si="181"/>
        <v>35700000</v>
      </c>
      <c r="AR395" s="109"/>
      <c r="AS395" s="109"/>
      <c r="AT395" s="192">
        <v>35700000</v>
      </c>
      <c r="AU395" s="109"/>
      <c r="AV395" s="109"/>
      <c r="AW395" s="109"/>
      <c r="AX395" s="109"/>
      <c r="AY395" s="109"/>
      <c r="AZ395" s="109">
        <v>500000000</v>
      </c>
      <c r="BA395" s="109">
        <f t="shared" si="182"/>
        <v>535700000</v>
      </c>
      <c r="BB395" s="192"/>
      <c r="BC395" s="192"/>
      <c r="BD395" s="192">
        <v>35700000</v>
      </c>
      <c r="BE395" s="192"/>
      <c r="BF395" s="192"/>
      <c r="BG395" s="192"/>
      <c r="BH395" s="192"/>
      <c r="BI395" s="192"/>
      <c r="BJ395" s="109">
        <v>500000000</v>
      </c>
      <c r="BK395" s="192">
        <f t="shared" si="183"/>
        <v>535700000</v>
      </c>
      <c r="BL395" s="109"/>
      <c r="BM395" s="109"/>
      <c r="BN395" s="192">
        <v>35700000</v>
      </c>
      <c r="BO395" s="109"/>
      <c r="BP395" s="109"/>
      <c r="BQ395" s="109"/>
      <c r="BR395" s="109"/>
      <c r="BS395" s="109"/>
      <c r="BT395" s="109">
        <v>500000000</v>
      </c>
      <c r="BU395" s="109">
        <f t="shared" si="184"/>
        <v>535700000</v>
      </c>
      <c r="BV395" s="103">
        <f t="shared" si="162"/>
        <v>3214200000</v>
      </c>
    </row>
    <row r="396" spans="1:76" ht="89.25" customHeight="1" x14ac:dyDescent="0.2">
      <c r="A396" s="105"/>
      <c r="B396" s="84">
        <v>5</v>
      </c>
      <c r="C396" s="173"/>
      <c r="D396" s="200"/>
      <c r="E396" s="111"/>
      <c r="F396" s="154"/>
      <c r="G396" s="111"/>
      <c r="H396" s="111"/>
      <c r="I396" s="94">
        <v>258</v>
      </c>
      <c r="J396" s="90" t="s">
        <v>856</v>
      </c>
      <c r="K396" s="86" t="s">
        <v>857</v>
      </c>
      <c r="L396" s="91" t="s">
        <v>817</v>
      </c>
      <c r="M396" s="308">
        <v>17</v>
      </c>
      <c r="N396" s="107" t="s">
        <v>44</v>
      </c>
      <c r="O396" s="93">
        <v>0</v>
      </c>
      <c r="P396" s="108">
        <v>1</v>
      </c>
      <c r="Q396" s="108">
        <v>1</v>
      </c>
      <c r="R396" s="108">
        <v>1</v>
      </c>
      <c r="S396" s="108">
        <v>1</v>
      </c>
      <c r="T396" s="93">
        <v>1</v>
      </c>
      <c r="U396" s="273">
        <f t="shared" si="179"/>
        <v>0.19696671262556628</v>
      </c>
      <c r="V396" s="95">
        <v>15</v>
      </c>
      <c r="W396" s="92" t="s">
        <v>45</v>
      </c>
      <c r="X396" s="231"/>
      <c r="Y396" s="136"/>
      <c r="Z396" s="231"/>
      <c r="AA396" s="136"/>
      <c r="AB396" s="136">
        <v>0</v>
      </c>
      <c r="AC396" s="101"/>
      <c r="AD396" s="135"/>
      <c r="AE396" s="101"/>
      <c r="AF396" s="231"/>
      <c r="AG396" s="136"/>
      <c r="AH396" s="231"/>
      <c r="AI396" s="136"/>
      <c r="AJ396" s="231"/>
      <c r="AK396" s="136"/>
      <c r="AL396" s="231"/>
      <c r="AM396" s="136"/>
      <c r="AN396" s="231">
        <v>1000000000</v>
      </c>
      <c r="AO396" s="136"/>
      <c r="AP396" s="99">
        <f t="shared" si="180"/>
        <v>1000000000</v>
      </c>
      <c r="AQ396" s="100">
        <f t="shared" si="181"/>
        <v>0</v>
      </c>
      <c r="AR396" s="109"/>
      <c r="AS396" s="109"/>
      <c r="AT396" s="192">
        <v>20000000</v>
      </c>
      <c r="AU396" s="109"/>
      <c r="AV396" s="109"/>
      <c r="AW396" s="109"/>
      <c r="AX396" s="109"/>
      <c r="AY396" s="109"/>
      <c r="AZ396" s="109"/>
      <c r="BA396" s="109">
        <f t="shared" si="182"/>
        <v>20000000</v>
      </c>
      <c r="BB396" s="192"/>
      <c r="BC396" s="192"/>
      <c r="BD396" s="192">
        <v>20000000</v>
      </c>
      <c r="BE396" s="192"/>
      <c r="BF396" s="192"/>
      <c r="BG396" s="192"/>
      <c r="BH396" s="192"/>
      <c r="BI396" s="192"/>
      <c r="BJ396" s="109"/>
      <c r="BK396" s="192">
        <f t="shared" si="183"/>
        <v>20000000</v>
      </c>
      <c r="BL396" s="109"/>
      <c r="BM396" s="109"/>
      <c r="BN396" s="192">
        <v>20000000</v>
      </c>
      <c r="BO396" s="109"/>
      <c r="BP396" s="109"/>
      <c r="BQ396" s="109"/>
      <c r="BR396" s="109"/>
      <c r="BS396" s="109"/>
      <c r="BT396" s="109"/>
      <c r="BU396" s="109">
        <f t="shared" si="184"/>
        <v>20000000</v>
      </c>
      <c r="BV396" s="103">
        <f t="shared" si="162"/>
        <v>120000000</v>
      </c>
    </row>
    <row r="397" spans="1:76" ht="90" customHeight="1" x14ac:dyDescent="0.2">
      <c r="A397" s="84">
        <v>255</v>
      </c>
      <c r="B397" s="84">
        <v>5</v>
      </c>
      <c r="C397" s="173"/>
      <c r="D397" s="200"/>
      <c r="E397" s="111"/>
      <c r="F397" s="154"/>
      <c r="G397" s="111"/>
      <c r="H397" s="111"/>
      <c r="I397" s="94">
        <v>259</v>
      </c>
      <c r="J397" s="90" t="s">
        <v>858</v>
      </c>
      <c r="K397" s="346" t="s">
        <v>859</v>
      </c>
      <c r="L397" s="91" t="s">
        <v>817</v>
      </c>
      <c r="M397" s="308">
        <v>17</v>
      </c>
      <c r="N397" s="457" t="s">
        <v>44</v>
      </c>
      <c r="O397" s="449">
        <v>1</v>
      </c>
      <c r="P397" s="449">
        <v>1</v>
      </c>
      <c r="Q397" s="368">
        <v>1</v>
      </c>
      <c r="R397" s="449">
        <v>1</v>
      </c>
      <c r="S397" s="449">
        <v>1</v>
      </c>
      <c r="T397" s="449">
        <v>1</v>
      </c>
      <c r="U397" s="273">
        <f t="shared" si="179"/>
        <v>1.7727004136300964E-3</v>
      </c>
      <c r="V397" s="94">
        <v>13</v>
      </c>
      <c r="W397" s="91" t="s">
        <v>141</v>
      </c>
      <c r="X397" s="231"/>
      <c r="Y397" s="136"/>
      <c r="Z397" s="231"/>
      <c r="AA397" s="136"/>
      <c r="AB397" s="100">
        <v>9000000</v>
      </c>
      <c r="AC397" s="100">
        <v>9000000</v>
      </c>
      <c r="AD397" s="153"/>
      <c r="AE397" s="143"/>
      <c r="AF397" s="231"/>
      <c r="AG397" s="136"/>
      <c r="AH397" s="231"/>
      <c r="AI397" s="136"/>
      <c r="AJ397" s="231"/>
      <c r="AK397" s="136"/>
      <c r="AL397" s="231"/>
      <c r="AM397" s="136"/>
      <c r="AN397" s="231"/>
      <c r="AO397" s="136"/>
      <c r="AP397" s="99">
        <f t="shared" si="180"/>
        <v>9000000</v>
      </c>
      <c r="AQ397" s="100">
        <f t="shared" si="181"/>
        <v>9000000</v>
      </c>
      <c r="AR397" s="109"/>
      <c r="AS397" s="109"/>
      <c r="AT397" s="192">
        <v>9000000</v>
      </c>
      <c r="AU397" s="109"/>
      <c r="AV397" s="109"/>
      <c r="AW397" s="109"/>
      <c r="AX397" s="109"/>
      <c r="AY397" s="109"/>
      <c r="AZ397" s="109"/>
      <c r="BA397" s="109">
        <f t="shared" si="182"/>
        <v>9000000</v>
      </c>
      <c r="BB397" s="192"/>
      <c r="BC397" s="192"/>
      <c r="BD397" s="192">
        <v>9000000</v>
      </c>
      <c r="BE397" s="192"/>
      <c r="BF397" s="192"/>
      <c r="BG397" s="192"/>
      <c r="BH397" s="192"/>
      <c r="BI397" s="192"/>
      <c r="BJ397" s="109"/>
      <c r="BK397" s="192">
        <f t="shared" si="183"/>
        <v>9000000</v>
      </c>
      <c r="BL397" s="109"/>
      <c r="BM397" s="109"/>
      <c r="BN397" s="192">
        <v>9000000</v>
      </c>
      <c r="BO397" s="109"/>
      <c r="BP397" s="109"/>
      <c r="BQ397" s="109"/>
      <c r="BR397" s="109"/>
      <c r="BS397" s="109"/>
      <c r="BT397" s="109"/>
      <c r="BU397" s="109">
        <f t="shared" si="184"/>
        <v>9000000</v>
      </c>
      <c r="BV397" s="103">
        <f t="shared" si="162"/>
        <v>54000000</v>
      </c>
    </row>
    <row r="398" spans="1:76" ht="122.25" customHeight="1" x14ac:dyDescent="0.2">
      <c r="A398" s="105">
        <v>256</v>
      </c>
      <c r="B398" s="84">
        <v>5</v>
      </c>
      <c r="C398" s="173"/>
      <c r="D398" s="200"/>
      <c r="E398" s="111"/>
      <c r="F398" s="154"/>
      <c r="G398" s="111"/>
      <c r="H398" s="111"/>
      <c r="I398" s="94">
        <v>260</v>
      </c>
      <c r="J398" s="90" t="s">
        <v>860</v>
      </c>
      <c r="K398" s="346" t="s">
        <v>861</v>
      </c>
      <c r="L398" s="91" t="s">
        <v>817</v>
      </c>
      <c r="M398" s="308">
        <v>17</v>
      </c>
      <c r="N398" s="457" t="s">
        <v>44</v>
      </c>
      <c r="O398" s="449">
        <v>12</v>
      </c>
      <c r="P398" s="449">
        <v>12</v>
      </c>
      <c r="Q398" s="368">
        <v>12</v>
      </c>
      <c r="R398" s="449">
        <v>12</v>
      </c>
      <c r="S398" s="449">
        <v>12</v>
      </c>
      <c r="T398" s="449">
        <v>12</v>
      </c>
      <c r="U398" s="273">
        <f t="shared" si="179"/>
        <v>3.6778609415008862E-3</v>
      </c>
      <c r="V398" s="94">
        <v>13</v>
      </c>
      <c r="W398" s="91" t="s">
        <v>141</v>
      </c>
      <c r="X398" s="231"/>
      <c r="Y398" s="136"/>
      <c r="Z398" s="231"/>
      <c r="AA398" s="136"/>
      <c r="AB398" s="100">
        <v>18672500</v>
      </c>
      <c r="AC398" s="100">
        <v>18672500</v>
      </c>
      <c r="AD398" s="153"/>
      <c r="AE398" s="143"/>
      <c r="AF398" s="231"/>
      <c r="AG398" s="136"/>
      <c r="AH398" s="231"/>
      <c r="AI398" s="136"/>
      <c r="AJ398" s="231"/>
      <c r="AK398" s="136"/>
      <c r="AL398" s="231"/>
      <c r="AM398" s="136"/>
      <c r="AN398" s="231"/>
      <c r="AO398" s="136"/>
      <c r="AP398" s="99">
        <f t="shared" si="180"/>
        <v>18672500</v>
      </c>
      <c r="AQ398" s="100">
        <f t="shared" si="181"/>
        <v>18672500</v>
      </c>
      <c r="AR398" s="109"/>
      <c r="AS398" s="109"/>
      <c r="AT398" s="192">
        <v>18000000</v>
      </c>
      <c r="AU398" s="109"/>
      <c r="AV398" s="109"/>
      <c r="AW398" s="109"/>
      <c r="AX398" s="109"/>
      <c r="AY398" s="109"/>
      <c r="AZ398" s="109"/>
      <c r="BA398" s="109">
        <f t="shared" si="182"/>
        <v>18000000</v>
      </c>
      <c r="BB398" s="192"/>
      <c r="BC398" s="192"/>
      <c r="BD398" s="192">
        <v>18000000</v>
      </c>
      <c r="BE398" s="192"/>
      <c r="BF398" s="192"/>
      <c r="BG398" s="192"/>
      <c r="BH398" s="192"/>
      <c r="BI398" s="192"/>
      <c r="BJ398" s="109"/>
      <c r="BK398" s="192">
        <f t="shared" si="183"/>
        <v>18000000</v>
      </c>
      <c r="BL398" s="109"/>
      <c r="BM398" s="109"/>
      <c r="BN398" s="192">
        <v>18000000</v>
      </c>
      <c r="BO398" s="109"/>
      <c r="BP398" s="109"/>
      <c r="BQ398" s="109"/>
      <c r="BR398" s="109"/>
      <c r="BS398" s="109"/>
      <c r="BT398" s="109"/>
      <c r="BU398" s="109">
        <f t="shared" si="184"/>
        <v>18000000</v>
      </c>
      <c r="BV398" s="103">
        <f t="shared" si="162"/>
        <v>108000000</v>
      </c>
    </row>
    <row r="399" spans="1:76" ht="108" customHeight="1" x14ac:dyDescent="0.2">
      <c r="A399" s="84">
        <v>257</v>
      </c>
      <c r="B399" s="84">
        <v>5</v>
      </c>
      <c r="C399" s="173"/>
      <c r="D399" s="200"/>
      <c r="E399" s="111"/>
      <c r="F399" s="154"/>
      <c r="G399" s="111"/>
      <c r="H399" s="111"/>
      <c r="I399" s="94">
        <v>261</v>
      </c>
      <c r="J399" s="90" t="s">
        <v>862</v>
      </c>
      <c r="K399" s="346" t="s">
        <v>863</v>
      </c>
      <c r="L399" s="91" t="s">
        <v>817</v>
      </c>
      <c r="M399" s="308">
        <v>17</v>
      </c>
      <c r="N399" s="457" t="s">
        <v>44</v>
      </c>
      <c r="O399" s="449">
        <v>1</v>
      </c>
      <c r="P399" s="449">
        <v>2</v>
      </c>
      <c r="Q399" s="368">
        <v>2</v>
      </c>
      <c r="R399" s="449">
        <v>2</v>
      </c>
      <c r="S399" s="449">
        <v>2</v>
      </c>
      <c r="T399" s="449">
        <v>2</v>
      </c>
      <c r="U399" s="273">
        <f t="shared" si="179"/>
        <v>5.3574945834154028E-3</v>
      </c>
      <c r="V399" s="94">
        <v>17</v>
      </c>
      <c r="W399" s="91" t="s">
        <v>832</v>
      </c>
      <c r="X399" s="231"/>
      <c r="Y399" s="136"/>
      <c r="Z399" s="231"/>
      <c r="AA399" s="136"/>
      <c r="AB399" s="100">
        <v>27200000</v>
      </c>
      <c r="AC399" s="100">
        <v>27200000</v>
      </c>
      <c r="AD399" s="99"/>
      <c r="AE399" s="100"/>
      <c r="AF399" s="231"/>
      <c r="AG399" s="136"/>
      <c r="AH399" s="231"/>
      <c r="AI399" s="136"/>
      <c r="AJ399" s="231"/>
      <c r="AK399" s="136"/>
      <c r="AL399" s="231"/>
      <c r="AM399" s="136"/>
      <c r="AN399" s="231"/>
      <c r="AO399" s="136"/>
      <c r="AP399" s="99">
        <f t="shared" si="180"/>
        <v>27200000</v>
      </c>
      <c r="AQ399" s="100">
        <f t="shared" si="181"/>
        <v>27200000</v>
      </c>
      <c r="AR399" s="109"/>
      <c r="AS399" s="109"/>
      <c r="AT399" s="109">
        <v>25000000</v>
      </c>
      <c r="AU399" s="109"/>
      <c r="AV399" s="109"/>
      <c r="AW399" s="109"/>
      <c r="AX399" s="109"/>
      <c r="AY399" s="109"/>
      <c r="AZ399" s="109"/>
      <c r="BA399" s="109">
        <f t="shared" si="182"/>
        <v>25000000</v>
      </c>
      <c r="BB399" s="109"/>
      <c r="BC399" s="109"/>
      <c r="BD399" s="109">
        <v>25000000</v>
      </c>
      <c r="BE399" s="109"/>
      <c r="BF399" s="109"/>
      <c r="BG399" s="109"/>
      <c r="BH399" s="109"/>
      <c r="BI399" s="109"/>
      <c r="BJ399" s="109"/>
      <c r="BK399" s="192">
        <f t="shared" si="183"/>
        <v>25000000</v>
      </c>
      <c r="BL399" s="109"/>
      <c r="BM399" s="109"/>
      <c r="BN399" s="109">
        <v>25000000</v>
      </c>
      <c r="BO399" s="109"/>
      <c r="BP399" s="109"/>
      <c r="BQ399" s="109"/>
      <c r="BR399" s="109"/>
      <c r="BS399" s="109"/>
      <c r="BT399" s="109"/>
      <c r="BU399" s="109">
        <f t="shared" si="184"/>
        <v>25000000</v>
      </c>
      <c r="BV399" s="103">
        <f t="shared" ref="BV399:BV429" si="185">SUM(AR399:BU399)</f>
        <v>150000000</v>
      </c>
    </row>
    <row r="400" spans="1:76" ht="132.75" customHeight="1" x14ac:dyDescent="0.2">
      <c r="A400" s="105">
        <v>258</v>
      </c>
      <c r="B400" s="84">
        <v>5</v>
      </c>
      <c r="C400" s="173"/>
      <c r="D400" s="200"/>
      <c r="E400" s="111"/>
      <c r="F400" s="154"/>
      <c r="G400" s="111"/>
      <c r="H400" s="111"/>
      <c r="I400" s="94">
        <v>262</v>
      </c>
      <c r="J400" s="90" t="s">
        <v>864</v>
      </c>
      <c r="K400" s="346" t="s">
        <v>865</v>
      </c>
      <c r="L400" s="91" t="s">
        <v>817</v>
      </c>
      <c r="M400" s="308">
        <v>17</v>
      </c>
      <c r="N400" s="457" t="s">
        <v>44</v>
      </c>
      <c r="O400" s="449">
        <v>1</v>
      </c>
      <c r="P400" s="449">
        <v>1</v>
      </c>
      <c r="Q400" s="368">
        <v>1</v>
      </c>
      <c r="R400" s="449">
        <v>1</v>
      </c>
      <c r="S400" s="449">
        <v>1</v>
      </c>
      <c r="T400" s="449">
        <v>1</v>
      </c>
      <c r="U400" s="273">
        <f t="shared" si="179"/>
        <v>0.11818002757533977</v>
      </c>
      <c r="V400" s="94">
        <v>17</v>
      </c>
      <c r="W400" s="91" t="s">
        <v>832</v>
      </c>
      <c r="X400" s="231"/>
      <c r="Y400" s="136"/>
      <c r="Z400" s="231"/>
      <c r="AA400" s="136"/>
      <c r="AB400" s="136">
        <v>100000000</v>
      </c>
      <c r="AC400" s="136">
        <v>100000000</v>
      </c>
      <c r="AD400" s="253"/>
      <c r="AE400" s="249"/>
      <c r="AF400" s="231"/>
      <c r="AG400" s="136"/>
      <c r="AH400" s="231"/>
      <c r="AI400" s="136"/>
      <c r="AJ400" s="231"/>
      <c r="AK400" s="136"/>
      <c r="AL400" s="231"/>
      <c r="AM400" s="136"/>
      <c r="AN400" s="231">
        <v>500000000</v>
      </c>
      <c r="AO400" s="136"/>
      <c r="AP400" s="99">
        <f t="shared" si="180"/>
        <v>600000000</v>
      </c>
      <c r="AQ400" s="100">
        <f t="shared" si="181"/>
        <v>100000000</v>
      </c>
      <c r="AR400" s="109"/>
      <c r="AS400" s="109"/>
      <c r="AT400" s="109">
        <v>25000000</v>
      </c>
      <c r="AU400" s="109"/>
      <c r="AV400" s="109"/>
      <c r="AW400" s="109"/>
      <c r="AX400" s="109"/>
      <c r="AY400" s="109"/>
      <c r="AZ400" s="109">
        <v>500000000</v>
      </c>
      <c r="BA400" s="109">
        <f t="shared" si="182"/>
        <v>525000000</v>
      </c>
      <c r="BB400" s="109"/>
      <c r="BC400" s="109"/>
      <c r="BD400" s="109">
        <v>25000000</v>
      </c>
      <c r="BE400" s="109"/>
      <c r="BF400" s="109"/>
      <c r="BG400" s="109"/>
      <c r="BH400" s="109"/>
      <c r="BI400" s="109"/>
      <c r="BJ400" s="109">
        <v>500000000</v>
      </c>
      <c r="BK400" s="192">
        <f t="shared" si="183"/>
        <v>525000000</v>
      </c>
      <c r="BL400" s="109"/>
      <c r="BM400" s="109"/>
      <c r="BN400" s="109">
        <v>25000000</v>
      </c>
      <c r="BO400" s="109"/>
      <c r="BP400" s="109"/>
      <c r="BQ400" s="109"/>
      <c r="BR400" s="109"/>
      <c r="BS400" s="109"/>
      <c r="BT400" s="109">
        <v>500000000</v>
      </c>
      <c r="BU400" s="109">
        <f t="shared" si="184"/>
        <v>525000000</v>
      </c>
      <c r="BV400" s="103">
        <f t="shared" si="185"/>
        <v>3150000000</v>
      </c>
    </row>
    <row r="401" spans="1:74" ht="73.5" customHeight="1" x14ac:dyDescent="0.2">
      <c r="A401" s="84">
        <v>259</v>
      </c>
      <c r="B401" s="84">
        <v>5</v>
      </c>
      <c r="C401" s="173"/>
      <c r="D401" s="200"/>
      <c r="E401" s="111"/>
      <c r="F401" s="154"/>
      <c r="G401" s="111"/>
      <c r="H401" s="111"/>
      <c r="I401" s="94">
        <v>263</v>
      </c>
      <c r="J401" s="90" t="s">
        <v>866</v>
      </c>
      <c r="K401" s="346" t="s">
        <v>867</v>
      </c>
      <c r="L401" s="91" t="s">
        <v>817</v>
      </c>
      <c r="M401" s="308">
        <v>17</v>
      </c>
      <c r="N401" s="457" t="s">
        <v>44</v>
      </c>
      <c r="O401" s="449">
        <v>1</v>
      </c>
      <c r="P401" s="449">
        <v>1</v>
      </c>
      <c r="Q401" s="368">
        <v>1</v>
      </c>
      <c r="R401" s="449">
        <v>1</v>
      </c>
      <c r="S401" s="449">
        <v>1</v>
      </c>
      <c r="T401" s="449">
        <v>1</v>
      </c>
      <c r="U401" s="273">
        <f t="shared" si="179"/>
        <v>1.179830608627142E-2</v>
      </c>
      <c r="V401" s="94">
        <v>17</v>
      </c>
      <c r="W401" s="91" t="s">
        <v>832</v>
      </c>
      <c r="X401" s="231"/>
      <c r="Y401" s="136"/>
      <c r="Z401" s="231"/>
      <c r="AA401" s="136"/>
      <c r="AB401" s="136">
        <v>59900000</v>
      </c>
      <c r="AC401" s="100">
        <v>59900000</v>
      </c>
      <c r="AD401" s="253"/>
      <c r="AE401" s="249"/>
      <c r="AF401" s="231"/>
      <c r="AG401" s="136"/>
      <c r="AH401" s="231"/>
      <c r="AI401" s="136"/>
      <c r="AJ401" s="231"/>
      <c r="AK401" s="136"/>
      <c r="AL401" s="231"/>
      <c r="AM401" s="136"/>
      <c r="AN401" s="231"/>
      <c r="AO401" s="136"/>
      <c r="AP401" s="99">
        <f t="shared" si="180"/>
        <v>59900000</v>
      </c>
      <c r="AQ401" s="100">
        <f t="shared" si="181"/>
        <v>59900000</v>
      </c>
      <c r="AR401" s="109"/>
      <c r="AS401" s="109"/>
      <c r="AT401" s="192">
        <v>35000000</v>
      </c>
      <c r="AU401" s="109"/>
      <c r="AV401" s="109"/>
      <c r="AW401" s="109"/>
      <c r="AX401" s="109"/>
      <c r="AY401" s="109"/>
      <c r="AZ401" s="109">
        <v>400000000</v>
      </c>
      <c r="BA401" s="109">
        <f t="shared" si="182"/>
        <v>435000000</v>
      </c>
      <c r="BB401" s="192"/>
      <c r="BC401" s="192"/>
      <c r="BD401" s="192">
        <v>35000000</v>
      </c>
      <c r="BE401" s="192"/>
      <c r="BF401" s="192"/>
      <c r="BG401" s="192"/>
      <c r="BH401" s="192"/>
      <c r="BI401" s="192"/>
      <c r="BJ401" s="109">
        <v>400000000</v>
      </c>
      <c r="BK401" s="192">
        <f t="shared" si="183"/>
        <v>435000000</v>
      </c>
      <c r="BL401" s="109"/>
      <c r="BM401" s="109"/>
      <c r="BN401" s="192">
        <v>35000000</v>
      </c>
      <c r="BO401" s="109"/>
      <c r="BP401" s="109"/>
      <c r="BQ401" s="109"/>
      <c r="BR401" s="109"/>
      <c r="BS401" s="109"/>
      <c r="BT401" s="109">
        <v>400000000</v>
      </c>
      <c r="BU401" s="109">
        <f t="shared" si="184"/>
        <v>435000000</v>
      </c>
      <c r="BV401" s="103">
        <f t="shared" si="185"/>
        <v>2610000000</v>
      </c>
    </row>
    <row r="402" spans="1:74" ht="103.5" customHeight="1" x14ac:dyDescent="0.2">
      <c r="A402" s="105">
        <v>260</v>
      </c>
      <c r="B402" s="84">
        <v>5</v>
      </c>
      <c r="C402" s="173"/>
      <c r="D402" s="200"/>
      <c r="E402" s="111"/>
      <c r="F402" s="154"/>
      <c r="G402" s="111"/>
      <c r="H402" s="111"/>
      <c r="I402" s="94">
        <v>264</v>
      </c>
      <c r="J402" s="90" t="s">
        <v>868</v>
      </c>
      <c r="K402" s="346" t="s">
        <v>869</v>
      </c>
      <c r="L402" s="91" t="s">
        <v>817</v>
      </c>
      <c r="M402" s="308">
        <v>17</v>
      </c>
      <c r="N402" s="457" t="s">
        <v>44</v>
      </c>
      <c r="O402" s="449">
        <v>0</v>
      </c>
      <c r="P402" s="449">
        <v>1</v>
      </c>
      <c r="Q402" s="368">
        <v>1</v>
      </c>
      <c r="R402" s="449">
        <v>1</v>
      </c>
      <c r="S402" s="449">
        <v>1</v>
      </c>
      <c r="T402" s="449">
        <v>1</v>
      </c>
      <c r="U402" s="273">
        <f t="shared" si="179"/>
        <v>0.11818002757533977</v>
      </c>
      <c r="V402" s="94">
        <v>17</v>
      </c>
      <c r="W402" s="91" t="s">
        <v>832</v>
      </c>
      <c r="X402" s="231"/>
      <c r="Y402" s="136"/>
      <c r="Z402" s="231"/>
      <c r="AA402" s="136"/>
      <c r="AB402" s="244">
        <v>100000000</v>
      </c>
      <c r="AC402" s="136">
        <v>100000000</v>
      </c>
      <c r="AD402" s="244"/>
      <c r="AE402" s="136"/>
      <c r="AF402" s="231"/>
      <c r="AG402" s="136"/>
      <c r="AH402" s="231"/>
      <c r="AI402" s="136"/>
      <c r="AJ402" s="231"/>
      <c r="AK402" s="136"/>
      <c r="AL402" s="231"/>
      <c r="AM402" s="136"/>
      <c r="AN402" s="231">
        <v>500000000</v>
      </c>
      <c r="AO402" s="136"/>
      <c r="AP402" s="99">
        <f t="shared" si="180"/>
        <v>600000000</v>
      </c>
      <c r="AQ402" s="100">
        <f t="shared" si="181"/>
        <v>100000000</v>
      </c>
      <c r="AR402" s="109"/>
      <c r="AS402" s="109"/>
      <c r="AT402" s="192">
        <v>25000000</v>
      </c>
      <c r="AU402" s="109"/>
      <c r="AV402" s="109"/>
      <c r="AW402" s="109"/>
      <c r="AX402" s="109"/>
      <c r="AY402" s="109"/>
      <c r="AZ402" s="109">
        <v>300000000</v>
      </c>
      <c r="BA402" s="109">
        <f t="shared" si="182"/>
        <v>325000000</v>
      </c>
      <c r="BB402" s="192"/>
      <c r="BC402" s="192"/>
      <c r="BD402" s="192">
        <v>25000000</v>
      </c>
      <c r="BE402" s="192"/>
      <c r="BF402" s="192"/>
      <c r="BG402" s="192"/>
      <c r="BH402" s="192"/>
      <c r="BI402" s="192"/>
      <c r="BJ402" s="109">
        <v>300000000</v>
      </c>
      <c r="BK402" s="192">
        <f t="shared" si="183"/>
        <v>325000000</v>
      </c>
      <c r="BL402" s="109"/>
      <c r="BM402" s="109"/>
      <c r="BN402" s="192">
        <v>25000000</v>
      </c>
      <c r="BO402" s="109"/>
      <c r="BP402" s="109"/>
      <c r="BQ402" s="109"/>
      <c r="BR402" s="109"/>
      <c r="BS402" s="109"/>
      <c r="BT402" s="109">
        <v>300000000</v>
      </c>
      <c r="BU402" s="109">
        <f t="shared" si="184"/>
        <v>325000000</v>
      </c>
      <c r="BV402" s="103">
        <f t="shared" si="185"/>
        <v>1950000000</v>
      </c>
    </row>
    <row r="403" spans="1:74" ht="126.75" customHeight="1" x14ac:dyDescent="0.2">
      <c r="A403" s="84"/>
      <c r="B403" s="84"/>
      <c r="C403" s="173"/>
      <c r="D403" s="200"/>
      <c r="E403" s="111"/>
      <c r="F403" s="154"/>
      <c r="G403" s="111"/>
      <c r="H403" s="111"/>
      <c r="I403" s="94">
        <v>265</v>
      </c>
      <c r="J403" s="90" t="s">
        <v>870</v>
      </c>
      <c r="K403" s="86" t="s">
        <v>871</v>
      </c>
      <c r="L403" s="91" t="s">
        <v>111</v>
      </c>
      <c r="M403" s="91">
        <v>13</v>
      </c>
      <c r="N403" s="107" t="s">
        <v>44</v>
      </c>
      <c r="O403" s="93">
        <v>0</v>
      </c>
      <c r="P403" s="93">
        <v>1</v>
      </c>
      <c r="Q403" s="108">
        <v>1</v>
      </c>
      <c r="R403" s="93">
        <v>1</v>
      </c>
      <c r="S403" s="93">
        <v>1</v>
      </c>
      <c r="T403" s="93">
        <v>1</v>
      </c>
      <c r="U403" s="273">
        <f t="shared" si="179"/>
        <v>0.17499507583218435</v>
      </c>
      <c r="V403" s="94">
        <v>17</v>
      </c>
      <c r="W403" s="91" t="s">
        <v>832</v>
      </c>
      <c r="X403" s="231"/>
      <c r="Y403" s="136"/>
      <c r="Z403" s="231"/>
      <c r="AA403" s="136"/>
      <c r="AB403" s="136">
        <v>291450000</v>
      </c>
      <c r="AC403" s="136">
        <v>291450000</v>
      </c>
      <c r="AD403" s="253"/>
      <c r="AE403" s="249"/>
      <c r="AF403" s="231"/>
      <c r="AG403" s="136"/>
      <c r="AH403" s="231"/>
      <c r="AI403" s="136"/>
      <c r="AJ403" s="231"/>
      <c r="AK403" s="136"/>
      <c r="AL403" s="231"/>
      <c r="AM403" s="136"/>
      <c r="AN403" s="231">
        <v>597000000</v>
      </c>
      <c r="AO403" s="136"/>
      <c r="AP403" s="99">
        <f t="shared" si="180"/>
        <v>888450000</v>
      </c>
      <c r="AQ403" s="100">
        <f t="shared" si="181"/>
        <v>291450000</v>
      </c>
      <c r="AR403" s="109"/>
      <c r="AS403" s="109"/>
      <c r="AT403" s="206">
        <v>100000000</v>
      </c>
      <c r="AU403" s="205"/>
      <c r="AV403" s="205"/>
      <c r="AW403" s="109"/>
      <c r="AX403" s="109"/>
      <c r="AY403" s="109"/>
      <c r="AZ403" s="109">
        <v>300000000</v>
      </c>
      <c r="BA403" s="109">
        <f t="shared" si="182"/>
        <v>400000000</v>
      </c>
      <c r="BB403" s="192"/>
      <c r="BC403" s="192"/>
      <c r="BD403" s="206">
        <v>100000000</v>
      </c>
      <c r="BE403" s="206"/>
      <c r="BF403" s="192"/>
      <c r="BG403" s="192"/>
      <c r="BH403" s="192"/>
      <c r="BI403" s="192"/>
      <c r="BJ403" s="109">
        <v>300000000</v>
      </c>
      <c r="BK403" s="192">
        <f t="shared" si="183"/>
        <v>400000000</v>
      </c>
      <c r="BL403" s="109"/>
      <c r="BM403" s="109"/>
      <c r="BN403" s="206">
        <v>80000000</v>
      </c>
      <c r="BO403" s="205"/>
      <c r="BP403" s="109"/>
      <c r="BQ403" s="109"/>
      <c r="BR403" s="109"/>
      <c r="BS403" s="109"/>
      <c r="BT403" s="109">
        <v>300000000</v>
      </c>
      <c r="BU403" s="109">
        <f t="shared" si="184"/>
        <v>380000000</v>
      </c>
      <c r="BV403" s="103">
        <f t="shared" si="185"/>
        <v>2360000000</v>
      </c>
    </row>
    <row r="404" spans="1:74" ht="123.75" customHeight="1" x14ac:dyDescent="0.2">
      <c r="A404" s="105">
        <v>262</v>
      </c>
      <c r="B404" s="84">
        <v>5</v>
      </c>
      <c r="C404" s="173"/>
      <c r="D404" s="200"/>
      <c r="E404" s="111"/>
      <c r="F404" s="154"/>
      <c r="G404" s="111"/>
      <c r="H404" s="111"/>
      <c r="I404" s="94">
        <v>266</v>
      </c>
      <c r="J404" s="90" t="s">
        <v>872</v>
      </c>
      <c r="K404" s="346" t="s">
        <v>873</v>
      </c>
      <c r="L404" s="91" t="s">
        <v>817</v>
      </c>
      <c r="M404" s="308">
        <v>17</v>
      </c>
      <c r="N404" s="457" t="s">
        <v>44</v>
      </c>
      <c r="O404" s="449">
        <v>1</v>
      </c>
      <c r="P404" s="449">
        <v>1</v>
      </c>
      <c r="Q404" s="368">
        <v>1</v>
      </c>
      <c r="R404" s="449">
        <v>1</v>
      </c>
      <c r="S404" s="449">
        <v>1</v>
      </c>
      <c r="T404" s="449">
        <v>1</v>
      </c>
      <c r="U404" s="273">
        <f t="shared" si="179"/>
        <v>3.1514674020090604E-3</v>
      </c>
      <c r="V404" s="94">
        <v>16</v>
      </c>
      <c r="W404" s="91" t="s">
        <v>363</v>
      </c>
      <c r="X404" s="231"/>
      <c r="Y404" s="136"/>
      <c r="Z404" s="231"/>
      <c r="AA404" s="136"/>
      <c r="AB404" s="100">
        <v>16000000</v>
      </c>
      <c r="AC404" s="136">
        <v>16000000</v>
      </c>
      <c r="AD404" s="153"/>
      <c r="AE404" s="143"/>
      <c r="AF404" s="231"/>
      <c r="AG404" s="136"/>
      <c r="AH404" s="231"/>
      <c r="AI404" s="136"/>
      <c r="AJ404" s="231"/>
      <c r="AK404" s="136"/>
      <c r="AL404" s="231"/>
      <c r="AM404" s="136"/>
      <c r="AN404" s="231"/>
      <c r="AO404" s="136"/>
      <c r="AP404" s="99">
        <f t="shared" si="180"/>
        <v>16000000</v>
      </c>
      <c r="AQ404" s="100">
        <f t="shared" si="181"/>
        <v>16000000</v>
      </c>
      <c r="AR404" s="109"/>
      <c r="AS404" s="109"/>
      <c r="AT404" s="192">
        <v>16000000</v>
      </c>
      <c r="AU404" s="109"/>
      <c r="AV404" s="109"/>
      <c r="AW404" s="109"/>
      <c r="AX404" s="109"/>
      <c r="AY404" s="109"/>
      <c r="AZ404" s="109"/>
      <c r="BA404" s="109">
        <f t="shared" si="182"/>
        <v>16000000</v>
      </c>
      <c r="BB404" s="192"/>
      <c r="BC404" s="192"/>
      <c r="BD404" s="192">
        <v>16000000</v>
      </c>
      <c r="BE404" s="192"/>
      <c r="BF404" s="192"/>
      <c r="BG404" s="192"/>
      <c r="BH404" s="192"/>
      <c r="BI404" s="192"/>
      <c r="BJ404" s="109"/>
      <c r="BK404" s="192">
        <f t="shared" si="183"/>
        <v>16000000</v>
      </c>
      <c r="BL404" s="109"/>
      <c r="BM404" s="109"/>
      <c r="BN404" s="192">
        <v>16000000</v>
      </c>
      <c r="BO404" s="109"/>
      <c r="BP404" s="109"/>
      <c r="BQ404" s="109"/>
      <c r="BR404" s="109"/>
      <c r="BS404" s="109"/>
      <c r="BT404" s="109"/>
      <c r="BU404" s="109">
        <f t="shared" si="184"/>
        <v>16000000</v>
      </c>
      <c r="BV404" s="103">
        <f t="shared" si="185"/>
        <v>96000000</v>
      </c>
    </row>
    <row r="405" spans="1:74" ht="71.25" customHeight="1" x14ac:dyDescent="0.2">
      <c r="A405" s="84">
        <v>263</v>
      </c>
      <c r="B405" s="84">
        <v>5</v>
      </c>
      <c r="C405" s="173"/>
      <c r="D405" s="200"/>
      <c r="E405" s="111"/>
      <c r="F405" s="154"/>
      <c r="G405" s="111"/>
      <c r="H405" s="111"/>
      <c r="I405" s="94">
        <v>267</v>
      </c>
      <c r="J405" s="90" t="s">
        <v>874</v>
      </c>
      <c r="K405" s="346" t="s">
        <v>875</v>
      </c>
      <c r="L405" s="91" t="s">
        <v>817</v>
      </c>
      <c r="M405" s="308">
        <v>17</v>
      </c>
      <c r="N405" s="457" t="s">
        <v>44</v>
      </c>
      <c r="O405" s="449">
        <v>1</v>
      </c>
      <c r="P405" s="449">
        <v>1</v>
      </c>
      <c r="Q405" s="368">
        <v>1</v>
      </c>
      <c r="R405" s="449">
        <v>1</v>
      </c>
      <c r="S405" s="449">
        <v>1</v>
      </c>
      <c r="T405" s="449">
        <v>1</v>
      </c>
      <c r="U405" s="273">
        <f t="shared" si="179"/>
        <v>3.4469174709474098E-3</v>
      </c>
      <c r="V405" s="94">
        <v>17</v>
      </c>
      <c r="W405" s="91" t="s">
        <v>832</v>
      </c>
      <c r="X405" s="231"/>
      <c r="Y405" s="136"/>
      <c r="Z405" s="231"/>
      <c r="AA405" s="136"/>
      <c r="AB405" s="100">
        <v>17500000</v>
      </c>
      <c r="AC405" s="100">
        <v>17500000</v>
      </c>
      <c r="AD405" s="153"/>
      <c r="AE405" s="143"/>
      <c r="AF405" s="231"/>
      <c r="AG405" s="136"/>
      <c r="AH405" s="231"/>
      <c r="AI405" s="136"/>
      <c r="AJ405" s="231"/>
      <c r="AK405" s="136"/>
      <c r="AL405" s="231"/>
      <c r="AM405" s="136"/>
      <c r="AN405" s="231"/>
      <c r="AO405" s="136"/>
      <c r="AP405" s="99">
        <f t="shared" si="180"/>
        <v>17500000</v>
      </c>
      <c r="AQ405" s="100">
        <f t="shared" si="181"/>
        <v>17500000</v>
      </c>
      <c r="AR405" s="109"/>
      <c r="AS405" s="109"/>
      <c r="AT405" s="192">
        <v>12000000</v>
      </c>
      <c r="AU405" s="109"/>
      <c r="AV405" s="109"/>
      <c r="AW405" s="109"/>
      <c r="AX405" s="109"/>
      <c r="AY405" s="109"/>
      <c r="AZ405" s="109"/>
      <c r="BA405" s="109">
        <f t="shared" si="182"/>
        <v>12000000</v>
      </c>
      <c r="BB405" s="192"/>
      <c r="BC405" s="192"/>
      <c r="BD405" s="192">
        <v>12000000</v>
      </c>
      <c r="BE405" s="192"/>
      <c r="BF405" s="192"/>
      <c r="BG405" s="192"/>
      <c r="BH405" s="192"/>
      <c r="BI405" s="192"/>
      <c r="BJ405" s="109"/>
      <c r="BK405" s="192">
        <f t="shared" si="183"/>
        <v>12000000</v>
      </c>
      <c r="BL405" s="109"/>
      <c r="BM405" s="109"/>
      <c r="BN405" s="192">
        <v>12000000</v>
      </c>
      <c r="BO405" s="109"/>
      <c r="BP405" s="109"/>
      <c r="BQ405" s="109"/>
      <c r="BR405" s="109"/>
      <c r="BS405" s="109"/>
      <c r="BT405" s="109"/>
      <c r="BU405" s="109">
        <f t="shared" si="184"/>
        <v>12000000</v>
      </c>
      <c r="BV405" s="103">
        <f t="shared" si="185"/>
        <v>72000000</v>
      </c>
    </row>
    <row r="406" spans="1:74" ht="161.25" customHeight="1" x14ac:dyDescent="0.2">
      <c r="A406" s="105">
        <v>264</v>
      </c>
      <c r="B406" s="84">
        <v>5</v>
      </c>
      <c r="C406" s="173"/>
      <c r="D406" s="200"/>
      <c r="E406" s="111"/>
      <c r="F406" s="154"/>
      <c r="G406" s="111"/>
      <c r="H406" s="111"/>
      <c r="I406" s="94">
        <v>268</v>
      </c>
      <c r="J406" s="90" t="s">
        <v>876</v>
      </c>
      <c r="K406" s="346" t="s">
        <v>877</v>
      </c>
      <c r="L406" s="91" t="s">
        <v>817</v>
      </c>
      <c r="M406" s="308">
        <v>17</v>
      </c>
      <c r="N406" s="457" t="s">
        <v>44</v>
      </c>
      <c r="O406" s="449">
        <v>12</v>
      </c>
      <c r="P406" s="449">
        <v>12</v>
      </c>
      <c r="Q406" s="368">
        <v>12</v>
      </c>
      <c r="R406" s="449">
        <v>12</v>
      </c>
      <c r="S406" s="449">
        <v>12</v>
      </c>
      <c r="T406" s="449">
        <v>12</v>
      </c>
      <c r="U406" s="273">
        <f t="shared" si="179"/>
        <v>3.6778609415008862E-3</v>
      </c>
      <c r="V406" s="94">
        <v>13</v>
      </c>
      <c r="W406" s="91" t="s">
        <v>141</v>
      </c>
      <c r="X406" s="231"/>
      <c r="Y406" s="136"/>
      <c r="Z406" s="136"/>
      <c r="AA406" s="136"/>
      <c r="AB406" s="101">
        <v>18672500</v>
      </c>
      <c r="AC406" s="100">
        <v>18672500</v>
      </c>
      <c r="AD406" s="135"/>
      <c r="AE406" s="101"/>
      <c r="AF406" s="231"/>
      <c r="AG406" s="136"/>
      <c r="AH406" s="231"/>
      <c r="AI406" s="136"/>
      <c r="AJ406" s="231"/>
      <c r="AK406" s="136"/>
      <c r="AL406" s="231"/>
      <c r="AM406" s="136"/>
      <c r="AN406" s="231"/>
      <c r="AO406" s="136"/>
      <c r="AP406" s="99">
        <f t="shared" si="180"/>
        <v>18672500</v>
      </c>
      <c r="AQ406" s="100">
        <f t="shared" si="181"/>
        <v>18672500</v>
      </c>
      <c r="AR406" s="109"/>
      <c r="AS406" s="109"/>
      <c r="AT406" s="192">
        <v>12000000</v>
      </c>
      <c r="AU406" s="109"/>
      <c r="AV406" s="109"/>
      <c r="AW406" s="109"/>
      <c r="AX406" s="109"/>
      <c r="AY406" s="109"/>
      <c r="AZ406" s="109"/>
      <c r="BA406" s="109">
        <f t="shared" si="182"/>
        <v>12000000</v>
      </c>
      <c r="BB406" s="192"/>
      <c r="BC406" s="192"/>
      <c r="BD406" s="192">
        <v>12000000</v>
      </c>
      <c r="BE406" s="192"/>
      <c r="BF406" s="192"/>
      <c r="BG406" s="192"/>
      <c r="BH406" s="192"/>
      <c r="BI406" s="192"/>
      <c r="BJ406" s="109"/>
      <c r="BK406" s="192">
        <f t="shared" si="183"/>
        <v>12000000</v>
      </c>
      <c r="BL406" s="109"/>
      <c r="BM406" s="109"/>
      <c r="BN406" s="192">
        <v>12000000</v>
      </c>
      <c r="BO406" s="109"/>
      <c r="BP406" s="109"/>
      <c r="BQ406" s="109"/>
      <c r="BR406" s="109"/>
      <c r="BS406" s="109"/>
      <c r="BT406" s="109"/>
      <c r="BU406" s="109">
        <f t="shared" si="184"/>
        <v>12000000</v>
      </c>
      <c r="BV406" s="103">
        <f t="shared" si="185"/>
        <v>72000000</v>
      </c>
    </row>
    <row r="407" spans="1:74" ht="149.25" customHeight="1" x14ac:dyDescent="0.2">
      <c r="A407" s="84">
        <v>265</v>
      </c>
      <c r="B407" s="84">
        <v>5</v>
      </c>
      <c r="C407" s="173"/>
      <c r="D407" s="200"/>
      <c r="E407" s="111"/>
      <c r="F407" s="154"/>
      <c r="G407" s="111"/>
      <c r="H407" s="111"/>
      <c r="I407" s="94">
        <v>269</v>
      </c>
      <c r="J407" s="90" t="s">
        <v>878</v>
      </c>
      <c r="K407" s="346" t="s">
        <v>879</v>
      </c>
      <c r="L407" s="91" t="s">
        <v>817</v>
      </c>
      <c r="M407" s="308">
        <v>17</v>
      </c>
      <c r="N407" s="457" t="s">
        <v>44</v>
      </c>
      <c r="O407" s="449">
        <v>12</v>
      </c>
      <c r="P407" s="449">
        <v>12</v>
      </c>
      <c r="Q407" s="368">
        <v>12</v>
      </c>
      <c r="R407" s="449">
        <v>12</v>
      </c>
      <c r="S407" s="449">
        <v>12</v>
      </c>
      <c r="T407" s="449">
        <v>12</v>
      </c>
      <c r="U407" s="273">
        <f t="shared" si="179"/>
        <v>2.9884774473114043E-3</v>
      </c>
      <c r="V407" s="94">
        <v>16</v>
      </c>
      <c r="W407" s="91" t="s">
        <v>363</v>
      </c>
      <c r="X407" s="231"/>
      <c r="Y407" s="136"/>
      <c r="Z407" s="136"/>
      <c r="AA407" s="136"/>
      <c r="AB407" s="143">
        <v>15172500</v>
      </c>
      <c r="AC407" s="100">
        <v>15172500</v>
      </c>
      <c r="AD407" s="489"/>
      <c r="AE407" s="490"/>
      <c r="AF407" s="231"/>
      <c r="AG407" s="136"/>
      <c r="AH407" s="231"/>
      <c r="AI407" s="136"/>
      <c r="AJ407" s="231"/>
      <c r="AK407" s="136"/>
      <c r="AL407" s="231"/>
      <c r="AM407" s="136"/>
      <c r="AN407" s="231"/>
      <c r="AO407" s="136"/>
      <c r="AP407" s="99">
        <f t="shared" si="180"/>
        <v>15172500</v>
      </c>
      <c r="AQ407" s="100">
        <f t="shared" si="181"/>
        <v>15172500</v>
      </c>
      <c r="AR407" s="109"/>
      <c r="AS407" s="109"/>
      <c r="AT407" s="192">
        <v>12000000</v>
      </c>
      <c r="AU407" s="109"/>
      <c r="AV407" s="109"/>
      <c r="AW407" s="109"/>
      <c r="AX407" s="109"/>
      <c r="AY407" s="109"/>
      <c r="AZ407" s="109"/>
      <c r="BA407" s="109">
        <f t="shared" si="182"/>
        <v>12000000</v>
      </c>
      <c r="BB407" s="192"/>
      <c r="BC407" s="192"/>
      <c r="BD407" s="192">
        <v>12000000</v>
      </c>
      <c r="BE407" s="192"/>
      <c r="BF407" s="192"/>
      <c r="BG407" s="192"/>
      <c r="BH407" s="192"/>
      <c r="BI407" s="192"/>
      <c r="BJ407" s="109"/>
      <c r="BK407" s="192">
        <f t="shared" si="183"/>
        <v>12000000</v>
      </c>
      <c r="BL407" s="109"/>
      <c r="BM407" s="109"/>
      <c r="BN407" s="192">
        <v>12000000</v>
      </c>
      <c r="BO407" s="109"/>
      <c r="BP407" s="109"/>
      <c r="BQ407" s="109"/>
      <c r="BR407" s="109"/>
      <c r="BS407" s="109"/>
      <c r="BT407" s="109"/>
      <c r="BU407" s="109">
        <f t="shared" si="184"/>
        <v>12000000</v>
      </c>
      <c r="BV407" s="103">
        <f t="shared" si="185"/>
        <v>72000000</v>
      </c>
    </row>
    <row r="408" spans="1:74" ht="170.25" customHeight="1" x14ac:dyDescent="0.2">
      <c r="A408" s="105">
        <v>266</v>
      </c>
      <c r="B408" s="84">
        <v>5</v>
      </c>
      <c r="C408" s="173"/>
      <c r="D408" s="200"/>
      <c r="E408" s="111"/>
      <c r="F408" s="154"/>
      <c r="G408" s="111"/>
      <c r="H408" s="111"/>
      <c r="I408" s="94">
        <v>270</v>
      </c>
      <c r="J408" s="90" t="s">
        <v>880</v>
      </c>
      <c r="K408" s="346" t="s">
        <v>881</v>
      </c>
      <c r="L408" s="91" t="s">
        <v>817</v>
      </c>
      <c r="M408" s="308">
        <v>17</v>
      </c>
      <c r="N408" s="457" t="s">
        <v>44</v>
      </c>
      <c r="O408" s="449" t="s">
        <v>39</v>
      </c>
      <c r="P408" s="449">
        <v>12</v>
      </c>
      <c r="Q408" s="368">
        <v>12</v>
      </c>
      <c r="R408" s="449">
        <v>12</v>
      </c>
      <c r="S408" s="449">
        <v>12</v>
      </c>
      <c r="T408" s="449">
        <v>12</v>
      </c>
      <c r="U408" s="273">
        <f t="shared" si="179"/>
        <v>2.9884774473114043E-3</v>
      </c>
      <c r="V408" s="94">
        <v>16</v>
      </c>
      <c r="W408" s="91" t="s">
        <v>363</v>
      </c>
      <c r="X408" s="231"/>
      <c r="Y408" s="136"/>
      <c r="Z408" s="136"/>
      <c r="AA408" s="136"/>
      <c r="AB408" s="143">
        <v>15172500</v>
      </c>
      <c r="AC408" s="100">
        <v>15172500</v>
      </c>
      <c r="AD408" s="153"/>
      <c r="AE408" s="143"/>
      <c r="AF408" s="231"/>
      <c r="AG408" s="136"/>
      <c r="AH408" s="231"/>
      <c r="AI408" s="136"/>
      <c r="AJ408" s="231"/>
      <c r="AK408" s="136"/>
      <c r="AL408" s="231"/>
      <c r="AM408" s="136"/>
      <c r="AN408" s="231"/>
      <c r="AO408" s="136"/>
      <c r="AP408" s="99">
        <f t="shared" si="180"/>
        <v>15172500</v>
      </c>
      <c r="AQ408" s="100">
        <f t="shared" si="181"/>
        <v>15172500</v>
      </c>
      <c r="AR408" s="109"/>
      <c r="AS408" s="109"/>
      <c r="AT408" s="192">
        <v>15000000</v>
      </c>
      <c r="AU408" s="109"/>
      <c r="AV408" s="109"/>
      <c r="AW408" s="109"/>
      <c r="AX408" s="109"/>
      <c r="AY408" s="109"/>
      <c r="AZ408" s="109"/>
      <c r="BA408" s="109">
        <f t="shared" si="182"/>
        <v>15000000</v>
      </c>
      <c r="BB408" s="192"/>
      <c r="BC408" s="192"/>
      <c r="BD408" s="192">
        <v>15000000</v>
      </c>
      <c r="BE408" s="192"/>
      <c r="BF408" s="192"/>
      <c r="BG408" s="192"/>
      <c r="BH408" s="192"/>
      <c r="BI408" s="192"/>
      <c r="BJ408" s="109"/>
      <c r="BK408" s="192">
        <f t="shared" si="183"/>
        <v>15000000</v>
      </c>
      <c r="BL408" s="109"/>
      <c r="BM408" s="109"/>
      <c r="BN408" s="192">
        <v>15000000</v>
      </c>
      <c r="BO408" s="109"/>
      <c r="BP408" s="109"/>
      <c r="BQ408" s="109"/>
      <c r="BR408" s="109"/>
      <c r="BS408" s="109"/>
      <c r="BT408" s="109"/>
      <c r="BU408" s="109">
        <f t="shared" si="184"/>
        <v>15000000</v>
      </c>
      <c r="BV408" s="103">
        <f t="shared" si="185"/>
        <v>90000000</v>
      </c>
    </row>
    <row r="409" spans="1:74" ht="219.75" customHeight="1" x14ac:dyDescent="0.2">
      <c r="A409" s="84">
        <v>267</v>
      </c>
      <c r="B409" s="84">
        <v>5</v>
      </c>
      <c r="C409" s="173"/>
      <c r="D409" s="200"/>
      <c r="E409" s="111"/>
      <c r="F409" s="154"/>
      <c r="G409" s="111"/>
      <c r="H409" s="111"/>
      <c r="I409" s="94">
        <v>271</v>
      </c>
      <c r="J409" s="90" t="s">
        <v>882</v>
      </c>
      <c r="K409" s="346" t="s">
        <v>881</v>
      </c>
      <c r="L409" s="91" t="s">
        <v>817</v>
      </c>
      <c r="M409" s="308">
        <v>17</v>
      </c>
      <c r="N409" s="457" t="s">
        <v>44</v>
      </c>
      <c r="O409" s="449">
        <v>12</v>
      </c>
      <c r="P409" s="449">
        <v>12</v>
      </c>
      <c r="Q409" s="368">
        <v>12</v>
      </c>
      <c r="R409" s="449">
        <v>12</v>
      </c>
      <c r="S409" s="449">
        <v>12</v>
      </c>
      <c r="T409" s="449">
        <v>12</v>
      </c>
      <c r="U409" s="273">
        <f t="shared" si="179"/>
        <v>5.6120740594839472E-3</v>
      </c>
      <c r="V409" s="94">
        <v>3</v>
      </c>
      <c r="W409" s="91" t="s">
        <v>442</v>
      </c>
      <c r="X409" s="231"/>
      <c r="Y409" s="136"/>
      <c r="Z409" s="136"/>
      <c r="AA409" s="136"/>
      <c r="AB409" s="143">
        <v>28492500</v>
      </c>
      <c r="AC409" s="100">
        <v>28492500</v>
      </c>
      <c r="AD409" s="153"/>
      <c r="AE409" s="143"/>
      <c r="AF409" s="231"/>
      <c r="AG409" s="136"/>
      <c r="AH409" s="231"/>
      <c r="AI409" s="136"/>
      <c r="AJ409" s="231"/>
      <c r="AK409" s="136"/>
      <c r="AL409" s="231"/>
      <c r="AM409" s="136"/>
      <c r="AN409" s="231"/>
      <c r="AO409" s="136"/>
      <c r="AP409" s="99">
        <f t="shared" si="180"/>
        <v>28492500</v>
      </c>
      <c r="AQ409" s="100">
        <f t="shared" si="181"/>
        <v>28492500</v>
      </c>
      <c r="AR409" s="109"/>
      <c r="AS409" s="109"/>
      <c r="AT409" s="192">
        <v>28492500</v>
      </c>
      <c r="AU409" s="109"/>
      <c r="AV409" s="109"/>
      <c r="AW409" s="109"/>
      <c r="AX409" s="109"/>
      <c r="AY409" s="109"/>
      <c r="AZ409" s="109"/>
      <c r="BA409" s="109">
        <f t="shared" si="182"/>
        <v>28492500</v>
      </c>
      <c r="BB409" s="109"/>
      <c r="BC409" s="109"/>
      <c r="BD409" s="192">
        <v>28492500</v>
      </c>
      <c r="BE409" s="109"/>
      <c r="BF409" s="109"/>
      <c r="BG409" s="109"/>
      <c r="BH409" s="109"/>
      <c r="BI409" s="109"/>
      <c r="BJ409" s="109"/>
      <c r="BK409" s="192">
        <f t="shared" si="183"/>
        <v>28492500</v>
      </c>
      <c r="BL409" s="109"/>
      <c r="BM409" s="109"/>
      <c r="BN409" s="192">
        <v>28492500</v>
      </c>
      <c r="BO409" s="109"/>
      <c r="BP409" s="109"/>
      <c r="BQ409" s="109"/>
      <c r="BR409" s="109"/>
      <c r="BS409" s="109"/>
      <c r="BT409" s="109"/>
      <c r="BU409" s="109">
        <f t="shared" si="184"/>
        <v>28492500</v>
      </c>
      <c r="BV409" s="103">
        <f t="shared" si="185"/>
        <v>170955000</v>
      </c>
    </row>
    <row r="410" spans="1:74" ht="154.5" customHeight="1" x14ac:dyDescent="0.2">
      <c r="A410" s="105">
        <v>268</v>
      </c>
      <c r="B410" s="84">
        <v>5</v>
      </c>
      <c r="C410" s="173"/>
      <c r="D410" s="200"/>
      <c r="E410" s="111"/>
      <c r="F410" s="154"/>
      <c r="G410" s="111"/>
      <c r="H410" s="111"/>
      <c r="I410" s="94">
        <v>272</v>
      </c>
      <c r="J410" s="90" t="s">
        <v>883</v>
      </c>
      <c r="K410" s="346" t="s">
        <v>881</v>
      </c>
      <c r="L410" s="91" t="s">
        <v>817</v>
      </c>
      <c r="M410" s="308">
        <v>17</v>
      </c>
      <c r="N410" s="457" t="s">
        <v>44</v>
      </c>
      <c r="O410" s="449" t="s">
        <v>39</v>
      </c>
      <c r="P410" s="449">
        <v>12</v>
      </c>
      <c r="Q410" s="368">
        <v>12</v>
      </c>
      <c r="R410" s="449">
        <v>12</v>
      </c>
      <c r="S410" s="449">
        <v>12</v>
      </c>
      <c r="T410" s="449">
        <v>12</v>
      </c>
      <c r="U410" s="273">
        <f t="shared" si="179"/>
        <v>2.9884774473114043E-3</v>
      </c>
      <c r="V410" s="94">
        <v>16</v>
      </c>
      <c r="W410" s="91" t="s">
        <v>363</v>
      </c>
      <c r="X410" s="231"/>
      <c r="Y410" s="136"/>
      <c r="Z410" s="136"/>
      <c r="AA410" s="136"/>
      <c r="AB410" s="143">
        <v>15172500</v>
      </c>
      <c r="AC410" s="100">
        <v>15172500</v>
      </c>
      <c r="AD410" s="135"/>
      <c r="AE410" s="101"/>
      <c r="AF410" s="231"/>
      <c r="AG410" s="136"/>
      <c r="AH410" s="231"/>
      <c r="AI410" s="136"/>
      <c r="AJ410" s="231"/>
      <c r="AK410" s="136"/>
      <c r="AL410" s="231"/>
      <c r="AM410" s="136"/>
      <c r="AN410" s="231"/>
      <c r="AO410" s="136"/>
      <c r="AP410" s="99">
        <f t="shared" si="180"/>
        <v>15172500</v>
      </c>
      <c r="AQ410" s="100">
        <f t="shared" si="181"/>
        <v>15172500</v>
      </c>
      <c r="AR410" s="109"/>
      <c r="AS410" s="109"/>
      <c r="AT410" s="192">
        <v>15000000</v>
      </c>
      <c r="AU410" s="109"/>
      <c r="AV410" s="109"/>
      <c r="AW410" s="109"/>
      <c r="AX410" s="109"/>
      <c r="AY410" s="109"/>
      <c r="AZ410" s="109"/>
      <c r="BA410" s="109">
        <f t="shared" si="182"/>
        <v>15000000</v>
      </c>
      <c r="BB410" s="109"/>
      <c r="BC410" s="109"/>
      <c r="BD410" s="192">
        <v>15000000</v>
      </c>
      <c r="BE410" s="109"/>
      <c r="BF410" s="109"/>
      <c r="BG410" s="109"/>
      <c r="BH410" s="109"/>
      <c r="BI410" s="109"/>
      <c r="BJ410" s="109"/>
      <c r="BK410" s="192">
        <f t="shared" si="183"/>
        <v>15000000</v>
      </c>
      <c r="BL410" s="109"/>
      <c r="BM410" s="109"/>
      <c r="BN410" s="192">
        <v>15000000</v>
      </c>
      <c r="BO410" s="109"/>
      <c r="BP410" s="109"/>
      <c r="BQ410" s="109"/>
      <c r="BR410" s="109"/>
      <c r="BS410" s="109"/>
      <c r="BT410" s="109"/>
      <c r="BU410" s="109">
        <f t="shared" si="184"/>
        <v>15000000</v>
      </c>
      <c r="BV410" s="103">
        <f t="shared" si="185"/>
        <v>90000000</v>
      </c>
    </row>
    <row r="411" spans="1:74" ht="170.25" customHeight="1" x14ac:dyDescent="0.2">
      <c r="A411" s="84">
        <v>269</v>
      </c>
      <c r="B411" s="84">
        <v>5</v>
      </c>
      <c r="C411" s="173"/>
      <c r="D411" s="200"/>
      <c r="E411" s="111"/>
      <c r="F411" s="154"/>
      <c r="G411" s="111"/>
      <c r="H411" s="111"/>
      <c r="I411" s="94">
        <v>273</v>
      </c>
      <c r="J411" s="90" t="s">
        <v>884</v>
      </c>
      <c r="K411" s="346" t="s">
        <v>879</v>
      </c>
      <c r="L411" s="91" t="s">
        <v>817</v>
      </c>
      <c r="M411" s="308">
        <v>17</v>
      </c>
      <c r="N411" s="457" t="s">
        <v>44</v>
      </c>
      <c r="O411" s="449">
        <v>12</v>
      </c>
      <c r="P411" s="449">
        <v>12</v>
      </c>
      <c r="Q411" s="368">
        <v>12</v>
      </c>
      <c r="R411" s="449">
        <v>12</v>
      </c>
      <c r="S411" s="449">
        <v>12</v>
      </c>
      <c r="T411" s="449">
        <v>12</v>
      </c>
      <c r="U411" s="273">
        <f t="shared" si="179"/>
        <v>5.2639353949182589E-4</v>
      </c>
      <c r="V411" s="94">
        <v>17</v>
      </c>
      <c r="W411" s="91" t="s">
        <v>832</v>
      </c>
      <c r="X411" s="231"/>
      <c r="Y411" s="136"/>
      <c r="Z411" s="231"/>
      <c r="AA411" s="136"/>
      <c r="AB411" s="143">
        <v>2672500</v>
      </c>
      <c r="AC411" s="100">
        <v>2672500</v>
      </c>
      <c r="AD411" s="153"/>
      <c r="AE411" s="143"/>
      <c r="AF411" s="231"/>
      <c r="AG411" s="136"/>
      <c r="AH411" s="231"/>
      <c r="AI411" s="136"/>
      <c r="AJ411" s="231"/>
      <c r="AK411" s="136"/>
      <c r="AL411" s="231"/>
      <c r="AM411" s="136"/>
      <c r="AN411" s="231"/>
      <c r="AO411" s="136"/>
      <c r="AP411" s="99">
        <f t="shared" si="180"/>
        <v>2672500</v>
      </c>
      <c r="AQ411" s="100">
        <f t="shared" si="181"/>
        <v>2672500</v>
      </c>
      <c r="AR411" s="109"/>
      <c r="AS411" s="109"/>
      <c r="AT411" s="192">
        <v>2672500</v>
      </c>
      <c r="AU411" s="109"/>
      <c r="AV411" s="109"/>
      <c r="AW411" s="109"/>
      <c r="AX411" s="109"/>
      <c r="AY411" s="109"/>
      <c r="AZ411" s="109"/>
      <c r="BA411" s="109">
        <f t="shared" si="182"/>
        <v>2672500</v>
      </c>
      <c r="BB411" s="109"/>
      <c r="BC411" s="109"/>
      <c r="BD411" s="192">
        <v>2672500</v>
      </c>
      <c r="BE411" s="109"/>
      <c r="BF411" s="109"/>
      <c r="BG411" s="109"/>
      <c r="BH411" s="109"/>
      <c r="BI411" s="109"/>
      <c r="BJ411" s="109"/>
      <c r="BK411" s="192">
        <f t="shared" si="183"/>
        <v>2672500</v>
      </c>
      <c r="BL411" s="109"/>
      <c r="BM411" s="109"/>
      <c r="BN411" s="192">
        <v>2672500</v>
      </c>
      <c r="BO411" s="109"/>
      <c r="BP411" s="109"/>
      <c r="BQ411" s="109"/>
      <c r="BR411" s="109"/>
      <c r="BS411" s="109"/>
      <c r="BT411" s="109"/>
      <c r="BU411" s="109">
        <f t="shared" si="184"/>
        <v>2672500</v>
      </c>
      <c r="BV411" s="103">
        <f t="shared" si="185"/>
        <v>16035000</v>
      </c>
    </row>
    <row r="412" spans="1:74" ht="113.25" customHeight="1" x14ac:dyDescent="0.2">
      <c r="A412" s="105">
        <v>270</v>
      </c>
      <c r="B412" s="84">
        <v>5</v>
      </c>
      <c r="C412" s="173"/>
      <c r="D412" s="200"/>
      <c r="E412" s="110"/>
      <c r="F412" s="114"/>
      <c r="G412" s="110"/>
      <c r="H412" s="110"/>
      <c r="I412" s="94">
        <v>274</v>
      </c>
      <c r="J412" s="90" t="s">
        <v>885</v>
      </c>
      <c r="K412" s="346" t="s">
        <v>879</v>
      </c>
      <c r="L412" s="91" t="s">
        <v>817</v>
      </c>
      <c r="M412" s="308">
        <v>17</v>
      </c>
      <c r="N412" s="457" t="s">
        <v>44</v>
      </c>
      <c r="O412" s="449" t="s">
        <v>39</v>
      </c>
      <c r="P412" s="449">
        <v>12</v>
      </c>
      <c r="Q412" s="368">
        <v>12</v>
      </c>
      <c r="R412" s="449">
        <v>12</v>
      </c>
      <c r="S412" s="449">
        <v>12</v>
      </c>
      <c r="T412" s="449">
        <v>12</v>
      </c>
      <c r="U412" s="273">
        <f t="shared" si="179"/>
        <v>2.4960606657474889E-3</v>
      </c>
      <c r="V412" s="95">
        <v>16</v>
      </c>
      <c r="W412" s="92" t="s">
        <v>363</v>
      </c>
      <c r="X412" s="231"/>
      <c r="Y412" s="136"/>
      <c r="Z412" s="231"/>
      <c r="AA412" s="136"/>
      <c r="AB412" s="143">
        <v>12672500</v>
      </c>
      <c r="AC412" s="100">
        <v>12672500</v>
      </c>
      <c r="AD412" s="153"/>
      <c r="AE412" s="143"/>
      <c r="AF412" s="231"/>
      <c r="AG412" s="136"/>
      <c r="AH412" s="231"/>
      <c r="AI412" s="136"/>
      <c r="AJ412" s="231"/>
      <c r="AK412" s="136"/>
      <c r="AL412" s="231"/>
      <c r="AM412" s="136"/>
      <c r="AN412" s="231"/>
      <c r="AO412" s="136"/>
      <c r="AP412" s="99">
        <f t="shared" si="180"/>
        <v>12672500</v>
      </c>
      <c r="AQ412" s="100">
        <f t="shared" si="181"/>
        <v>12672500</v>
      </c>
      <c r="AR412" s="109"/>
      <c r="AS412" s="109"/>
      <c r="AT412" s="192">
        <v>14135000</v>
      </c>
      <c r="AU412" s="109"/>
      <c r="AV412" s="109"/>
      <c r="AW412" s="109"/>
      <c r="AX412" s="109"/>
      <c r="AY412" s="109"/>
      <c r="AZ412" s="109"/>
      <c r="BA412" s="109">
        <f t="shared" si="182"/>
        <v>14135000</v>
      </c>
      <c r="BB412" s="109"/>
      <c r="BC412" s="109"/>
      <c r="BD412" s="192">
        <v>14135000</v>
      </c>
      <c r="BE412" s="109"/>
      <c r="BF412" s="109"/>
      <c r="BG412" s="109"/>
      <c r="BH412" s="109"/>
      <c r="BI412" s="109"/>
      <c r="BJ412" s="109"/>
      <c r="BK412" s="192">
        <f t="shared" si="183"/>
        <v>14135000</v>
      </c>
      <c r="BL412" s="109"/>
      <c r="BM412" s="109"/>
      <c r="BN412" s="192">
        <v>14135000</v>
      </c>
      <c r="BO412" s="109"/>
      <c r="BP412" s="109"/>
      <c r="BQ412" s="109"/>
      <c r="BR412" s="109"/>
      <c r="BS412" s="109"/>
      <c r="BT412" s="109"/>
      <c r="BU412" s="109">
        <f t="shared" si="184"/>
        <v>14135000</v>
      </c>
      <c r="BV412" s="103">
        <f t="shared" si="185"/>
        <v>84810000</v>
      </c>
    </row>
    <row r="413" spans="1:74" ht="24.75" customHeight="1" x14ac:dyDescent="0.2">
      <c r="A413" s="105"/>
      <c r="B413" s="84"/>
      <c r="C413" s="173"/>
      <c r="D413" s="200"/>
      <c r="E413" s="71">
        <v>88</v>
      </c>
      <c r="F413" s="72" t="s">
        <v>886</v>
      </c>
      <c r="G413" s="75"/>
      <c r="H413" s="75"/>
      <c r="I413" s="76"/>
      <c r="J413" s="75"/>
      <c r="K413" s="75"/>
      <c r="L413" s="74"/>
      <c r="M413" s="76"/>
      <c r="N413" s="77"/>
      <c r="O413" s="75"/>
      <c r="P413" s="75"/>
      <c r="Q413" s="78"/>
      <c r="R413" s="75"/>
      <c r="S413" s="75"/>
      <c r="T413" s="76"/>
      <c r="U413" s="174"/>
      <c r="V413" s="76"/>
      <c r="W413" s="76"/>
      <c r="X413" s="80">
        <f t="shared" ref="X413:AO413" si="186">SUM(X414:X418)</f>
        <v>0</v>
      </c>
      <c r="Y413" s="80">
        <f t="shared" si="186"/>
        <v>0</v>
      </c>
      <c r="Z413" s="80">
        <f t="shared" si="186"/>
        <v>64260244</v>
      </c>
      <c r="AA413" s="80">
        <f t="shared" si="186"/>
        <v>46963067.460000001</v>
      </c>
      <c r="AB413" s="80">
        <f t="shared" si="186"/>
        <v>955795535</v>
      </c>
      <c r="AC413" s="80">
        <f t="shared" si="186"/>
        <v>955795535</v>
      </c>
      <c r="AD413" s="80">
        <f t="shared" si="186"/>
        <v>435000000</v>
      </c>
      <c r="AE413" s="80">
        <f t="shared" si="186"/>
        <v>170000000</v>
      </c>
      <c r="AF413" s="80">
        <f t="shared" si="186"/>
        <v>0</v>
      </c>
      <c r="AG413" s="80">
        <f t="shared" si="186"/>
        <v>0</v>
      </c>
      <c r="AH413" s="80">
        <f t="shared" si="186"/>
        <v>0</v>
      </c>
      <c r="AI413" s="80">
        <f t="shared" si="186"/>
        <v>0</v>
      </c>
      <c r="AJ413" s="80">
        <f t="shared" si="186"/>
        <v>0</v>
      </c>
      <c r="AK413" s="80">
        <f t="shared" si="186"/>
        <v>0</v>
      </c>
      <c r="AL413" s="80">
        <f t="shared" si="186"/>
        <v>0</v>
      </c>
      <c r="AM413" s="80">
        <f t="shared" si="186"/>
        <v>0</v>
      </c>
      <c r="AN413" s="80">
        <f t="shared" si="186"/>
        <v>0</v>
      </c>
      <c r="AO413" s="80">
        <f t="shared" si="186"/>
        <v>0</v>
      </c>
      <c r="AP413" s="81">
        <f>SUM(AP414:AP418)</f>
        <v>1455055779</v>
      </c>
      <c r="AQ413" s="80">
        <f>SUM(AQ414:AQ418)</f>
        <v>1172758602.46</v>
      </c>
      <c r="AR413" s="82"/>
      <c r="AS413" s="82"/>
      <c r="AT413" s="82"/>
      <c r="AU413" s="82"/>
      <c r="AV413" s="82"/>
      <c r="AW413" s="82"/>
      <c r="AX413" s="82"/>
      <c r="AY413" s="82"/>
      <c r="AZ413" s="82"/>
      <c r="BA413" s="82">
        <f>SUM(BA414:BA418)</f>
        <v>1041200000</v>
      </c>
      <c r="BB413" s="82"/>
      <c r="BC413" s="82"/>
      <c r="BD413" s="82"/>
      <c r="BE413" s="82"/>
      <c r="BF413" s="82"/>
      <c r="BG413" s="82"/>
      <c r="BH413" s="82"/>
      <c r="BI413" s="82"/>
      <c r="BJ413" s="82"/>
      <c r="BK413" s="82">
        <f>SUM(BK414:BK418)</f>
        <v>842436000</v>
      </c>
      <c r="BL413" s="82"/>
      <c r="BM413" s="82"/>
      <c r="BN413" s="82"/>
      <c r="BO413" s="82"/>
      <c r="BP413" s="82"/>
      <c r="BQ413" s="82"/>
      <c r="BR413" s="82"/>
      <c r="BS413" s="82"/>
      <c r="BT413" s="82"/>
      <c r="BU413" s="82">
        <f>SUM(BU414:BU418)</f>
        <v>843709080</v>
      </c>
      <c r="BV413" s="83">
        <f t="shared" si="185"/>
        <v>2727345080</v>
      </c>
    </row>
    <row r="414" spans="1:74" ht="87.75" customHeight="1" x14ac:dyDescent="0.2">
      <c r="A414" s="84">
        <v>271</v>
      </c>
      <c r="B414" s="84">
        <v>5</v>
      </c>
      <c r="C414" s="173"/>
      <c r="D414" s="200"/>
      <c r="E414" s="85">
        <v>38</v>
      </c>
      <c r="F414" s="112" t="s">
        <v>795</v>
      </c>
      <c r="G414" s="85">
        <v>0</v>
      </c>
      <c r="H414" s="85">
        <v>2</v>
      </c>
      <c r="I414" s="94">
        <v>275</v>
      </c>
      <c r="J414" s="90" t="s">
        <v>887</v>
      </c>
      <c r="K414" s="346" t="s">
        <v>888</v>
      </c>
      <c r="L414" s="91" t="s">
        <v>817</v>
      </c>
      <c r="M414" s="308">
        <v>17</v>
      </c>
      <c r="N414" s="457" t="s">
        <v>44</v>
      </c>
      <c r="O414" s="449" t="s">
        <v>39</v>
      </c>
      <c r="P414" s="449">
        <v>4</v>
      </c>
      <c r="Q414" s="368">
        <v>4</v>
      </c>
      <c r="R414" s="449">
        <v>4</v>
      </c>
      <c r="S414" s="449">
        <v>4</v>
      </c>
      <c r="T414" s="449">
        <v>4</v>
      </c>
      <c r="U414" s="340">
        <f>AP414/$AP$413</f>
        <v>0.59649200843454397</v>
      </c>
      <c r="V414" s="95">
        <v>16</v>
      </c>
      <c r="W414" s="92" t="s">
        <v>363</v>
      </c>
      <c r="X414" s="141"/>
      <c r="Y414" s="142"/>
      <c r="Z414" s="141">
        <v>0</v>
      </c>
      <c r="AA414" s="142"/>
      <c r="AB414" s="142">
        <v>867929144</v>
      </c>
      <c r="AC414" s="136">
        <v>757722528</v>
      </c>
      <c r="AD414" s="141"/>
      <c r="AE414" s="142"/>
      <c r="AF414" s="141"/>
      <c r="AG414" s="142"/>
      <c r="AH414" s="141"/>
      <c r="AI414" s="142"/>
      <c r="AJ414" s="141"/>
      <c r="AK414" s="142"/>
      <c r="AL414" s="141"/>
      <c r="AM414" s="142"/>
      <c r="AN414" s="141"/>
      <c r="AO414" s="142"/>
      <c r="AP414" s="99">
        <f>+X414+Z414+AB414+AD414+AF414+AH414+AJ414+AL414+AN414</f>
        <v>867929144</v>
      </c>
      <c r="AQ414" s="100">
        <f>Y414+AA414+AC414+AE414+AG414+AI414+AK414+AM414+AO414</f>
        <v>757722528</v>
      </c>
      <c r="AR414" s="109"/>
      <c r="AS414" s="109"/>
      <c r="AT414" s="192">
        <v>621000000</v>
      </c>
      <c r="AU414" s="109"/>
      <c r="AV414" s="109"/>
      <c r="AW414" s="109"/>
      <c r="AX414" s="109"/>
      <c r="AY414" s="109"/>
      <c r="AZ414" s="109"/>
      <c r="BA414" s="109">
        <f>SUM(AR414:AZ414)</f>
        <v>621000000</v>
      </c>
      <c r="BB414" s="192"/>
      <c r="BC414" s="192"/>
      <c r="BD414" s="192">
        <v>502500000</v>
      </c>
      <c r="BE414" s="192"/>
      <c r="BF414" s="192"/>
      <c r="BG414" s="192"/>
      <c r="BH414" s="192"/>
      <c r="BI414" s="192"/>
      <c r="BJ414" s="192"/>
      <c r="BK414" s="192">
        <f>SUM(BB414:BJ414)</f>
        <v>502500000</v>
      </c>
      <c r="BL414" s="109"/>
      <c r="BM414" s="109"/>
      <c r="BN414" s="109">
        <v>503773080</v>
      </c>
      <c r="BO414" s="109"/>
      <c r="BP414" s="109"/>
      <c r="BQ414" s="109"/>
      <c r="BR414" s="109"/>
      <c r="BS414" s="109"/>
      <c r="BT414" s="109"/>
      <c r="BU414" s="109">
        <f>SUM(BL414:BT414)</f>
        <v>503773080</v>
      </c>
      <c r="BV414" s="103">
        <f t="shared" si="185"/>
        <v>3254546160</v>
      </c>
    </row>
    <row r="415" spans="1:74" ht="96" customHeight="1" x14ac:dyDescent="0.2">
      <c r="A415" s="105">
        <v>272</v>
      </c>
      <c r="B415" s="84">
        <v>5</v>
      </c>
      <c r="C415" s="173"/>
      <c r="D415" s="200"/>
      <c r="E415" s="111"/>
      <c r="F415" s="154"/>
      <c r="G415" s="111"/>
      <c r="H415" s="111"/>
      <c r="I415" s="94">
        <v>276</v>
      </c>
      <c r="J415" s="90" t="s">
        <v>889</v>
      </c>
      <c r="K415" s="346" t="s">
        <v>890</v>
      </c>
      <c r="L415" s="91" t="s">
        <v>817</v>
      </c>
      <c r="M415" s="308">
        <v>17</v>
      </c>
      <c r="N415" s="457" t="s">
        <v>44</v>
      </c>
      <c r="O415" s="449">
        <v>1</v>
      </c>
      <c r="P415" s="449">
        <v>1</v>
      </c>
      <c r="Q415" s="368">
        <v>1</v>
      </c>
      <c r="R415" s="449">
        <v>1</v>
      </c>
      <c r="S415" s="449">
        <v>1</v>
      </c>
      <c r="T415" s="449">
        <v>1</v>
      </c>
      <c r="U415" s="340">
        <f>AP415/$AP$413</f>
        <v>4.3068222472590172E-2</v>
      </c>
      <c r="V415" s="94">
        <v>16</v>
      </c>
      <c r="W415" s="92" t="s">
        <v>363</v>
      </c>
      <c r="X415" s="141"/>
      <c r="Y415" s="142"/>
      <c r="Z415" s="491">
        <v>32666666</v>
      </c>
      <c r="AA415" s="101">
        <f>32666666-17297176.54</f>
        <v>15369489.460000001</v>
      </c>
      <c r="AB415" s="142">
        <v>30000000</v>
      </c>
      <c r="AC415" s="136">
        <v>150206616</v>
      </c>
      <c r="AD415" s="141"/>
      <c r="AE415" s="142"/>
      <c r="AF415" s="141"/>
      <c r="AG415" s="142"/>
      <c r="AH415" s="141"/>
      <c r="AI415" s="142"/>
      <c r="AJ415" s="141"/>
      <c r="AK415" s="142"/>
      <c r="AL415" s="141"/>
      <c r="AM415" s="142"/>
      <c r="AN415" s="141"/>
      <c r="AO415" s="142"/>
      <c r="AP415" s="99">
        <f>+X415+Z415+AB415+AD415+AF415+AH415+AJ415+AL415+AN415</f>
        <v>62666666</v>
      </c>
      <c r="AQ415" s="100">
        <f>Y415+AA415+AC415+AE415+AG415+AI415+AK415+AM415+AO415</f>
        <v>165576105.46000001</v>
      </c>
      <c r="AR415" s="109"/>
      <c r="AS415" s="109">
        <v>41200000</v>
      </c>
      <c r="AT415" s="192">
        <v>3600000</v>
      </c>
      <c r="AU415" s="109"/>
      <c r="AV415" s="109"/>
      <c r="AW415" s="109"/>
      <c r="AX415" s="109"/>
      <c r="AY415" s="109"/>
      <c r="AZ415" s="109"/>
      <c r="BA415" s="109">
        <f>SUM(AR415:AZ415)</f>
        <v>44800000</v>
      </c>
      <c r="BB415" s="192"/>
      <c r="BC415" s="146" t="s">
        <v>0</v>
      </c>
      <c r="BD415" s="192">
        <v>36250000</v>
      </c>
      <c r="BE415" s="192"/>
      <c r="BF415" s="192"/>
      <c r="BG415" s="192"/>
      <c r="BH415" s="192"/>
      <c r="BI415" s="192"/>
      <c r="BJ415" s="192"/>
      <c r="BK415" s="192">
        <f>SUM(BB415:BJ415)</f>
        <v>36250000</v>
      </c>
      <c r="BL415" s="109"/>
      <c r="BM415" s="109"/>
      <c r="BN415" s="109">
        <v>36250000</v>
      </c>
      <c r="BO415" s="109"/>
      <c r="BP415" s="109"/>
      <c r="BQ415" s="109"/>
      <c r="BR415" s="109"/>
      <c r="BS415" s="109"/>
      <c r="BT415" s="109"/>
      <c r="BU415" s="109">
        <f>SUM(BL415:BT415)</f>
        <v>36250000</v>
      </c>
      <c r="BV415" s="103">
        <f t="shared" si="185"/>
        <v>234600000</v>
      </c>
    </row>
    <row r="416" spans="1:74" ht="113.25" customHeight="1" x14ac:dyDescent="0.2">
      <c r="A416" s="84">
        <v>273</v>
      </c>
      <c r="B416" s="84">
        <v>5</v>
      </c>
      <c r="C416" s="173"/>
      <c r="D416" s="200"/>
      <c r="E416" s="111"/>
      <c r="F416" s="154"/>
      <c r="G416" s="111"/>
      <c r="H416" s="111"/>
      <c r="I416" s="94">
        <v>277</v>
      </c>
      <c r="J416" s="90" t="s">
        <v>891</v>
      </c>
      <c r="K416" s="346" t="s">
        <v>892</v>
      </c>
      <c r="L416" s="91" t="s">
        <v>817</v>
      </c>
      <c r="M416" s="308">
        <v>17</v>
      </c>
      <c r="N416" s="457" t="s">
        <v>44</v>
      </c>
      <c r="O416" s="449">
        <v>1</v>
      </c>
      <c r="P416" s="449">
        <v>1</v>
      </c>
      <c r="Q416" s="368">
        <v>1</v>
      </c>
      <c r="R416" s="449">
        <v>1</v>
      </c>
      <c r="S416" s="449">
        <v>1</v>
      </c>
      <c r="T416" s="449">
        <v>1</v>
      </c>
      <c r="U416" s="340">
        <f>AP416/$AP$413</f>
        <v>0.33294941403067685</v>
      </c>
      <c r="V416" s="94">
        <v>16</v>
      </c>
      <c r="W416" s="92" t="s">
        <v>363</v>
      </c>
      <c r="X416" s="141"/>
      <c r="Y416" s="142"/>
      <c r="Z416" s="491">
        <v>31593578</v>
      </c>
      <c r="AA416" s="101">
        <f>Z416</f>
        <v>31593578</v>
      </c>
      <c r="AB416" s="136">
        <v>17866391</v>
      </c>
      <c r="AC416" s="136">
        <v>7866391</v>
      </c>
      <c r="AD416" s="141">
        <v>435000000</v>
      </c>
      <c r="AE416" s="136">
        <v>170000000</v>
      </c>
      <c r="AF416" s="141"/>
      <c r="AG416" s="142"/>
      <c r="AH416" s="141"/>
      <c r="AI416" s="142"/>
      <c r="AJ416" s="141"/>
      <c r="AK416" s="142"/>
      <c r="AL416" s="141"/>
      <c r="AM416" s="142"/>
      <c r="AN416" s="141"/>
      <c r="AO416" s="142"/>
      <c r="AP416" s="99">
        <f>+X416+Z416+AB416+AD416+AF416+AH416+AJ416+AL416+AN416</f>
        <v>484459969</v>
      </c>
      <c r="AQ416" s="100">
        <f>Y416+AA416+AC416+AE416+AG416+AI416+AK416+AM416+AO416</f>
        <v>209459969</v>
      </c>
      <c r="AR416" s="109"/>
      <c r="AS416" s="109"/>
      <c r="AT416" s="192">
        <v>146600000</v>
      </c>
      <c r="AU416" s="109">
        <v>200000000</v>
      </c>
      <c r="AV416" s="109"/>
      <c r="AW416" s="109"/>
      <c r="AX416" s="109"/>
      <c r="AY416" s="109"/>
      <c r="AZ416" s="109"/>
      <c r="BA416" s="109">
        <f>SUM(AR416:AZ416)</f>
        <v>346600000</v>
      </c>
      <c r="BB416" s="192"/>
      <c r="BC416" s="146">
        <v>42436000</v>
      </c>
      <c r="BD416" s="192">
        <v>37964000</v>
      </c>
      <c r="BE416" s="192">
        <v>200000000</v>
      </c>
      <c r="BF416" s="192"/>
      <c r="BG416" s="192"/>
      <c r="BH416" s="192"/>
      <c r="BI416" s="192"/>
      <c r="BJ416" s="192"/>
      <c r="BK416" s="192">
        <f>SUM(BB416:BJ416)</f>
        <v>280400000</v>
      </c>
      <c r="BL416" s="109"/>
      <c r="BM416" s="146">
        <v>43709080</v>
      </c>
      <c r="BN416" s="109">
        <v>36690920</v>
      </c>
      <c r="BO416" s="109">
        <v>200000000</v>
      </c>
      <c r="BP416" s="109"/>
      <c r="BQ416" s="109"/>
      <c r="BR416" s="109"/>
      <c r="BS416" s="109"/>
      <c r="BT416" s="109"/>
      <c r="BU416" s="109">
        <f>SUM(BL416:BT416)</f>
        <v>280400000</v>
      </c>
      <c r="BV416" s="103">
        <f t="shared" si="185"/>
        <v>1814800000</v>
      </c>
    </row>
    <row r="417" spans="1:74" ht="121.5" customHeight="1" x14ac:dyDescent="0.2">
      <c r="A417" s="105">
        <v>274</v>
      </c>
      <c r="B417" s="84">
        <v>5</v>
      </c>
      <c r="C417" s="173"/>
      <c r="D417" s="200"/>
      <c r="E417" s="111"/>
      <c r="F417" s="154"/>
      <c r="G417" s="111"/>
      <c r="H417" s="111"/>
      <c r="I417" s="94">
        <v>278</v>
      </c>
      <c r="J417" s="90" t="s">
        <v>893</v>
      </c>
      <c r="K417" s="346" t="s">
        <v>894</v>
      </c>
      <c r="L417" s="91" t="s">
        <v>817</v>
      </c>
      <c r="M417" s="308">
        <v>17</v>
      </c>
      <c r="N417" s="457" t="s">
        <v>44</v>
      </c>
      <c r="O417" s="449" t="s">
        <v>39</v>
      </c>
      <c r="P417" s="449">
        <v>1</v>
      </c>
      <c r="Q417" s="368">
        <v>1</v>
      </c>
      <c r="R417" s="449">
        <v>1</v>
      </c>
      <c r="S417" s="449">
        <v>1</v>
      </c>
      <c r="T417" s="449">
        <v>1</v>
      </c>
      <c r="U417" s="340">
        <f>AP417/$AP$413</f>
        <v>5.4980710124377984E-3</v>
      </c>
      <c r="V417" s="94">
        <v>16</v>
      </c>
      <c r="W417" s="92" t="s">
        <v>363</v>
      </c>
      <c r="X417" s="231"/>
      <c r="Y417" s="136"/>
      <c r="Z417" s="231"/>
      <c r="AA417" s="136"/>
      <c r="AB417" s="141">
        <v>8000000</v>
      </c>
      <c r="AC417" s="136">
        <v>11466670</v>
      </c>
      <c r="AD417" s="141"/>
      <c r="AE417" s="142"/>
      <c r="AF417" s="231"/>
      <c r="AG417" s="136"/>
      <c r="AH417" s="231"/>
      <c r="AI417" s="136"/>
      <c r="AJ417" s="231"/>
      <c r="AK417" s="136"/>
      <c r="AL417" s="231"/>
      <c r="AM417" s="136"/>
      <c r="AN417" s="231"/>
      <c r="AO417" s="136"/>
      <c r="AP417" s="99">
        <f>+X417+Z417+AB417+AD417+AF417+AH417+AJ417+AL417+AN417</f>
        <v>8000000</v>
      </c>
      <c r="AQ417" s="100">
        <f>Y417+AA417+AC417+AE417+AG417+AI417+AK417+AM417+AO417</f>
        <v>11466670</v>
      </c>
      <c r="AR417" s="109"/>
      <c r="AS417" s="109"/>
      <c r="AT417" s="192">
        <v>5700000</v>
      </c>
      <c r="AU417" s="109"/>
      <c r="AV417" s="109"/>
      <c r="AW417" s="109"/>
      <c r="AX417" s="109"/>
      <c r="AY417" s="109"/>
      <c r="AZ417" s="109"/>
      <c r="BA417" s="109">
        <f>SUM(AR417:AZ417)</f>
        <v>5700000</v>
      </c>
      <c r="BB417" s="192"/>
      <c r="BC417" s="192"/>
      <c r="BD417" s="192">
        <v>4600000</v>
      </c>
      <c r="BE417" s="192"/>
      <c r="BF417" s="192"/>
      <c r="BG417" s="192"/>
      <c r="BH417" s="192"/>
      <c r="BI417" s="192"/>
      <c r="BJ417" s="192"/>
      <c r="BK417" s="192">
        <f>SUM(BB417:BJ417)</f>
        <v>4600000</v>
      </c>
      <c r="BL417" s="109"/>
      <c r="BM417" s="109"/>
      <c r="BN417" s="109">
        <v>4600000</v>
      </c>
      <c r="BO417" s="109"/>
      <c r="BP417" s="109"/>
      <c r="BQ417" s="109"/>
      <c r="BR417" s="109"/>
      <c r="BS417" s="109"/>
      <c r="BT417" s="109"/>
      <c r="BU417" s="109">
        <f>SUM(BL417:BT417)</f>
        <v>4600000</v>
      </c>
      <c r="BV417" s="103">
        <f t="shared" si="185"/>
        <v>29800000</v>
      </c>
    </row>
    <row r="418" spans="1:74" ht="77.25" customHeight="1" x14ac:dyDescent="0.2">
      <c r="A418" s="84">
        <v>275</v>
      </c>
      <c r="B418" s="84">
        <v>5</v>
      </c>
      <c r="C418" s="173"/>
      <c r="D418" s="200"/>
      <c r="E418" s="110"/>
      <c r="F418" s="114"/>
      <c r="G418" s="110"/>
      <c r="H418" s="110"/>
      <c r="I418" s="94">
        <v>279</v>
      </c>
      <c r="J418" s="90" t="s">
        <v>895</v>
      </c>
      <c r="K418" s="346" t="s">
        <v>896</v>
      </c>
      <c r="L418" s="91" t="s">
        <v>817</v>
      </c>
      <c r="M418" s="308">
        <v>17</v>
      </c>
      <c r="N418" s="457" t="s">
        <v>44</v>
      </c>
      <c r="O418" s="449" t="s">
        <v>39</v>
      </c>
      <c r="P418" s="449">
        <v>1</v>
      </c>
      <c r="Q418" s="368">
        <v>1</v>
      </c>
      <c r="R418" s="449">
        <v>1</v>
      </c>
      <c r="S418" s="449">
        <v>1</v>
      </c>
      <c r="T418" s="449">
        <v>1</v>
      </c>
      <c r="U418" s="340">
        <f>AP418/$AP$413</f>
        <v>2.1992284049751194E-2</v>
      </c>
      <c r="V418" s="94">
        <v>16</v>
      </c>
      <c r="W418" s="92" t="s">
        <v>363</v>
      </c>
      <c r="X418" s="231"/>
      <c r="Y418" s="136"/>
      <c r="Z418" s="231"/>
      <c r="AA418" s="136"/>
      <c r="AB418" s="141">
        <v>32000000</v>
      </c>
      <c r="AC418" s="136">
        <v>28533330</v>
      </c>
      <c r="AD418" s="141"/>
      <c r="AE418" s="142"/>
      <c r="AF418" s="231"/>
      <c r="AG418" s="136"/>
      <c r="AH418" s="231"/>
      <c r="AI418" s="136"/>
      <c r="AJ418" s="231"/>
      <c r="AK418" s="136"/>
      <c r="AL418" s="231"/>
      <c r="AM418" s="136"/>
      <c r="AN418" s="231"/>
      <c r="AO418" s="136"/>
      <c r="AP418" s="99">
        <f>+X418+Z418+AB418+AD418+AF418+AH418+AJ418+AL418+AN418</f>
        <v>32000000</v>
      </c>
      <c r="AQ418" s="100">
        <f>Y418+AA418+AC418+AE418+AG418+AI418+AK418+AM418+AO418</f>
        <v>28533330</v>
      </c>
      <c r="AR418" s="109"/>
      <c r="AS418" s="109"/>
      <c r="AT418" s="192">
        <v>23100000</v>
      </c>
      <c r="AU418" s="109"/>
      <c r="AV418" s="109"/>
      <c r="AW418" s="109"/>
      <c r="AX418" s="109"/>
      <c r="AY418" s="109"/>
      <c r="AZ418" s="109"/>
      <c r="BA418" s="109">
        <f>SUM(AR418:AZ418)</f>
        <v>23100000</v>
      </c>
      <c r="BB418" s="192"/>
      <c r="BC418" s="192"/>
      <c r="BD418" s="192">
        <f>18500000+186000</f>
        <v>18686000</v>
      </c>
      <c r="BE418" s="192"/>
      <c r="BF418" s="192"/>
      <c r="BG418" s="192"/>
      <c r="BH418" s="192"/>
      <c r="BI418" s="192"/>
      <c r="BJ418" s="192"/>
      <c r="BK418" s="192">
        <f>SUM(BB418:BJ418)</f>
        <v>18686000</v>
      </c>
      <c r="BL418" s="109"/>
      <c r="BM418" s="109"/>
      <c r="BN418" s="109">
        <v>18686000</v>
      </c>
      <c r="BO418" s="109"/>
      <c r="BP418" s="109"/>
      <c r="BQ418" s="109"/>
      <c r="BR418" s="109"/>
      <c r="BS418" s="109"/>
      <c r="BT418" s="109"/>
      <c r="BU418" s="109">
        <f>SUM(BL418:BT418)</f>
        <v>18686000</v>
      </c>
      <c r="BV418" s="103">
        <f t="shared" si="185"/>
        <v>120944000</v>
      </c>
    </row>
    <row r="419" spans="1:74" ht="24.75" customHeight="1" x14ac:dyDescent="0.2">
      <c r="A419" s="84"/>
      <c r="B419" s="84"/>
      <c r="C419" s="173"/>
      <c r="D419" s="200"/>
      <c r="E419" s="71">
        <v>89</v>
      </c>
      <c r="F419" s="72" t="s">
        <v>897</v>
      </c>
      <c r="G419" s="75"/>
      <c r="H419" s="75"/>
      <c r="I419" s="76"/>
      <c r="J419" s="75"/>
      <c r="K419" s="75"/>
      <c r="L419" s="74"/>
      <c r="M419" s="76"/>
      <c r="N419" s="77"/>
      <c r="O419" s="75"/>
      <c r="P419" s="75"/>
      <c r="Q419" s="78"/>
      <c r="R419" s="75"/>
      <c r="S419" s="75"/>
      <c r="T419" s="76"/>
      <c r="U419" s="174"/>
      <c r="V419" s="76"/>
      <c r="W419" s="76"/>
      <c r="X419" s="80">
        <f t="shared" ref="X419:AO419" si="187">SUM(X420:X429)</f>
        <v>0</v>
      </c>
      <c r="Y419" s="80">
        <f t="shared" si="187"/>
        <v>0</v>
      </c>
      <c r="Z419" s="80">
        <f t="shared" si="187"/>
        <v>0</v>
      </c>
      <c r="AA419" s="80">
        <f t="shared" si="187"/>
        <v>0</v>
      </c>
      <c r="AB419" s="80">
        <f t="shared" si="187"/>
        <v>1072224581</v>
      </c>
      <c r="AC419" s="80">
        <f t="shared" si="187"/>
        <v>1072224581</v>
      </c>
      <c r="AD419" s="80">
        <f t="shared" si="187"/>
        <v>0</v>
      </c>
      <c r="AE419" s="80">
        <f t="shared" si="187"/>
        <v>0</v>
      </c>
      <c r="AF419" s="80">
        <f t="shared" si="187"/>
        <v>0</v>
      </c>
      <c r="AG419" s="80">
        <f t="shared" si="187"/>
        <v>0</v>
      </c>
      <c r="AH419" s="80">
        <f t="shared" si="187"/>
        <v>0</v>
      </c>
      <c r="AI419" s="80">
        <f t="shared" si="187"/>
        <v>0</v>
      </c>
      <c r="AJ419" s="80">
        <f t="shared" si="187"/>
        <v>0</v>
      </c>
      <c r="AK419" s="80">
        <f t="shared" si="187"/>
        <v>0</v>
      </c>
      <c r="AL419" s="80">
        <f t="shared" si="187"/>
        <v>0</v>
      </c>
      <c r="AM419" s="80">
        <f t="shared" si="187"/>
        <v>0</v>
      </c>
      <c r="AN419" s="80">
        <f t="shared" si="187"/>
        <v>0</v>
      </c>
      <c r="AO419" s="80">
        <f t="shared" si="187"/>
        <v>0</v>
      </c>
      <c r="AP419" s="81">
        <f>SUM(AP420:AP429)</f>
        <v>1072224581</v>
      </c>
      <c r="AQ419" s="80">
        <f>SUM(AQ420:AQ429)</f>
        <v>1072224581</v>
      </c>
      <c r="AR419" s="82"/>
      <c r="AS419" s="82"/>
      <c r="AT419" s="82"/>
      <c r="AU419" s="82"/>
      <c r="AV419" s="82"/>
      <c r="AW419" s="82"/>
      <c r="AX419" s="82"/>
      <c r="AY419" s="82"/>
      <c r="AZ419" s="82"/>
      <c r="BA419" s="82">
        <f>SUM(BA420:BA429)</f>
        <v>4554152274</v>
      </c>
      <c r="BB419" s="82"/>
      <c r="BC419" s="82"/>
      <c r="BD419" s="82"/>
      <c r="BE419" s="82"/>
      <c r="BF419" s="82"/>
      <c r="BG419" s="82"/>
      <c r="BH419" s="82"/>
      <c r="BI419" s="82"/>
      <c r="BJ419" s="82"/>
      <c r="BK419" s="82">
        <f>SUM(BK420:BK429)</f>
        <v>215304749</v>
      </c>
      <c r="BL419" s="82"/>
      <c r="BM419" s="82"/>
      <c r="BN419" s="82"/>
      <c r="BO419" s="82"/>
      <c r="BP419" s="82"/>
      <c r="BQ419" s="82"/>
      <c r="BR419" s="82"/>
      <c r="BS419" s="82"/>
      <c r="BT419" s="82"/>
      <c r="BU419" s="82">
        <f>SUM(BU420:BU429)</f>
        <v>150000000</v>
      </c>
      <c r="BV419" s="83">
        <f t="shared" si="185"/>
        <v>4919457023</v>
      </c>
    </row>
    <row r="420" spans="1:74" s="104" customFormat="1" ht="111.75" customHeight="1" x14ac:dyDescent="0.2">
      <c r="A420" s="105">
        <v>276</v>
      </c>
      <c r="B420" s="84">
        <v>5</v>
      </c>
      <c r="C420" s="173"/>
      <c r="D420" s="200"/>
      <c r="E420" s="85">
        <v>38</v>
      </c>
      <c r="F420" s="112" t="s">
        <v>795</v>
      </c>
      <c r="G420" s="85">
        <v>0</v>
      </c>
      <c r="H420" s="85">
        <v>2</v>
      </c>
      <c r="I420" s="94">
        <v>280</v>
      </c>
      <c r="J420" s="90" t="s">
        <v>898</v>
      </c>
      <c r="K420" s="346" t="s">
        <v>899</v>
      </c>
      <c r="L420" s="91" t="s">
        <v>900</v>
      </c>
      <c r="M420" s="308">
        <v>17</v>
      </c>
      <c r="N420" s="367" t="s">
        <v>44</v>
      </c>
      <c r="O420" s="368">
        <v>0</v>
      </c>
      <c r="P420" s="368">
        <v>1</v>
      </c>
      <c r="Q420" s="368">
        <v>0</v>
      </c>
      <c r="R420" s="368">
        <v>1</v>
      </c>
      <c r="S420" s="368">
        <v>1</v>
      </c>
      <c r="T420" s="368">
        <v>1</v>
      </c>
      <c r="U420" s="273">
        <f t="shared" ref="U420:U429" si="188">AP420/$AP$419</f>
        <v>0</v>
      </c>
      <c r="V420" s="95">
        <v>10</v>
      </c>
      <c r="W420" s="92" t="s">
        <v>376</v>
      </c>
      <c r="X420" s="231"/>
      <c r="Y420" s="136"/>
      <c r="Z420" s="231"/>
      <c r="AA420" s="136"/>
      <c r="AB420" s="141"/>
      <c r="AC420" s="142"/>
      <c r="AD420" s="141"/>
      <c r="AE420" s="142"/>
      <c r="AF420" s="231"/>
      <c r="AG420" s="136"/>
      <c r="AH420" s="231"/>
      <c r="AI420" s="136"/>
      <c r="AJ420" s="231"/>
      <c r="AK420" s="136"/>
      <c r="AL420" s="231"/>
      <c r="AM420" s="136"/>
      <c r="AN420" s="231"/>
      <c r="AO420" s="136"/>
      <c r="AP420" s="99">
        <f t="shared" ref="AP420:AP429" si="189">+X420+Z420+AB420+AD420+AF420+AH420+AJ420+AL420+AN420</f>
        <v>0</v>
      </c>
      <c r="AQ420" s="100">
        <f t="shared" ref="AQ420:AQ429" si="190">Y420+AA420+AC420+AE420+AG420+AI420+AK420+AM420+AO420</f>
        <v>0</v>
      </c>
      <c r="AR420" s="109"/>
      <c r="AS420" s="109"/>
      <c r="AT420" s="192">
        <v>20000000</v>
      </c>
      <c r="AU420" s="109"/>
      <c r="AV420" s="109"/>
      <c r="AW420" s="109"/>
      <c r="AX420" s="109"/>
      <c r="AY420" s="109"/>
      <c r="AZ420" s="109"/>
      <c r="BA420" s="109">
        <f t="shared" ref="BA420:BA429" si="191">SUM(AR420:AZ420)</f>
        <v>20000000</v>
      </c>
      <c r="BB420" s="192"/>
      <c r="BC420" s="192"/>
      <c r="BD420" s="192">
        <v>15000000</v>
      </c>
      <c r="BE420" s="192"/>
      <c r="BF420" s="192"/>
      <c r="BG420" s="192"/>
      <c r="BH420" s="192"/>
      <c r="BI420" s="192"/>
      <c r="BJ420" s="192"/>
      <c r="BK420" s="192">
        <f t="shared" ref="BK420:BK429" si="192">SUM(BB420:BJ420)</f>
        <v>15000000</v>
      </c>
      <c r="BL420" s="109"/>
      <c r="BM420" s="109"/>
      <c r="BN420" s="109">
        <v>10000000</v>
      </c>
      <c r="BO420" s="109"/>
      <c r="BP420" s="109"/>
      <c r="BQ420" s="109"/>
      <c r="BR420" s="109"/>
      <c r="BS420" s="109"/>
      <c r="BT420" s="109"/>
      <c r="BU420" s="109">
        <f t="shared" ref="BU420:BU429" si="193">SUM(BL420:BT420)</f>
        <v>10000000</v>
      </c>
      <c r="BV420" s="103">
        <f t="shared" si="185"/>
        <v>90000000</v>
      </c>
    </row>
    <row r="421" spans="1:74" ht="84.75" customHeight="1" x14ac:dyDescent="0.2">
      <c r="A421" s="84">
        <v>277</v>
      </c>
      <c r="B421" s="84">
        <v>5</v>
      </c>
      <c r="C421" s="173"/>
      <c r="D421" s="200"/>
      <c r="E421" s="111"/>
      <c r="F421" s="154"/>
      <c r="G421" s="111"/>
      <c r="H421" s="111"/>
      <c r="I421" s="94">
        <v>281</v>
      </c>
      <c r="J421" s="90" t="s">
        <v>901</v>
      </c>
      <c r="K421" s="346" t="s">
        <v>902</v>
      </c>
      <c r="L421" s="91" t="s">
        <v>900</v>
      </c>
      <c r="M421" s="308">
        <v>17</v>
      </c>
      <c r="N421" s="367" t="s">
        <v>44</v>
      </c>
      <c r="O421" s="368">
        <v>0</v>
      </c>
      <c r="P421" s="368">
        <v>1</v>
      </c>
      <c r="Q421" s="368">
        <v>0</v>
      </c>
      <c r="R421" s="368">
        <v>1</v>
      </c>
      <c r="S421" s="368">
        <v>1</v>
      </c>
      <c r="T421" s="368">
        <v>1</v>
      </c>
      <c r="U421" s="273">
        <f t="shared" si="188"/>
        <v>0</v>
      </c>
      <c r="V421" s="95">
        <v>16</v>
      </c>
      <c r="W421" s="92" t="s">
        <v>363</v>
      </c>
      <c r="X421" s="231"/>
      <c r="Y421" s="136"/>
      <c r="Z421" s="231"/>
      <c r="AA421" s="136"/>
      <c r="AB421" s="141"/>
      <c r="AC421" s="142"/>
      <c r="AD421" s="141"/>
      <c r="AE421" s="142"/>
      <c r="AF421" s="231"/>
      <c r="AG421" s="136"/>
      <c r="AH421" s="231"/>
      <c r="AI421" s="136"/>
      <c r="AJ421" s="231"/>
      <c r="AK421" s="136"/>
      <c r="AL421" s="231"/>
      <c r="AM421" s="136"/>
      <c r="AN421" s="231"/>
      <c r="AO421" s="136"/>
      <c r="AP421" s="99">
        <f t="shared" si="189"/>
        <v>0</v>
      </c>
      <c r="AQ421" s="100">
        <f t="shared" si="190"/>
        <v>0</v>
      </c>
      <c r="AR421" s="109"/>
      <c r="AS421" s="109"/>
      <c r="AT421" s="192">
        <v>20000000</v>
      </c>
      <c r="AU421" s="109"/>
      <c r="AV421" s="109"/>
      <c r="AW421" s="109"/>
      <c r="AX421" s="109"/>
      <c r="AY421" s="109"/>
      <c r="AZ421" s="109"/>
      <c r="BA421" s="109">
        <f t="shared" si="191"/>
        <v>20000000</v>
      </c>
      <c r="BB421" s="192"/>
      <c r="BC421" s="192"/>
      <c r="BD421" s="192">
        <v>15000000</v>
      </c>
      <c r="BE421" s="192"/>
      <c r="BF421" s="192"/>
      <c r="BG421" s="192"/>
      <c r="BH421" s="192"/>
      <c r="BI421" s="192"/>
      <c r="BJ421" s="192"/>
      <c r="BK421" s="192">
        <f t="shared" si="192"/>
        <v>15000000</v>
      </c>
      <c r="BL421" s="109"/>
      <c r="BM421" s="109"/>
      <c r="BN421" s="109">
        <v>10000000</v>
      </c>
      <c r="BO421" s="109"/>
      <c r="BP421" s="109"/>
      <c r="BQ421" s="109"/>
      <c r="BR421" s="109"/>
      <c r="BS421" s="109"/>
      <c r="BT421" s="109"/>
      <c r="BU421" s="109">
        <f t="shared" si="193"/>
        <v>10000000</v>
      </c>
      <c r="BV421" s="103">
        <f t="shared" si="185"/>
        <v>90000000</v>
      </c>
    </row>
    <row r="422" spans="1:74" s="208" customFormat="1" ht="171" customHeight="1" x14ac:dyDescent="0.2">
      <c r="A422" s="198">
        <v>278</v>
      </c>
      <c r="B422" s="199">
        <v>5</v>
      </c>
      <c r="C422" s="200"/>
      <c r="D422" s="200"/>
      <c r="E422" s="474"/>
      <c r="F422" s="492"/>
      <c r="G422" s="474"/>
      <c r="H422" s="474"/>
      <c r="I422" s="94">
        <v>282</v>
      </c>
      <c r="J422" s="90" t="s">
        <v>903</v>
      </c>
      <c r="K422" s="247" t="s">
        <v>904</v>
      </c>
      <c r="L422" s="91" t="s">
        <v>900</v>
      </c>
      <c r="M422" s="308">
        <v>17</v>
      </c>
      <c r="N422" s="367" t="s">
        <v>58</v>
      </c>
      <c r="O422" s="368" t="s">
        <v>39</v>
      </c>
      <c r="P422" s="368">
        <v>8</v>
      </c>
      <c r="Q422" s="368">
        <v>2</v>
      </c>
      <c r="R422" s="368">
        <v>2</v>
      </c>
      <c r="S422" s="368">
        <v>2</v>
      </c>
      <c r="T422" s="368">
        <v>2</v>
      </c>
      <c r="U422" s="273">
        <f t="shared" si="188"/>
        <v>5.5958426120059267E-2</v>
      </c>
      <c r="V422" s="94">
        <v>16</v>
      </c>
      <c r="W422" s="91" t="s">
        <v>363</v>
      </c>
      <c r="X422" s="231"/>
      <c r="Y422" s="136"/>
      <c r="Z422" s="231"/>
      <c r="AA422" s="136"/>
      <c r="AB422" s="231">
        <v>60000000</v>
      </c>
      <c r="AC422" s="136">
        <v>70000000</v>
      </c>
      <c r="AD422" s="231"/>
      <c r="AE422" s="136"/>
      <c r="AF422" s="231"/>
      <c r="AG422" s="136"/>
      <c r="AH422" s="231"/>
      <c r="AI422" s="136"/>
      <c r="AJ422" s="231"/>
      <c r="AK422" s="136"/>
      <c r="AL422" s="231"/>
      <c r="AM422" s="136"/>
      <c r="AN422" s="231"/>
      <c r="AO422" s="136"/>
      <c r="AP422" s="99">
        <f t="shared" si="189"/>
        <v>60000000</v>
      </c>
      <c r="AQ422" s="100">
        <f t="shared" si="190"/>
        <v>70000000</v>
      </c>
      <c r="AR422" s="205"/>
      <c r="AS422" s="205"/>
      <c r="AT422" s="206">
        <v>39989033.940345511</v>
      </c>
      <c r="AU422" s="205"/>
      <c r="AV422" s="205"/>
      <c r="AW422" s="205"/>
      <c r="AX422" s="205"/>
      <c r="AY422" s="205"/>
      <c r="AZ422" s="205"/>
      <c r="BA422" s="109">
        <f t="shared" si="191"/>
        <v>39989033.940345511</v>
      </c>
      <c r="BB422" s="206"/>
      <c r="BC422" s="206"/>
      <c r="BD422" s="206">
        <v>15000000</v>
      </c>
      <c r="BE422" s="206"/>
      <c r="BF422" s="206"/>
      <c r="BG422" s="206"/>
      <c r="BH422" s="206"/>
      <c r="BI422" s="206"/>
      <c r="BJ422" s="206"/>
      <c r="BK422" s="192">
        <f t="shared" si="192"/>
        <v>15000000</v>
      </c>
      <c r="BL422" s="109"/>
      <c r="BM422" s="109"/>
      <c r="BN422" s="205">
        <v>10000000</v>
      </c>
      <c r="BO422" s="205"/>
      <c r="BP422" s="109"/>
      <c r="BQ422" s="109"/>
      <c r="BR422" s="109"/>
      <c r="BS422" s="109"/>
      <c r="BT422" s="109"/>
      <c r="BU422" s="109">
        <f t="shared" si="193"/>
        <v>10000000</v>
      </c>
      <c r="BV422" s="207">
        <f t="shared" si="185"/>
        <v>129978067.88069102</v>
      </c>
    </row>
    <row r="423" spans="1:74" s="208" customFormat="1" ht="71.25" x14ac:dyDescent="0.2">
      <c r="A423" s="198">
        <v>280</v>
      </c>
      <c r="B423" s="199">
        <v>5</v>
      </c>
      <c r="C423" s="200"/>
      <c r="D423" s="200"/>
      <c r="E423" s="474"/>
      <c r="F423" s="492"/>
      <c r="G423" s="474"/>
      <c r="H423" s="474"/>
      <c r="I423" s="94">
        <v>283</v>
      </c>
      <c r="J423" s="90" t="s">
        <v>905</v>
      </c>
      <c r="K423" s="247" t="s">
        <v>906</v>
      </c>
      <c r="L423" s="91" t="s">
        <v>900</v>
      </c>
      <c r="M423" s="308">
        <v>17</v>
      </c>
      <c r="N423" s="367" t="s">
        <v>44</v>
      </c>
      <c r="O423" s="368" t="s">
        <v>39</v>
      </c>
      <c r="P423" s="368">
        <v>1</v>
      </c>
      <c r="Q423" s="368">
        <v>1</v>
      </c>
      <c r="R423" s="368">
        <v>1</v>
      </c>
      <c r="S423" s="368">
        <v>1</v>
      </c>
      <c r="T423" s="368">
        <v>1</v>
      </c>
      <c r="U423" s="273">
        <f t="shared" si="188"/>
        <v>0.11962813320356064</v>
      </c>
      <c r="V423" s="94">
        <v>10</v>
      </c>
      <c r="W423" s="91" t="s">
        <v>376</v>
      </c>
      <c r="X423" s="231"/>
      <c r="Y423" s="136"/>
      <c r="Z423" s="231"/>
      <c r="AA423" s="136"/>
      <c r="AB423" s="231">
        <v>128268225</v>
      </c>
      <c r="AC423" s="136">
        <v>128268225</v>
      </c>
      <c r="AD423" s="231"/>
      <c r="AE423" s="136"/>
      <c r="AF423" s="231"/>
      <c r="AG423" s="136"/>
      <c r="AH423" s="231"/>
      <c r="AI423" s="136"/>
      <c r="AJ423" s="231"/>
      <c r="AK423" s="136"/>
      <c r="AL423" s="231"/>
      <c r="AM423" s="136"/>
      <c r="AN423" s="231"/>
      <c r="AO423" s="136"/>
      <c r="AP423" s="99">
        <f t="shared" si="189"/>
        <v>128268225</v>
      </c>
      <c r="AQ423" s="100">
        <f t="shared" si="190"/>
        <v>128268225</v>
      </c>
      <c r="AR423" s="205"/>
      <c r="AS423" s="205"/>
      <c r="AT423" s="206">
        <v>48317341.163003899</v>
      </c>
      <c r="AU423" s="205"/>
      <c r="AV423" s="205"/>
      <c r="AW423" s="205"/>
      <c r="AX423" s="205"/>
      <c r="AY423" s="205"/>
      <c r="AZ423" s="205"/>
      <c r="BA423" s="109">
        <f t="shared" si="191"/>
        <v>48317341.163003899</v>
      </c>
      <c r="BB423" s="206"/>
      <c r="BC423" s="206"/>
      <c r="BD423" s="206">
        <v>20000000</v>
      </c>
      <c r="BE423" s="206"/>
      <c r="BF423" s="206"/>
      <c r="BG423" s="206"/>
      <c r="BH423" s="206"/>
      <c r="BI423" s="206"/>
      <c r="BJ423" s="206"/>
      <c r="BK423" s="192">
        <f t="shared" si="192"/>
        <v>20000000</v>
      </c>
      <c r="BL423" s="109"/>
      <c r="BM423" s="109"/>
      <c r="BN423" s="205">
        <v>15000000</v>
      </c>
      <c r="BO423" s="205"/>
      <c r="BP423" s="109"/>
      <c r="BQ423" s="109"/>
      <c r="BR423" s="109"/>
      <c r="BS423" s="109"/>
      <c r="BT423" s="109"/>
      <c r="BU423" s="109">
        <f t="shared" si="193"/>
        <v>15000000</v>
      </c>
      <c r="BV423" s="207">
        <f t="shared" si="185"/>
        <v>166634682.32600778</v>
      </c>
    </row>
    <row r="424" spans="1:74" s="208" customFormat="1" ht="71.25" x14ac:dyDescent="0.2">
      <c r="A424" s="199">
        <v>281</v>
      </c>
      <c r="B424" s="199">
        <v>5</v>
      </c>
      <c r="C424" s="200"/>
      <c r="D424" s="200"/>
      <c r="E424" s="474"/>
      <c r="F424" s="492"/>
      <c r="G424" s="474"/>
      <c r="H424" s="474"/>
      <c r="I424" s="94">
        <v>284</v>
      </c>
      <c r="J424" s="90" t="s">
        <v>907</v>
      </c>
      <c r="K424" s="247" t="s">
        <v>908</v>
      </c>
      <c r="L424" s="91" t="s">
        <v>900</v>
      </c>
      <c r="M424" s="308">
        <v>17</v>
      </c>
      <c r="N424" s="367" t="s">
        <v>44</v>
      </c>
      <c r="O424" s="368">
        <v>1</v>
      </c>
      <c r="P424" s="368">
        <v>1</v>
      </c>
      <c r="Q424" s="493">
        <v>1</v>
      </c>
      <c r="R424" s="368">
        <v>1</v>
      </c>
      <c r="S424" s="368">
        <v>1</v>
      </c>
      <c r="T424" s="368">
        <v>1</v>
      </c>
      <c r="U424" s="273">
        <f t="shared" si="188"/>
        <v>9.5568690380546314E-2</v>
      </c>
      <c r="V424" s="94">
        <v>16</v>
      </c>
      <c r="W424" s="91" t="s">
        <v>363</v>
      </c>
      <c r="X424" s="231"/>
      <c r="Y424" s="136"/>
      <c r="Z424" s="231"/>
      <c r="AA424" s="136"/>
      <c r="AB424" s="231">
        <v>102471099</v>
      </c>
      <c r="AC424" s="136">
        <v>92471099</v>
      </c>
      <c r="AD424" s="231"/>
      <c r="AE424" s="136"/>
      <c r="AF424" s="231"/>
      <c r="AG424" s="136"/>
      <c r="AH424" s="231"/>
      <c r="AI424" s="136"/>
      <c r="AJ424" s="231"/>
      <c r="AK424" s="136"/>
      <c r="AL424" s="231"/>
      <c r="AM424" s="136"/>
      <c r="AN424" s="231"/>
      <c r="AO424" s="136"/>
      <c r="AP424" s="99">
        <f t="shared" si="189"/>
        <v>102471099</v>
      </c>
      <c r="AQ424" s="100">
        <f t="shared" si="190"/>
        <v>92471099</v>
      </c>
      <c r="AR424" s="205"/>
      <c r="AS424" s="205"/>
      <c r="AT424" s="206">
        <v>68295337.59692508</v>
      </c>
      <c r="AU424" s="205"/>
      <c r="AV424" s="205"/>
      <c r="AW424" s="205"/>
      <c r="AX424" s="205"/>
      <c r="AY424" s="205"/>
      <c r="AZ424" s="205"/>
      <c r="BA424" s="109">
        <f t="shared" si="191"/>
        <v>68295337.59692508</v>
      </c>
      <c r="BB424" s="206"/>
      <c r="BC424" s="206"/>
      <c r="BD424" s="206">
        <v>20000000</v>
      </c>
      <c r="BE424" s="206"/>
      <c r="BF424" s="206"/>
      <c r="BG424" s="206"/>
      <c r="BH424" s="206"/>
      <c r="BI424" s="206"/>
      <c r="BJ424" s="206"/>
      <c r="BK424" s="192">
        <f t="shared" si="192"/>
        <v>20000000</v>
      </c>
      <c r="BL424" s="109"/>
      <c r="BM424" s="109"/>
      <c r="BN424" s="205">
        <v>15000000</v>
      </c>
      <c r="BO424" s="205"/>
      <c r="BP424" s="109"/>
      <c r="BQ424" s="109"/>
      <c r="BR424" s="109"/>
      <c r="BS424" s="109"/>
      <c r="BT424" s="109"/>
      <c r="BU424" s="109">
        <f t="shared" si="193"/>
        <v>15000000</v>
      </c>
      <c r="BV424" s="207">
        <f t="shared" si="185"/>
        <v>206590675.19385016</v>
      </c>
    </row>
    <row r="425" spans="1:74" s="208" customFormat="1" ht="71.25" x14ac:dyDescent="0.2">
      <c r="A425" s="198">
        <v>282</v>
      </c>
      <c r="B425" s="199">
        <v>5</v>
      </c>
      <c r="C425" s="200"/>
      <c r="D425" s="200"/>
      <c r="E425" s="474"/>
      <c r="F425" s="492"/>
      <c r="G425" s="474"/>
      <c r="H425" s="474"/>
      <c r="I425" s="94">
        <v>285</v>
      </c>
      <c r="J425" s="90" t="s">
        <v>909</v>
      </c>
      <c r="K425" s="247" t="s">
        <v>910</v>
      </c>
      <c r="L425" s="91" t="s">
        <v>900</v>
      </c>
      <c r="M425" s="308">
        <v>17</v>
      </c>
      <c r="N425" s="367" t="s">
        <v>44</v>
      </c>
      <c r="O425" s="368">
        <v>1</v>
      </c>
      <c r="P425" s="368">
        <v>1</v>
      </c>
      <c r="Q425" s="367">
        <v>1</v>
      </c>
      <c r="R425" s="368">
        <v>1</v>
      </c>
      <c r="S425" s="368">
        <v>1</v>
      </c>
      <c r="T425" s="368">
        <v>1</v>
      </c>
      <c r="U425" s="273">
        <f t="shared" si="188"/>
        <v>0.11251155600955207</v>
      </c>
      <c r="V425" s="94">
        <v>17</v>
      </c>
      <c r="W425" s="91" t="s">
        <v>832</v>
      </c>
      <c r="X425" s="231"/>
      <c r="Y425" s="136"/>
      <c r="Z425" s="231"/>
      <c r="AA425" s="136"/>
      <c r="AB425" s="231">
        <v>120637656</v>
      </c>
      <c r="AC425" s="100">
        <v>120637656</v>
      </c>
      <c r="AD425" s="231"/>
      <c r="AE425" s="136"/>
      <c r="AF425" s="231"/>
      <c r="AG425" s="136"/>
      <c r="AH425" s="231"/>
      <c r="AI425" s="136"/>
      <c r="AJ425" s="231"/>
      <c r="AK425" s="136"/>
      <c r="AL425" s="231"/>
      <c r="AM425" s="136"/>
      <c r="AN425" s="231"/>
      <c r="AO425" s="136"/>
      <c r="AP425" s="99">
        <f t="shared" si="189"/>
        <v>120637656</v>
      </c>
      <c r="AQ425" s="100">
        <f t="shared" si="190"/>
        <v>120637656</v>
      </c>
      <c r="AR425" s="205"/>
      <c r="AS425" s="205"/>
      <c r="AT425" s="206">
        <v>60403055.337795399</v>
      </c>
      <c r="AU425" s="205"/>
      <c r="AV425" s="205"/>
      <c r="AW425" s="205"/>
      <c r="AX425" s="205"/>
      <c r="AY425" s="205"/>
      <c r="AZ425" s="205"/>
      <c r="BA425" s="109">
        <f t="shared" si="191"/>
        <v>60403055.337795399</v>
      </c>
      <c r="BB425" s="206"/>
      <c r="BC425" s="206"/>
      <c r="BD425" s="206">
        <v>20000000</v>
      </c>
      <c r="BE425" s="206"/>
      <c r="BF425" s="206"/>
      <c r="BG425" s="206"/>
      <c r="BH425" s="206"/>
      <c r="BI425" s="206"/>
      <c r="BJ425" s="206"/>
      <c r="BK425" s="192">
        <f t="shared" si="192"/>
        <v>20000000</v>
      </c>
      <c r="BL425" s="109"/>
      <c r="BM425" s="109"/>
      <c r="BN425" s="205">
        <v>15000000</v>
      </c>
      <c r="BO425" s="205"/>
      <c r="BP425" s="109"/>
      <c r="BQ425" s="109"/>
      <c r="BR425" s="109"/>
      <c r="BS425" s="109"/>
      <c r="BT425" s="109"/>
      <c r="BU425" s="109">
        <f t="shared" si="193"/>
        <v>15000000</v>
      </c>
      <c r="BV425" s="207">
        <f t="shared" si="185"/>
        <v>190806110.67559081</v>
      </c>
    </row>
    <row r="426" spans="1:74" ht="74.25" customHeight="1" x14ac:dyDescent="0.2">
      <c r="A426" s="84">
        <v>283</v>
      </c>
      <c r="B426" s="84">
        <v>5</v>
      </c>
      <c r="C426" s="173"/>
      <c r="D426" s="200"/>
      <c r="E426" s="111"/>
      <c r="F426" s="154"/>
      <c r="G426" s="111"/>
      <c r="H426" s="111"/>
      <c r="I426" s="94">
        <v>286</v>
      </c>
      <c r="J426" s="90" t="s">
        <v>911</v>
      </c>
      <c r="K426" s="346" t="s">
        <v>912</v>
      </c>
      <c r="L426" s="91" t="s">
        <v>900</v>
      </c>
      <c r="M426" s="308">
        <v>17</v>
      </c>
      <c r="N426" s="457" t="s">
        <v>58</v>
      </c>
      <c r="O426" s="449">
        <v>1</v>
      </c>
      <c r="P426" s="449">
        <v>1</v>
      </c>
      <c r="Q426" s="368">
        <v>0</v>
      </c>
      <c r="R426" s="449">
        <v>1</v>
      </c>
      <c r="S426" s="449">
        <v>0</v>
      </c>
      <c r="T426" s="449">
        <v>0</v>
      </c>
      <c r="U426" s="273">
        <f t="shared" si="188"/>
        <v>0</v>
      </c>
      <c r="V426" s="95">
        <v>16</v>
      </c>
      <c r="W426" s="92" t="s">
        <v>363</v>
      </c>
      <c r="X426" s="231"/>
      <c r="Y426" s="136"/>
      <c r="Z426" s="231"/>
      <c r="AA426" s="136"/>
      <c r="AB426" s="141"/>
      <c r="AC426" s="136"/>
      <c r="AD426" s="141"/>
      <c r="AE426" s="142"/>
      <c r="AF426" s="231"/>
      <c r="AG426" s="136"/>
      <c r="AH426" s="231"/>
      <c r="AI426" s="136"/>
      <c r="AJ426" s="231"/>
      <c r="AK426" s="136"/>
      <c r="AL426" s="231"/>
      <c r="AM426" s="136"/>
      <c r="AN426" s="231"/>
      <c r="AO426" s="136"/>
      <c r="AP426" s="99">
        <f t="shared" si="189"/>
        <v>0</v>
      </c>
      <c r="AQ426" s="100">
        <f t="shared" si="190"/>
        <v>0</v>
      </c>
      <c r="AR426" s="109"/>
      <c r="AS426" s="109"/>
      <c r="AT426" s="192">
        <v>20000000</v>
      </c>
      <c r="AU426" s="109"/>
      <c r="AV426" s="109"/>
      <c r="AW426" s="109"/>
      <c r="AX426" s="109"/>
      <c r="AY426" s="109"/>
      <c r="AZ426" s="109"/>
      <c r="BA426" s="109">
        <f t="shared" si="191"/>
        <v>20000000</v>
      </c>
      <c r="BB426" s="192"/>
      <c r="BC426" s="192"/>
      <c r="BD426" s="192">
        <v>0</v>
      </c>
      <c r="BE426" s="192"/>
      <c r="BF426" s="192"/>
      <c r="BG426" s="192"/>
      <c r="BH426" s="192"/>
      <c r="BI426" s="192"/>
      <c r="BJ426" s="192"/>
      <c r="BK426" s="192">
        <f t="shared" si="192"/>
        <v>0</v>
      </c>
      <c r="BL426" s="109"/>
      <c r="BM426" s="109"/>
      <c r="BN426" s="109">
        <v>0</v>
      </c>
      <c r="BO426" s="109"/>
      <c r="BP426" s="109"/>
      <c r="BQ426" s="109"/>
      <c r="BR426" s="109"/>
      <c r="BS426" s="109"/>
      <c r="BT426" s="109"/>
      <c r="BU426" s="109">
        <f t="shared" si="193"/>
        <v>0</v>
      </c>
      <c r="BV426" s="103">
        <f t="shared" si="185"/>
        <v>40000000</v>
      </c>
    </row>
    <row r="427" spans="1:74" s="208" customFormat="1" ht="112.5" customHeight="1" x14ac:dyDescent="0.2">
      <c r="A427" s="198">
        <v>284</v>
      </c>
      <c r="B427" s="199">
        <v>5</v>
      </c>
      <c r="C427" s="178"/>
      <c r="D427" s="200"/>
      <c r="E427" s="348"/>
      <c r="F427" s="492"/>
      <c r="G427" s="474"/>
      <c r="H427" s="474"/>
      <c r="I427" s="94">
        <v>287</v>
      </c>
      <c r="J427" s="90" t="s">
        <v>913</v>
      </c>
      <c r="K427" s="247" t="s">
        <v>914</v>
      </c>
      <c r="L427" s="91" t="s">
        <v>900</v>
      </c>
      <c r="M427" s="308">
        <v>17</v>
      </c>
      <c r="N427" s="367" t="s">
        <v>44</v>
      </c>
      <c r="O427" s="368">
        <v>1</v>
      </c>
      <c r="P427" s="368">
        <v>1</v>
      </c>
      <c r="Q427" s="368">
        <v>1</v>
      </c>
      <c r="R427" s="368">
        <v>1</v>
      </c>
      <c r="S427" s="368">
        <v>1</v>
      </c>
      <c r="T427" s="368">
        <v>1</v>
      </c>
      <c r="U427" s="273">
        <f t="shared" si="188"/>
        <v>0.12264221724646322</v>
      </c>
      <c r="V427" s="94">
        <v>16</v>
      </c>
      <c r="W427" s="92" t="s">
        <v>363</v>
      </c>
      <c r="X427" s="231"/>
      <c r="Y427" s="136"/>
      <c r="Z427" s="231"/>
      <c r="AA427" s="136"/>
      <c r="AB427" s="231">
        <v>131500000</v>
      </c>
      <c r="AC427" s="136">
        <v>131500000</v>
      </c>
      <c r="AD427" s="231"/>
      <c r="AE427" s="136"/>
      <c r="AF427" s="231"/>
      <c r="AG427" s="136"/>
      <c r="AH427" s="231"/>
      <c r="AI427" s="136"/>
      <c r="AJ427" s="231"/>
      <c r="AK427" s="136"/>
      <c r="AL427" s="231"/>
      <c r="AM427" s="136"/>
      <c r="AN427" s="231"/>
      <c r="AO427" s="136"/>
      <c r="AP427" s="99">
        <f t="shared" si="189"/>
        <v>131500000</v>
      </c>
      <c r="AQ427" s="100">
        <f t="shared" si="190"/>
        <v>131500000</v>
      </c>
      <c r="AR427" s="205"/>
      <c r="AS427" s="205"/>
      <c r="AT427" s="206">
        <v>57642632.719257303</v>
      </c>
      <c r="AU427" s="205"/>
      <c r="AV427" s="205"/>
      <c r="AW427" s="205"/>
      <c r="AX427" s="205"/>
      <c r="AY427" s="205"/>
      <c r="AZ427" s="205"/>
      <c r="BA427" s="109">
        <f t="shared" si="191"/>
        <v>57642632.719257303</v>
      </c>
      <c r="BB427" s="206"/>
      <c r="BC427" s="206"/>
      <c r="BD427" s="206">
        <v>30000000</v>
      </c>
      <c r="BE427" s="206"/>
      <c r="BF427" s="206"/>
      <c r="BG427" s="206"/>
      <c r="BH427" s="206"/>
      <c r="BI427" s="206"/>
      <c r="BJ427" s="206"/>
      <c r="BK427" s="192">
        <f t="shared" si="192"/>
        <v>30000000</v>
      </c>
      <c r="BL427" s="109"/>
      <c r="BM427" s="109"/>
      <c r="BN427" s="205">
        <v>20000000</v>
      </c>
      <c r="BO427" s="205"/>
      <c r="BP427" s="109"/>
      <c r="BQ427" s="109"/>
      <c r="BR427" s="109"/>
      <c r="BS427" s="109"/>
      <c r="BT427" s="109"/>
      <c r="BU427" s="109">
        <f t="shared" si="193"/>
        <v>20000000</v>
      </c>
      <c r="BV427" s="207">
        <f t="shared" si="185"/>
        <v>215285265.43851459</v>
      </c>
    </row>
    <row r="428" spans="1:74" ht="126" customHeight="1" x14ac:dyDescent="0.2">
      <c r="A428" s="105"/>
      <c r="B428" s="84">
        <v>5</v>
      </c>
      <c r="C428" s="178"/>
      <c r="D428" s="200"/>
      <c r="E428" s="349"/>
      <c r="F428" s="154"/>
      <c r="G428" s="111"/>
      <c r="H428" s="111"/>
      <c r="I428" s="94">
        <v>288</v>
      </c>
      <c r="J428" s="90" t="s">
        <v>915</v>
      </c>
      <c r="K428" s="346" t="s">
        <v>916</v>
      </c>
      <c r="L428" s="91" t="s">
        <v>900</v>
      </c>
      <c r="M428" s="308">
        <v>17</v>
      </c>
      <c r="N428" s="457" t="s">
        <v>44</v>
      </c>
      <c r="O428" s="449">
        <v>1</v>
      </c>
      <c r="P428" s="449">
        <v>1</v>
      </c>
      <c r="Q428" s="368">
        <v>1</v>
      </c>
      <c r="R428" s="449">
        <v>1</v>
      </c>
      <c r="S428" s="449">
        <v>1</v>
      </c>
      <c r="T428" s="449">
        <v>1</v>
      </c>
      <c r="U428" s="273">
        <f t="shared" si="188"/>
        <v>0.49369097703981851</v>
      </c>
      <c r="V428" s="95">
        <v>16</v>
      </c>
      <c r="W428" s="92" t="s">
        <v>363</v>
      </c>
      <c r="X428" s="231"/>
      <c r="Y428" s="136"/>
      <c r="Z428" s="231"/>
      <c r="AA428" s="136"/>
      <c r="AB428" s="141">
        <f>329347601+200000000</f>
        <v>529347601</v>
      </c>
      <c r="AC428" s="101">
        <v>529347601</v>
      </c>
      <c r="AD428" s="141"/>
      <c r="AE428" s="142"/>
      <c r="AF428" s="231"/>
      <c r="AG428" s="136"/>
      <c r="AH428" s="231"/>
      <c r="AI428" s="136"/>
      <c r="AJ428" s="231"/>
      <c r="AK428" s="136"/>
      <c r="AL428" s="231"/>
      <c r="AM428" s="136"/>
      <c r="AN428" s="231"/>
      <c r="AO428" s="136"/>
      <c r="AP428" s="99">
        <f t="shared" si="189"/>
        <v>529347601</v>
      </c>
      <c r="AQ428" s="100">
        <f t="shared" si="190"/>
        <v>529347601</v>
      </c>
      <c r="AR428" s="109"/>
      <c r="AS428" s="109"/>
      <c r="AT428" s="192">
        <v>219504873.24267283</v>
      </c>
      <c r="AU428" s="109"/>
      <c r="AV428" s="109"/>
      <c r="AW428" s="109"/>
      <c r="AX428" s="109"/>
      <c r="AY428" s="109"/>
      <c r="AZ428" s="109"/>
      <c r="BA428" s="109">
        <f t="shared" si="191"/>
        <v>219504873.24267283</v>
      </c>
      <c r="BB428" s="192"/>
      <c r="BC428" s="192"/>
      <c r="BD428" s="192">
        <v>80304749</v>
      </c>
      <c r="BE428" s="192"/>
      <c r="BF428" s="192"/>
      <c r="BG428" s="192"/>
      <c r="BH428" s="192"/>
      <c r="BI428" s="192"/>
      <c r="BJ428" s="192"/>
      <c r="BK428" s="192">
        <f t="shared" si="192"/>
        <v>80304749</v>
      </c>
      <c r="BL428" s="109"/>
      <c r="BM428" s="109"/>
      <c r="BN428" s="109">
        <v>55000000</v>
      </c>
      <c r="BO428" s="109"/>
      <c r="BP428" s="109"/>
      <c r="BQ428" s="109"/>
      <c r="BR428" s="109"/>
      <c r="BS428" s="109"/>
      <c r="BT428" s="109"/>
      <c r="BU428" s="109">
        <f t="shared" si="193"/>
        <v>55000000</v>
      </c>
      <c r="BV428" s="103">
        <f t="shared" si="185"/>
        <v>709619244.4853456</v>
      </c>
    </row>
    <row r="429" spans="1:74" ht="52.5" customHeight="1" x14ac:dyDescent="0.2">
      <c r="A429" s="84">
        <v>285</v>
      </c>
      <c r="B429" s="494">
        <v>5</v>
      </c>
      <c r="C429" s="104"/>
      <c r="D429" s="261"/>
      <c r="E429" s="110"/>
      <c r="F429" s="114"/>
      <c r="G429" s="110"/>
      <c r="H429" s="110"/>
      <c r="I429" s="94">
        <v>289</v>
      </c>
      <c r="J429" s="90" t="s">
        <v>917</v>
      </c>
      <c r="K429" s="346" t="s">
        <v>918</v>
      </c>
      <c r="L429" s="91" t="s">
        <v>900</v>
      </c>
      <c r="M429" s="308">
        <v>17</v>
      </c>
      <c r="N429" s="457" t="s">
        <v>58</v>
      </c>
      <c r="O429" s="449" t="s">
        <v>39</v>
      </c>
      <c r="P429" s="449">
        <v>1</v>
      </c>
      <c r="Q429" s="449">
        <v>0</v>
      </c>
      <c r="R429" s="449">
        <v>1</v>
      </c>
      <c r="S429" s="449">
        <v>0</v>
      </c>
      <c r="T429" s="449">
        <v>0</v>
      </c>
      <c r="U429" s="273">
        <f t="shared" si="188"/>
        <v>0</v>
      </c>
      <c r="V429" s="95">
        <v>9</v>
      </c>
      <c r="W429" s="92" t="s">
        <v>166</v>
      </c>
      <c r="X429" s="231"/>
      <c r="Y429" s="136"/>
      <c r="Z429" s="231"/>
      <c r="AA429" s="136"/>
      <c r="AB429" s="141"/>
      <c r="AC429" s="142"/>
      <c r="AD429" s="141"/>
      <c r="AE429" s="142"/>
      <c r="AF429" s="231"/>
      <c r="AG429" s="136"/>
      <c r="AH429" s="231"/>
      <c r="AI429" s="136"/>
      <c r="AJ429" s="231"/>
      <c r="AK429" s="136"/>
      <c r="AL429" s="231"/>
      <c r="AM429" s="136"/>
      <c r="AN429" s="231"/>
      <c r="AO429" s="136"/>
      <c r="AP429" s="99">
        <f t="shared" si="189"/>
        <v>0</v>
      </c>
      <c r="AQ429" s="100">
        <f t="shared" si="190"/>
        <v>0</v>
      </c>
      <c r="AR429" s="109"/>
      <c r="AS429" s="192"/>
      <c r="AT429" s="192"/>
      <c r="AU429" s="109"/>
      <c r="AV429" s="109"/>
      <c r="AW429" s="109"/>
      <c r="AX429" s="109"/>
      <c r="AY429" s="109"/>
      <c r="AZ429" s="192">
        <v>4000000000</v>
      </c>
      <c r="BA429" s="109">
        <f t="shared" si="191"/>
        <v>4000000000</v>
      </c>
      <c r="BB429" s="192"/>
      <c r="BC429" s="192"/>
      <c r="BD429" s="192">
        <v>0</v>
      </c>
      <c r="BE429" s="192"/>
      <c r="BF429" s="192"/>
      <c r="BG429" s="192"/>
      <c r="BH429" s="192"/>
      <c r="BI429" s="192"/>
      <c r="BJ429" s="192"/>
      <c r="BK429" s="192">
        <f t="shared" si="192"/>
        <v>0</v>
      </c>
      <c r="BL429" s="109"/>
      <c r="BM429" s="109"/>
      <c r="BN429" s="109">
        <v>0</v>
      </c>
      <c r="BO429" s="109"/>
      <c r="BP429" s="109"/>
      <c r="BQ429" s="109"/>
      <c r="BR429" s="109"/>
      <c r="BS429" s="109"/>
      <c r="BT429" s="109"/>
      <c r="BU429" s="109">
        <f t="shared" si="193"/>
        <v>0</v>
      </c>
      <c r="BV429" s="103">
        <f t="shared" si="185"/>
        <v>8000000000</v>
      </c>
    </row>
    <row r="430" spans="1:74" s="495" customFormat="1" ht="27.75" customHeight="1" x14ac:dyDescent="0.25">
      <c r="D430" s="496"/>
      <c r="E430" s="497"/>
      <c r="F430" s="496"/>
      <c r="G430" s="496"/>
      <c r="H430" s="496"/>
      <c r="I430" s="498"/>
      <c r="J430" s="499" t="s">
        <v>919</v>
      </c>
      <c r="K430" s="500"/>
      <c r="L430" s="501"/>
      <c r="M430" s="502"/>
      <c r="N430" s="503"/>
      <c r="O430" s="504"/>
      <c r="P430" s="504"/>
      <c r="Q430" s="503"/>
      <c r="R430" s="504"/>
      <c r="S430" s="504" t="s">
        <v>0</v>
      </c>
      <c r="T430" s="504"/>
      <c r="U430" s="505"/>
      <c r="V430" s="504"/>
      <c r="W430" s="504"/>
      <c r="X430" s="506">
        <f t="shared" ref="X430:AO430" si="194">X372+X330+X97+X37+X11</f>
        <v>0</v>
      </c>
      <c r="Y430" s="506">
        <f t="shared" si="194"/>
        <v>0</v>
      </c>
      <c r="Z430" s="506">
        <f t="shared" si="194"/>
        <v>56053430072.449997</v>
      </c>
      <c r="AA430" s="506">
        <f t="shared" si="194"/>
        <v>52340112825.459999</v>
      </c>
      <c r="AB430" s="506">
        <f t="shared" si="194"/>
        <v>15370590111.639999</v>
      </c>
      <c r="AC430" s="506">
        <f t="shared" si="194"/>
        <v>15826975532.639999</v>
      </c>
      <c r="AD430" s="506">
        <f t="shared" si="194"/>
        <v>2203010938</v>
      </c>
      <c r="AE430" s="506">
        <f t="shared" si="194"/>
        <v>2193691416</v>
      </c>
      <c r="AF430" s="506">
        <f t="shared" si="194"/>
        <v>0</v>
      </c>
      <c r="AG430" s="506">
        <f t="shared" si="194"/>
        <v>5817514937.4499998</v>
      </c>
      <c r="AH430" s="506">
        <f t="shared" si="194"/>
        <v>2248717121</v>
      </c>
      <c r="AI430" s="506">
        <f t="shared" si="194"/>
        <v>2252293686</v>
      </c>
      <c r="AJ430" s="506">
        <f t="shared" si="194"/>
        <v>116209715044.84</v>
      </c>
      <c r="AK430" s="506">
        <f t="shared" si="194"/>
        <v>115872342405.84</v>
      </c>
      <c r="AL430" s="506">
        <f t="shared" si="194"/>
        <v>14238877429</v>
      </c>
      <c r="AM430" s="506">
        <f t="shared" si="194"/>
        <v>14109434246</v>
      </c>
      <c r="AN430" s="506">
        <f t="shared" si="194"/>
        <v>33076572379</v>
      </c>
      <c r="AO430" s="506">
        <f t="shared" si="194"/>
        <v>0</v>
      </c>
      <c r="AP430" s="506">
        <f>AP372+AP330+AP97+AP37+AP11</f>
        <v>239400913095.93002</v>
      </c>
      <c r="AQ430" s="506">
        <f>AQ372+AQ330+AQ97+AQ37+AQ11</f>
        <v>208412365049.38998</v>
      </c>
      <c r="AR430" s="507">
        <f t="shared" ref="AR430:AZ430" si="195">SUM(AR14:AR429)</f>
        <v>6000000000</v>
      </c>
      <c r="AS430" s="507">
        <f t="shared" si="195"/>
        <v>38456371357.439995</v>
      </c>
      <c r="AT430" s="507">
        <f t="shared" si="195"/>
        <v>10848685819.0884</v>
      </c>
      <c r="AU430" s="507">
        <f t="shared" si="195"/>
        <v>200000000</v>
      </c>
      <c r="AV430" s="507">
        <f t="shared" si="195"/>
        <v>233587702.31</v>
      </c>
      <c r="AW430" s="507">
        <f t="shared" si="195"/>
        <v>2207217417.7399998</v>
      </c>
      <c r="AX430" s="507">
        <f t="shared" si="195"/>
        <v>116291155143.60001</v>
      </c>
      <c r="AY430" s="507">
        <f t="shared" si="195"/>
        <v>10799941036.42</v>
      </c>
      <c r="AZ430" s="507">
        <f t="shared" si="195"/>
        <v>36045276423</v>
      </c>
      <c r="BA430" s="507">
        <f>BA419+BA413+BA393+BA383+BA379+BA374+BA369+BA363+BA359+BA355+BA349+BA344+BA339+BA332+BA328+BA325+BA321+BA316+BA314+BA312+BA309+BA303+BA299+BA297+BA295+BA292+BA289+BA286+BA282+BA278+BA276+BA273+BA270+BA265+BA261+BA258+BA254+BA252+BA248+BA245+BA243+BA241+BA236+BA233+BA227+BA223+BA220+BA217+BA211+BA207+BA203+BA198+BA195+BA190+BA184+BA180+BA178+BA175+BA172+BA168+BA164+BA162+BA160+BA157+BA150+BA144+BA138+BA133+BA122+BA113+BA110+BA103+BA99+BA88+BA84+BA81+BA79+BA76+BA71+BA66+BA60+BA56+BA51+BA29+BA21+BA13+BA39+BA44+BA390</f>
        <v>221082234899.59839</v>
      </c>
      <c r="BB430" s="507">
        <f t="shared" ref="BB430:BJ430" si="196">SUM(BB14:BB429)</f>
        <v>13000000000</v>
      </c>
      <c r="BC430" s="507">
        <f t="shared" si="196"/>
        <v>39390679044.36499</v>
      </c>
      <c r="BD430" s="507">
        <f t="shared" si="196"/>
        <v>8196763724.441576</v>
      </c>
      <c r="BE430" s="507"/>
      <c r="BF430" s="507">
        <f t="shared" si="196"/>
        <v>240595333.3793</v>
      </c>
      <c r="BG430" s="507">
        <f t="shared" si="196"/>
        <v>2272403940.2722001</v>
      </c>
      <c r="BH430" s="507">
        <f t="shared" si="196"/>
        <v>119779889797.90849</v>
      </c>
      <c r="BI430" s="507">
        <f t="shared" si="196"/>
        <v>11123939268.595118</v>
      </c>
      <c r="BJ430" s="507">
        <f t="shared" si="196"/>
        <v>33654449896</v>
      </c>
      <c r="BK430" s="507">
        <f>BK419+BK413+BK393+BK383+BK379+BK374+BK369+BK363+BK359+BK355+BK349+BK344+BK339+BK332+BK328+BK325+BK321+BK316+BK314+BK312+BK309+BK303+BK299+BK297+BK295+BK292+BK289+BK286+BK282+BK278+BK276+BK273+BK270+BK265+BK261+BK258+BK254+BK252+BK248+BK245+BK243+BK241+BK236+BK233+BK227+BK223+BK220+BK217+BK211+BK207+BK203+BK198+BK195+BK190+BK184+BK180+BK178+BK175+BK172+BK168+BK164+BK162+BK160+BK157+BK150+BK144+BK138+BK133+BK122+BK113+BK110+BK103+BK99+BK88+BK84+BK81+BK79+BK76+BK71+BK66+BK60+BK56+BK51+BK29+BK21+BK13+BK39+BK44+BK390</f>
        <v>227858721004.96167</v>
      </c>
      <c r="BL430" s="507">
        <f t="shared" ref="BL430:BT430" si="197">SUM(BL14:BL429)</f>
        <v>10000000000</v>
      </c>
      <c r="BM430" s="507">
        <f t="shared" si="197"/>
        <v>40735593529.225174</v>
      </c>
      <c r="BN430" s="507">
        <f t="shared" si="197"/>
        <v>7199072744.5355549</v>
      </c>
      <c r="BO430" s="507"/>
      <c r="BP430" s="507">
        <f t="shared" si="197"/>
        <v>247813193.38067901</v>
      </c>
      <c r="BQ430" s="507">
        <f t="shared" si="197"/>
        <v>2341576058.48</v>
      </c>
      <c r="BR430" s="507">
        <f t="shared" si="197"/>
        <v>123373286491.84402</v>
      </c>
      <c r="BS430" s="507">
        <f t="shared" si="197"/>
        <v>11457657446.024429</v>
      </c>
      <c r="BT430" s="507">
        <f t="shared" si="197"/>
        <v>34802379885</v>
      </c>
      <c r="BU430" s="507">
        <f>BU419+BU413+BU393+BU383+BU379+BU374+BU369+BU363+BU359+BU355+BU349+BU344+BU339+BU332+BU328+BU325+BU321+BU316+BU314+BU312+BU309+BU303+BU299+BU297+BU295+BU292+BU289+BU286+BU282+BU278+BU276+BU273+BU270+BU265+BU261+BU258+BU254+BU252+BU248+BU245+BU243+BU241+BU236+BU233+BU227+BU223+BU220+BU217+BU211+BU207+BU203+BU198+BU195+BU190+BU184+BU180+BU178+BU175+BU172+BU168+BU164+BU162+BU160+BU157+BU150+BU144+BU138+BU133+BU122+BU113+BU110+BU103+BU99+BU88+BU84+BU81+BU79+BU76+BU71+BU66+BU60+BU56+BU51+BU29+BU21+BU13+BU39+BU44+BU390</f>
        <v>230357379348.48987</v>
      </c>
      <c r="BV430" s="507">
        <f>BV419+BV413+BV393+BV383+BV379+BV374+BV369+BV363+BV359+BV355+BV349+BV344+BV339+BV332+BV328+BV325+BV321+BV316+BV314+BV312+BV309+BV303+BV299+BV297+BV295+BV292+BV289+BV286+BV282+BV278+BV276+BV273+BV270+BV265+BV261+BV258+BV254+BV252+BV248+BV245+BV243+BV241+BV236+BV233+BV227+BV223+BV220+BV217+BV211+BV207+BV203+BV198+BV195+BV190+BV184+BV180+BV178+BV175+BV172+BV168+BV164+BV162+BV160+BV157+BV150+BV144+BV138+BV133+BV122+BV113+BV110+BV103+BV99+BV88+BV84+BV81+BV79+BV76+BV71+BV66+BV60+BV56+BV51+BV29+BV21+BV13+BV39+BV44+BV390</f>
        <v>679298335253.04993</v>
      </c>
    </row>
    <row r="431" spans="1:74" ht="31.5" customHeight="1" x14ac:dyDescent="0.25">
      <c r="D431" s="508"/>
      <c r="E431" s="509"/>
      <c r="F431" s="509"/>
      <c r="G431" s="510"/>
      <c r="H431" s="510"/>
      <c r="I431" s="511"/>
      <c r="J431" s="512" t="s">
        <v>920</v>
      </c>
      <c r="K431" s="513"/>
      <c r="L431" s="514"/>
      <c r="M431" s="515"/>
      <c r="N431" s="516"/>
      <c r="O431" s="517"/>
      <c r="P431" s="517"/>
      <c r="Q431" s="516"/>
      <c r="R431" s="517" t="s">
        <v>0</v>
      </c>
      <c r="S431" s="517" t="s">
        <v>0</v>
      </c>
      <c r="T431" s="517"/>
      <c r="U431" s="518"/>
      <c r="V431" s="517"/>
      <c r="W431" s="517"/>
      <c r="X431" s="519"/>
      <c r="Y431" s="519"/>
      <c r="Z431" s="519"/>
      <c r="AA431" s="519"/>
      <c r="AB431" s="519"/>
      <c r="AC431" s="519"/>
      <c r="AD431" s="519"/>
      <c r="AE431" s="519"/>
      <c r="AF431" s="519"/>
      <c r="AG431" s="519"/>
      <c r="AH431" s="519"/>
      <c r="AI431" s="519"/>
      <c r="AJ431" s="519"/>
      <c r="AK431" s="519"/>
      <c r="AL431" s="519"/>
      <c r="AM431" s="519"/>
      <c r="AN431" s="519"/>
      <c r="AO431" s="519"/>
      <c r="AP431" s="520">
        <f>AP430</f>
        <v>239400913095.93002</v>
      </c>
      <c r="AQ431" s="521"/>
      <c r="AR431" s="522"/>
      <c r="AS431" s="522"/>
      <c r="AT431" s="522"/>
      <c r="AU431" s="522"/>
      <c r="AV431" s="522"/>
      <c r="AW431" s="522"/>
      <c r="AX431" s="522"/>
      <c r="AY431" s="522"/>
      <c r="AZ431" s="522"/>
      <c r="BA431" s="522">
        <v>221082234899</v>
      </c>
      <c r="BB431" s="522"/>
      <c r="BC431" s="522"/>
      <c r="BD431" s="522"/>
      <c r="BE431" s="522"/>
      <c r="BF431" s="522"/>
      <c r="BG431" s="522"/>
      <c r="BH431" s="522"/>
      <c r="BI431" s="522"/>
      <c r="BJ431" s="522"/>
      <c r="BK431" s="522">
        <v>227858721005</v>
      </c>
      <c r="BL431" s="522"/>
      <c r="BM431" s="522"/>
      <c r="BN431" s="522"/>
      <c r="BO431" s="522"/>
      <c r="BP431" s="522"/>
      <c r="BQ431" s="522"/>
      <c r="BR431" s="522"/>
      <c r="BS431" s="522"/>
      <c r="BT431" s="522"/>
      <c r="BU431" s="522">
        <v>230357379349</v>
      </c>
      <c r="BV431" s="523"/>
    </row>
    <row r="432" spans="1:74" ht="36" customHeight="1" x14ac:dyDescent="0.25">
      <c r="B432" s="524"/>
      <c r="C432" s="524"/>
      <c r="D432" s="525"/>
      <c r="E432" s="40"/>
      <c r="F432" s="40"/>
      <c r="G432" s="105"/>
      <c r="H432" s="105"/>
      <c r="I432" s="95"/>
      <c r="J432" s="526"/>
      <c r="K432" s="527"/>
      <c r="L432" s="528"/>
      <c r="M432" s="529"/>
      <c r="N432" s="530"/>
      <c r="O432" s="449"/>
      <c r="P432" s="449"/>
      <c r="Q432" s="530"/>
      <c r="R432" s="449"/>
      <c r="S432" s="449"/>
      <c r="T432" s="449"/>
      <c r="U432" s="436"/>
      <c r="V432" s="449"/>
      <c r="W432" s="449"/>
      <c r="X432" s="142"/>
      <c r="Y432" s="142"/>
      <c r="Z432" s="142"/>
      <c r="AA432" s="142"/>
      <c r="AB432" s="142"/>
      <c r="AC432" s="142"/>
      <c r="AD432" s="142"/>
      <c r="AE432" s="142"/>
      <c r="AF432" s="142"/>
      <c r="AG432" s="142"/>
      <c r="AH432" s="142"/>
      <c r="AI432" s="142"/>
      <c r="AJ432" s="142"/>
      <c r="AK432" s="142"/>
      <c r="AL432" s="142"/>
      <c r="AM432" s="142"/>
      <c r="AN432" s="142"/>
      <c r="AO432" s="142"/>
      <c r="AP432" s="141"/>
      <c r="AQ432" s="141"/>
      <c r="AR432" s="531"/>
      <c r="AS432" s="531"/>
      <c r="AT432" s="531"/>
      <c r="AU432" s="531"/>
      <c r="AV432" s="531"/>
      <c r="AW432" s="531"/>
      <c r="AX432" s="531"/>
      <c r="AY432" s="531"/>
      <c r="AZ432" s="531"/>
      <c r="BA432" s="531"/>
      <c r="BB432" s="531"/>
      <c r="BC432" s="531"/>
      <c r="BD432" s="531"/>
      <c r="BE432" s="531"/>
      <c r="BF432" s="531"/>
      <c r="BG432" s="531"/>
      <c r="BH432" s="531"/>
      <c r="BI432" s="531"/>
      <c r="BJ432" s="531"/>
      <c r="BK432" s="531"/>
      <c r="BL432" s="532"/>
      <c r="BM432" s="532"/>
      <c r="BN432" s="532"/>
      <c r="BO432" s="532"/>
      <c r="BP432" s="532"/>
      <c r="BQ432" s="532"/>
      <c r="BR432" s="532"/>
      <c r="BS432" s="532"/>
      <c r="BT432" s="532"/>
      <c r="BU432" s="532"/>
      <c r="BV432" s="105"/>
    </row>
    <row r="433" spans="64:74" ht="27.75" customHeight="1" x14ac:dyDescent="0.2"/>
    <row r="434" spans="64:74" ht="30.75" customHeight="1" x14ac:dyDescent="0.2">
      <c r="BL434" s="537"/>
      <c r="BM434" s="537"/>
      <c r="BN434" s="537"/>
      <c r="BO434" s="537"/>
      <c r="BP434" s="537"/>
      <c r="BQ434" s="537"/>
      <c r="BR434" s="537"/>
      <c r="BS434" s="537"/>
      <c r="BT434" s="537"/>
      <c r="BU434" s="537"/>
      <c r="BV434" s="539"/>
    </row>
    <row r="435" spans="64:74" ht="30.75" customHeight="1" x14ac:dyDescent="0.2">
      <c r="BL435" s="537"/>
      <c r="BM435" s="537"/>
      <c r="BN435" s="537"/>
      <c r="BO435" s="537"/>
      <c r="BP435" s="537"/>
      <c r="BQ435" s="537"/>
      <c r="BR435" s="537"/>
      <c r="BS435" s="537"/>
      <c r="BT435" s="537"/>
      <c r="BU435" s="537"/>
      <c r="BV435" s="539"/>
    </row>
  </sheetData>
  <mergeCells count="406">
    <mergeCell ref="BU333:BU334"/>
    <mergeCell ref="BV333:BV334"/>
    <mergeCell ref="Q8:Q9"/>
    <mergeCell ref="BN333:BN334"/>
    <mergeCell ref="BP333:BP334"/>
    <mergeCell ref="BQ333:BQ334"/>
    <mergeCell ref="BR333:BR334"/>
    <mergeCell ref="BS333:BS334"/>
    <mergeCell ref="BT333:BT334"/>
    <mergeCell ref="BH333:BH334"/>
    <mergeCell ref="BI333:BI334"/>
    <mergeCell ref="BJ333:BJ334"/>
    <mergeCell ref="BK333:BK334"/>
    <mergeCell ref="BL333:BL334"/>
    <mergeCell ref="BM333:BM334"/>
    <mergeCell ref="BA333:BA334"/>
    <mergeCell ref="BB333:BB334"/>
    <mergeCell ref="BC333:BC334"/>
    <mergeCell ref="BD333:BD334"/>
    <mergeCell ref="BF333:BF334"/>
    <mergeCell ref="BG333:BG334"/>
    <mergeCell ref="AT333:AT334"/>
    <mergeCell ref="AV333:AV334"/>
    <mergeCell ref="AW333:AW334"/>
    <mergeCell ref="AX333:AX334"/>
    <mergeCell ref="AY333:AY334"/>
    <mergeCell ref="AZ333:AZ334"/>
    <mergeCell ref="AQ333:AQ334"/>
    <mergeCell ref="AR333:AR334"/>
    <mergeCell ref="AS333:AS334"/>
    <mergeCell ref="AN333:AN334"/>
    <mergeCell ref="AO333:AO334"/>
    <mergeCell ref="AP333:AP334"/>
    <mergeCell ref="AK333:AK334"/>
    <mergeCell ref="AL333:AL334"/>
    <mergeCell ref="AM333:AM334"/>
    <mergeCell ref="AH333:AH334"/>
    <mergeCell ref="AI333:AI334"/>
    <mergeCell ref="AJ333:AJ334"/>
    <mergeCell ref="AE333:AE334"/>
    <mergeCell ref="AF333:AF334"/>
    <mergeCell ref="AG333:AG334"/>
    <mergeCell ref="AB333:AB334"/>
    <mergeCell ref="AC333:AC334"/>
    <mergeCell ref="AD333:AD334"/>
    <mergeCell ref="Y333:Y334"/>
    <mergeCell ref="Z333:Z334"/>
    <mergeCell ref="AA333:AA334"/>
    <mergeCell ref="S333:S334"/>
    <mergeCell ref="T333:T334"/>
    <mergeCell ref="U333:U334"/>
    <mergeCell ref="V333:V334"/>
    <mergeCell ref="W333:W334"/>
    <mergeCell ref="X333:X334"/>
    <mergeCell ref="N333:N334"/>
    <mergeCell ref="O333:O334"/>
    <mergeCell ref="P333:P334"/>
    <mergeCell ref="Q333:Q334"/>
    <mergeCell ref="R333:R334"/>
    <mergeCell ref="BR300:BR301"/>
    <mergeCell ref="BS300:BS301"/>
    <mergeCell ref="BT300:BT301"/>
    <mergeCell ref="BU300:BU301"/>
    <mergeCell ref="AR300:AR301"/>
    <mergeCell ref="AS300:AS301"/>
    <mergeCell ref="AT300:AT301"/>
    <mergeCell ref="AV300:AV301"/>
    <mergeCell ref="AW300:AW301"/>
    <mergeCell ref="AP300:AP301"/>
    <mergeCell ref="AQ300:AQ301"/>
    <mergeCell ref="AL300:AL301"/>
    <mergeCell ref="AM300:AM301"/>
    <mergeCell ref="AN300:AN301"/>
    <mergeCell ref="AO300:AO301"/>
    <mergeCell ref="AJ300:AJ301"/>
    <mergeCell ref="AK300:AK301"/>
    <mergeCell ref="AF300:AF301"/>
    <mergeCell ref="AG300:AG301"/>
    <mergeCell ref="BV300:BV301"/>
    <mergeCell ref="I333:I334"/>
    <mergeCell ref="J333:J334"/>
    <mergeCell ref="K333:K334"/>
    <mergeCell ref="L333:L334"/>
    <mergeCell ref="M333:M334"/>
    <mergeCell ref="BK300:BK301"/>
    <mergeCell ref="BL300:BL301"/>
    <mergeCell ref="BM300:BM301"/>
    <mergeCell ref="BN300:BN301"/>
    <mergeCell ref="BP300:BP301"/>
    <mergeCell ref="BQ300:BQ301"/>
    <mergeCell ref="BD300:BD301"/>
    <mergeCell ref="BF300:BF301"/>
    <mergeCell ref="BG300:BG301"/>
    <mergeCell ref="BH300:BH301"/>
    <mergeCell ref="BI300:BI301"/>
    <mergeCell ref="BJ300:BJ301"/>
    <mergeCell ref="AX300:AX301"/>
    <mergeCell ref="AY300:AY301"/>
    <mergeCell ref="AZ300:AZ301"/>
    <mergeCell ref="BA300:BA301"/>
    <mergeCell ref="BB300:BB301"/>
    <mergeCell ref="BC300:BC301"/>
    <mergeCell ref="AH300:AH301"/>
    <mergeCell ref="AI300:AI301"/>
    <mergeCell ref="AD300:AD301"/>
    <mergeCell ref="AE300:AE301"/>
    <mergeCell ref="Z300:Z301"/>
    <mergeCell ref="AA300:AA301"/>
    <mergeCell ref="AB300:AB301"/>
    <mergeCell ref="AC300:AC301"/>
    <mergeCell ref="T300:T301"/>
    <mergeCell ref="U300:U301"/>
    <mergeCell ref="X300:X301"/>
    <mergeCell ref="Y300:Y301"/>
    <mergeCell ref="O300:O301"/>
    <mergeCell ref="P300:P301"/>
    <mergeCell ref="Q300:Q301"/>
    <mergeCell ref="R300:R301"/>
    <mergeCell ref="S300:S301"/>
    <mergeCell ref="BU230:BU231"/>
    <mergeCell ref="F234:F235"/>
    <mergeCell ref="G234:G235"/>
    <mergeCell ref="H234:H235"/>
    <mergeCell ref="I300:I301"/>
    <mergeCell ref="J300:J301"/>
    <mergeCell ref="K300:K301"/>
    <mergeCell ref="L300:L301"/>
    <mergeCell ref="M300:M301"/>
    <mergeCell ref="N300:N301"/>
    <mergeCell ref="AY230:AY231"/>
    <mergeCell ref="BA230:BA231"/>
    <mergeCell ref="BI230:BI231"/>
    <mergeCell ref="BK230:BK231"/>
    <mergeCell ref="BS230:BS231"/>
    <mergeCell ref="AP230:AP231"/>
    <mergeCell ref="AQ230:AQ231"/>
    <mergeCell ref="AL230:AL231"/>
    <mergeCell ref="AM230:AM231"/>
    <mergeCell ref="AN230:AN231"/>
    <mergeCell ref="AO230:AO231"/>
    <mergeCell ref="AJ230:AJ231"/>
    <mergeCell ref="AK230:AK231"/>
    <mergeCell ref="AF230:AF231"/>
    <mergeCell ref="AG230:AG231"/>
    <mergeCell ref="AH230:AH231"/>
    <mergeCell ref="AI230:AI231"/>
    <mergeCell ref="AD230:AD231"/>
    <mergeCell ref="AE230:AE231"/>
    <mergeCell ref="Z230:Z231"/>
    <mergeCell ref="AA230:AA231"/>
    <mergeCell ref="AB230:AB231"/>
    <mergeCell ref="AC230:AC231"/>
    <mergeCell ref="T230:T231"/>
    <mergeCell ref="U230:U231"/>
    <mergeCell ref="X230:X231"/>
    <mergeCell ref="Y230:Y231"/>
    <mergeCell ref="O230:O231"/>
    <mergeCell ref="P230:P231"/>
    <mergeCell ref="Q230:Q231"/>
    <mergeCell ref="R230:R231"/>
    <mergeCell ref="S230:S231"/>
    <mergeCell ref="BV173:BV174"/>
    <mergeCell ref="F224:F225"/>
    <mergeCell ref="G224:G225"/>
    <mergeCell ref="H224:H225"/>
    <mergeCell ref="I230:I231"/>
    <mergeCell ref="J230:J231"/>
    <mergeCell ref="K230:K231"/>
    <mergeCell ref="L230:L231"/>
    <mergeCell ref="M230:M231"/>
    <mergeCell ref="N230:N231"/>
    <mergeCell ref="BP173:BP174"/>
    <mergeCell ref="BQ173:BQ174"/>
    <mergeCell ref="BR173:BR174"/>
    <mergeCell ref="BS173:BS174"/>
    <mergeCell ref="BT173:BT174"/>
    <mergeCell ref="BU173:BU174"/>
    <mergeCell ref="BI173:BI174"/>
    <mergeCell ref="BJ173:BJ174"/>
    <mergeCell ref="BK173:BK174"/>
    <mergeCell ref="BL173:BL174"/>
    <mergeCell ref="BM173:BM174"/>
    <mergeCell ref="BN173:BN174"/>
    <mergeCell ref="BB173:BB174"/>
    <mergeCell ref="BC173:BC174"/>
    <mergeCell ref="BD173:BD174"/>
    <mergeCell ref="BF173:BF174"/>
    <mergeCell ref="BG173:BG174"/>
    <mergeCell ref="BH173:BH174"/>
    <mergeCell ref="AV173:AV174"/>
    <mergeCell ref="AW173:AW174"/>
    <mergeCell ref="AX173:AX174"/>
    <mergeCell ref="AY173:AY174"/>
    <mergeCell ref="AZ173:AZ174"/>
    <mergeCell ref="BA173:BA174"/>
    <mergeCell ref="AR173:AR174"/>
    <mergeCell ref="AS173:AS174"/>
    <mergeCell ref="AT173:AT174"/>
    <mergeCell ref="AU173:AU174"/>
    <mergeCell ref="AO173:AO174"/>
    <mergeCell ref="AP173:AP174"/>
    <mergeCell ref="AQ173:AQ174"/>
    <mergeCell ref="AL173:AL174"/>
    <mergeCell ref="AM173:AM174"/>
    <mergeCell ref="AN173:AN174"/>
    <mergeCell ref="AI173:AI174"/>
    <mergeCell ref="AJ173:AJ174"/>
    <mergeCell ref="AK173:AK174"/>
    <mergeCell ref="AF173:AF174"/>
    <mergeCell ref="AG173:AG174"/>
    <mergeCell ref="AH173:AH174"/>
    <mergeCell ref="AC173:AC174"/>
    <mergeCell ref="AD173:AD174"/>
    <mergeCell ref="AE173:AE174"/>
    <mergeCell ref="Z173:Z174"/>
    <mergeCell ref="AA173:AA174"/>
    <mergeCell ref="AB173:AB174"/>
    <mergeCell ref="U173:U174"/>
    <mergeCell ref="V173:V174"/>
    <mergeCell ref="W173:W174"/>
    <mergeCell ref="X173:X174"/>
    <mergeCell ref="Y173:Y174"/>
    <mergeCell ref="P173:P174"/>
    <mergeCell ref="Q173:Q174"/>
    <mergeCell ref="R173:R174"/>
    <mergeCell ref="S173:S174"/>
    <mergeCell ref="T173:T174"/>
    <mergeCell ref="BT139:BT142"/>
    <mergeCell ref="BU139:BU142"/>
    <mergeCell ref="BV139:BV142"/>
    <mergeCell ref="I173:I174"/>
    <mergeCell ref="J173:J174"/>
    <mergeCell ref="K173:K174"/>
    <mergeCell ref="L173:L174"/>
    <mergeCell ref="M173:M174"/>
    <mergeCell ref="N173:N174"/>
    <mergeCell ref="O173:O174"/>
    <mergeCell ref="BM139:BM142"/>
    <mergeCell ref="BN139:BN142"/>
    <mergeCell ref="BP139:BP142"/>
    <mergeCell ref="BQ139:BQ142"/>
    <mergeCell ref="BR139:BR142"/>
    <mergeCell ref="BS139:BS142"/>
    <mergeCell ref="BG139:BG142"/>
    <mergeCell ref="BH139:BH142"/>
    <mergeCell ref="BI139:BI142"/>
    <mergeCell ref="BJ139:BJ142"/>
    <mergeCell ref="BK139:BK142"/>
    <mergeCell ref="BL139:BL142"/>
    <mergeCell ref="AZ139:AZ142"/>
    <mergeCell ref="BA139:BA142"/>
    <mergeCell ref="BB139:BB142"/>
    <mergeCell ref="BC139:BC142"/>
    <mergeCell ref="BD139:BD142"/>
    <mergeCell ref="BF139:BF142"/>
    <mergeCell ref="AS139:AS142"/>
    <mergeCell ref="AT139:AT142"/>
    <mergeCell ref="AV139:AV142"/>
    <mergeCell ref="AW139:AW142"/>
    <mergeCell ref="AX139:AX142"/>
    <mergeCell ref="AY139:AY142"/>
    <mergeCell ref="AN139:AN142"/>
    <mergeCell ref="AO139:AO142"/>
    <mergeCell ref="AP139:AP142"/>
    <mergeCell ref="AQ139:AQ142"/>
    <mergeCell ref="AR139:AR142"/>
    <mergeCell ref="AL139:AL142"/>
    <mergeCell ref="AM139:AM142"/>
    <mergeCell ref="AH139:AH142"/>
    <mergeCell ref="AI139:AI142"/>
    <mergeCell ref="AJ139:AJ142"/>
    <mergeCell ref="AK139:AK142"/>
    <mergeCell ref="AF139:AF142"/>
    <mergeCell ref="AG139:AG142"/>
    <mergeCell ref="AB139:AB142"/>
    <mergeCell ref="AC139:AC142"/>
    <mergeCell ref="AD139:AD142"/>
    <mergeCell ref="AE139:AE142"/>
    <mergeCell ref="Z139:Z142"/>
    <mergeCell ref="AA139:AA142"/>
    <mergeCell ref="T139:T142"/>
    <mergeCell ref="U139:U142"/>
    <mergeCell ref="V139:V142"/>
    <mergeCell ref="W139:W142"/>
    <mergeCell ref="X139:X142"/>
    <mergeCell ref="Y139:Y142"/>
    <mergeCell ref="N139:N142"/>
    <mergeCell ref="O139:O142"/>
    <mergeCell ref="P139:P142"/>
    <mergeCell ref="Q139:Q142"/>
    <mergeCell ref="R139:R142"/>
    <mergeCell ref="S139:S142"/>
    <mergeCell ref="D97:F97"/>
    <mergeCell ref="I139:I142"/>
    <mergeCell ref="J139:J142"/>
    <mergeCell ref="K139:K142"/>
    <mergeCell ref="L139:L142"/>
    <mergeCell ref="M139:M142"/>
    <mergeCell ref="AY19:AY20"/>
    <mergeCell ref="AZ19:AZ20"/>
    <mergeCell ref="BA19:BA20"/>
    <mergeCell ref="BK19:BK20"/>
    <mergeCell ref="BU19:BU20"/>
    <mergeCell ref="BV19:BV20"/>
    <mergeCell ref="AR19:AR20"/>
    <mergeCell ref="AS19:AS20"/>
    <mergeCell ref="AT19:AT20"/>
    <mergeCell ref="AV19:AV20"/>
    <mergeCell ref="AW19:AW20"/>
    <mergeCell ref="AX19:AX20"/>
    <mergeCell ref="AN19:AN20"/>
    <mergeCell ref="AO19:AO20"/>
    <mergeCell ref="AK19:AK20"/>
    <mergeCell ref="AL19:AL20"/>
    <mergeCell ref="AM19:AM20"/>
    <mergeCell ref="AH19:AH20"/>
    <mergeCell ref="AI19:AI20"/>
    <mergeCell ref="AJ19:AJ20"/>
    <mergeCell ref="AE19:AE20"/>
    <mergeCell ref="AF19:AF20"/>
    <mergeCell ref="AG19:AG20"/>
    <mergeCell ref="AD8:AE8"/>
    <mergeCell ref="AB19:AB20"/>
    <mergeCell ref="AC19:AC20"/>
    <mergeCell ref="AD19:AD20"/>
    <mergeCell ref="Y19:Y20"/>
    <mergeCell ref="Z19:Z20"/>
    <mergeCell ref="AA19:AA20"/>
    <mergeCell ref="S19:S20"/>
    <mergeCell ref="T19:T20"/>
    <mergeCell ref="U19:U20"/>
    <mergeCell ref="V19:V20"/>
    <mergeCell ref="W19:W20"/>
    <mergeCell ref="X19:X20"/>
    <mergeCell ref="X8:Y8"/>
    <mergeCell ref="BS8:BS9"/>
    <mergeCell ref="BT8:BT9"/>
    <mergeCell ref="BU8:BU9"/>
    <mergeCell ref="BV8:BV9"/>
    <mergeCell ref="BP8:BP9"/>
    <mergeCell ref="BQ8:BQ9"/>
    <mergeCell ref="BR8:BR9"/>
    <mergeCell ref="AX8:AX9"/>
    <mergeCell ref="AY8:AY9"/>
    <mergeCell ref="AZ8:AZ9"/>
    <mergeCell ref="BO8:BO9"/>
    <mergeCell ref="BG8:BG9"/>
    <mergeCell ref="BH8:BH9"/>
    <mergeCell ref="BI8:BI9"/>
    <mergeCell ref="BJ8:BJ9"/>
    <mergeCell ref="BK8:BK9"/>
    <mergeCell ref="BL8:BL9"/>
    <mergeCell ref="BA8:BA9"/>
    <mergeCell ref="BB8:BB9"/>
    <mergeCell ref="BC8:BC9"/>
    <mergeCell ref="BD8:BD9"/>
    <mergeCell ref="BE8:BE9"/>
    <mergeCell ref="BF8:BF9"/>
    <mergeCell ref="F15:F16"/>
    <mergeCell ref="I19:I20"/>
    <mergeCell ref="J19:J20"/>
    <mergeCell ref="K19:K20"/>
    <mergeCell ref="L19:L20"/>
    <mergeCell ref="M19:M20"/>
    <mergeCell ref="BM8:BM9"/>
    <mergeCell ref="BN8:BN9"/>
    <mergeCell ref="AU8:AU9"/>
    <mergeCell ref="AV8:AV9"/>
    <mergeCell ref="AW8:AW9"/>
    <mergeCell ref="N19:N20"/>
    <mergeCell ref="O19:O20"/>
    <mergeCell ref="P19:P20"/>
    <mergeCell ref="Q19:Q20"/>
    <mergeCell ref="R19:R20"/>
    <mergeCell ref="AL8:AM8"/>
    <mergeCell ref="AN8:AO8"/>
    <mergeCell ref="AP8:AQ8"/>
    <mergeCell ref="AR8:AR9"/>
    <mergeCell ref="AS8:AS9"/>
    <mergeCell ref="AT8:AT9"/>
    <mergeCell ref="Z8:AA8"/>
    <mergeCell ref="AB8:AC8"/>
    <mergeCell ref="C2:BT3"/>
    <mergeCell ref="C4:BT6"/>
    <mergeCell ref="M8:M9"/>
    <mergeCell ref="N8:N9"/>
    <mergeCell ref="O8:O9"/>
    <mergeCell ref="P8:P9"/>
    <mergeCell ref="R8:R9"/>
    <mergeCell ref="A8:A9"/>
    <mergeCell ref="B8:B9"/>
    <mergeCell ref="C8:E8"/>
    <mergeCell ref="F8:F9"/>
    <mergeCell ref="G8:G9"/>
    <mergeCell ref="H8:H9"/>
    <mergeCell ref="I8:J9"/>
    <mergeCell ref="K8:K9"/>
    <mergeCell ref="L8:L9"/>
    <mergeCell ref="AF8:AG8"/>
    <mergeCell ref="AH8:AI8"/>
    <mergeCell ref="AJ8:AK8"/>
    <mergeCell ref="S8:S9"/>
    <mergeCell ref="T8:T9"/>
    <mergeCell ref="U8:U9"/>
    <mergeCell ref="V8:V9"/>
    <mergeCell ref="W8:W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NDICATIVO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DIRPLANEACION01</cp:lastModifiedBy>
  <dcterms:created xsi:type="dcterms:W3CDTF">2017-01-31T17:30:48Z</dcterms:created>
  <dcterms:modified xsi:type="dcterms:W3CDTF">2017-02-09T21:31:39Z</dcterms:modified>
</cp:coreProperties>
</file>