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80" windowHeight="6672" activeTab="0"/>
  </bookViews>
  <sheets>
    <sheet name="ENVEJECIMIENTO Y VEJEZ" sheetId="1" r:id="rId1"/>
    <sheet name="GRAFICA 2" sheetId="2" r:id="rId2"/>
    <sheet name="BARRAS" sheetId="3" r:id="rId3"/>
    <sheet name="GRAFICA 2 (2)" sheetId="4" state="hidden" r:id="rId4"/>
    <sheet name="eje 1" sheetId="5" state="hidden" r:id="rId5"/>
    <sheet name="eje 2" sheetId="6" state="hidden" r:id="rId6"/>
    <sheet name="eje 3" sheetId="7" state="hidden" r:id="rId7"/>
    <sheet name="eje 4" sheetId="8" state="hidden" r:id="rId8"/>
    <sheet name="eje 5" sheetId="9" state="hidden" r:id="rId9"/>
    <sheet name="graficas ejes" sheetId="10" state="hidden" r:id="rId10"/>
    <sheet name="RESPUESTAS ENTIDADES" sheetId="11" state="hidden" r:id="rId11"/>
    <sheet name="GRAFICAS" sheetId="12" state="hidden" r:id="rId12"/>
  </sheets>
  <definedNames>
    <definedName name="_xlnm._FilterDatabase" localSheetId="4" hidden="1">'eje 1'!$A$1:$C$31</definedName>
    <definedName name="_xlnm._FilterDatabase" localSheetId="0" hidden="1">'ENVEJECIMIENTO Y VEJEZ'!$A$4:$AY$112</definedName>
    <definedName name="_xlnm._FilterDatabase" localSheetId="10" hidden="1">'RESPUESTAS ENTIDADES'!$A$2:$G$84</definedName>
  </definedNames>
  <calcPr fullCalcOnLoad="1"/>
  <pivotCaches>
    <pivotCache cacheId="1" r:id="rId13"/>
  </pivotCaches>
</workbook>
</file>

<file path=xl/sharedStrings.xml><?xml version="1.0" encoding="utf-8"?>
<sst xmlns="http://schemas.openxmlformats.org/spreadsheetml/2006/main" count="1239" uniqueCount="546">
  <si>
    <t xml:space="preserve">INDICADORES   PERIODO ADMINISTRATIVO 2016 -2019 </t>
  </si>
  <si>
    <t xml:space="preserve">No </t>
  </si>
  <si>
    <t xml:space="preserve">UNIDAD DE MEDIDA DEL INDICADOR   </t>
  </si>
  <si>
    <t xml:space="preserve">FORMULA  DE CALCULO DEL INDICADOR </t>
  </si>
  <si>
    <t xml:space="preserve">SECRETARIA RESPONSABLE </t>
  </si>
  <si>
    <t xml:space="preserve">APLICACIÓN FORMULA </t>
  </si>
  <si>
    <t xml:space="preserve">CALCULO </t>
  </si>
  <si>
    <t xml:space="preserve">ANALISIS INDICADOR </t>
  </si>
  <si>
    <t>Porcentaje</t>
  </si>
  <si>
    <t>Número</t>
  </si>
  <si>
    <t>INDICADORES :   POLITICA DE ENVEJECIMIENTO Y VEJEZ</t>
  </si>
  <si>
    <t xml:space="preserve">240 Huertas comunitarias al año 2020.                                                                          </t>
  </si>
  <si>
    <t>(Cantidad de Huertas establecidas en el año 2020 / Cantidad de Huertas a establecer al año 2020)*100</t>
  </si>
  <si>
    <t>SENA, UMATA, SECRETARÍA DE DESARROLLO ECONÓMICO, URBANA Y RURAL, UNIVERSIDADES PÚBLICAS Y PRIVADAS, SECRETARÍA DEL INTERIOR Y DESARROLLO SOCIAL Y POLÍTICO, ISS, ICBF, ONG, MINISTERIO DE LA PROTECCIÓN SOCIAL.</t>
  </si>
  <si>
    <t xml:space="preserve">480 Huertas Familiares al año 2020. </t>
  </si>
  <si>
    <t>(Cantidad de familias beneficiadas con las huertas familiares y comunitarias en el año 2020 / Cantidad de familias objetivo  al año 2020)*100</t>
  </si>
  <si>
    <t>1200 familias con persona mayor beneficiadas al año 2020.</t>
  </si>
  <si>
    <t>200 proyectos de prodcción pecuaria ejecutados al año 2020.</t>
  </si>
  <si>
    <t>600 familias beneficiadas</t>
  </si>
  <si>
    <t>(Cantidad de familias beneficiadas con proyectos de producción pecuaria en el año 2020 / Cantidad de familias objetivo al año 2020)*100</t>
  </si>
  <si>
    <t>120 cursos de capacitación en transformación y conservación de alimentos</t>
  </si>
  <si>
    <t>(Cantidad de cursos y seminarios orientados durante el año 2020 / Cantidad de cursos seminarios planeados al año 2020)*100</t>
  </si>
  <si>
    <t>3000 personas capacitadas en trasnformación y conservación de alimentos</t>
  </si>
  <si>
    <t>(Cantidad de personas que participaron en cursos o seminario al año 2020 / Cantidad  de personas objetivo al año 2020) *100</t>
  </si>
  <si>
    <t>900 visitas de vigilancia y control realizadas a instituciones de atención a personas mayores al año 2020</t>
  </si>
  <si>
    <t>900 planes de mejoramiento para la manipulación, conservación y procesamiento de alimentos a las instituciones de atención a personas mayores al año 2020.</t>
  </si>
  <si>
    <t>(Cantidad de planes de mejoramiento implementados producto de las visitas de inspección realizadas al año 2020 / Cantidad de observaciones presentadas en los informes de inspección de las visitas realizadas al año 2020) *100.</t>
  </si>
  <si>
    <t>120 proyectos de ocupación de tiempo libre al año 2020</t>
  </si>
  <si>
    <t>UNIVERSIDADES, SECRETARÍAS DE EDUCACIÓN, INDEPORTES, SECRETARÍA DEL INTERIOR, CAJAS DE COMPENSACIÓN FAMILIAR, SECRETARÍAS DE DESARROLLO MUNICIPALES, INSTITUTOS MUNICIPALES PARA LA RECREACIÓN Y EL DEPORTE, ONG Y SECRETARÍA DE CULTURA, MIINISTERIO DE LA PROTECCIÓN SOCIAL, ICBF.</t>
  </si>
  <si>
    <t>120 proyectos que promuevan el ocio productivo al año 2020</t>
  </si>
  <si>
    <t>240 proyectos de recreación y turismo al  año 2020</t>
  </si>
  <si>
    <t>12.000 personas participando en proyectos de ocupación del tiempo libre, ocio productivo, recreación y turismo al año 2020</t>
  </si>
  <si>
    <t>(Cantidad de personas que participaron en proyectos enfocados al tiempo libre, ocio, recreación y turismo para el envejecimiento activo desarrollados al año 2020 / Cantidad de personas objetivo de los proyectos enfocados al tiempo libre, ocio, recreación y turismo para el envejecimiento activo planeados para el año 2020)*100</t>
  </si>
  <si>
    <t>120 proyectos que promuevan las expresiones culturales de las personas mayores al año 2020.</t>
  </si>
  <si>
    <t>(Cantidad de proyectos culturales desarrollados durante el año 2020 / Cantidad de proyectos culturales planeados al año 2020)*100</t>
  </si>
  <si>
    <t>6.000 personas beneficiadas de proyectos de expresión cultural al año 2020.</t>
  </si>
  <si>
    <t>20 programas de preparación para el retiro laboral al año 2020.</t>
  </si>
  <si>
    <t>(Cantidad de programas de prejubilación desarrolladas al año 2020 / Cantidad de programas de prejubilación planeados al año 2020) *100</t>
  </si>
  <si>
    <t xml:space="preserve">70% de empresas públicas y privadas  comprometidas con la preparación para el retiro laboral al año 2020. </t>
  </si>
  <si>
    <t>(Total de empresas comprometidas con los programas de preparación para el retiro al año 2020 / Total de empresas Públicas y Privadas del Departamento al año 2020)*100</t>
  </si>
  <si>
    <t>1.000 personas preparadas para afrontar el retiro laboral al año 2020.</t>
  </si>
  <si>
    <t>(Cantidad de personas que participaron de los programas de prejubilación desarrollados al año 2020 / Cantidad de personas objetivo de los programas de prejubilación planeados para el año 2020)*100</t>
  </si>
  <si>
    <t>120 proyectos de protección social a personas mayores al año 2020.</t>
  </si>
  <si>
    <t>(Cantidad de proyectos de protección social de las personas mayores desarrollados al año 2020 / Cantidad de proyectos de protección social de las personas mayores planeados al año 2020)*100</t>
  </si>
  <si>
    <t xml:space="preserve">6.000 personas mayores beneficiados de los proyectos de protección social </t>
  </si>
  <si>
    <t>(Cantidad de personas beneficiadas con los proyectos de protección social desarrollados al año 2020 / Cantidad de personas objetivo de los proyectos de protección social planeados al año 2020)*100</t>
  </si>
  <si>
    <t>Una Escuela de Deberes y Derechos.</t>
  </si>
  <si>
    <t>50.000 ciudadanos del departamento reciben información y formación al año 2020</t>
  </si>
  <si>
    <t>120 proyectos de fortalecimiento del liderazgo y la participación al año 2020</t>
  </si>
  <si>
    <t>(Cantidad de proyectos desarrollados en la defensa y protección de los DDHH para todas las edades al año 2020 / Cantidad de proyectos planeados en la defensa y protección de los DDHH para todas las edades al año 2020)*100</t>
  </si>
  <si>
    <t>6.000 personas mayores beneficiadas de los proyectos de fortalecimiento del liderazgo y la participación al año 2020</t>
  </si>
  <si>
    <t xml:space="preserve">120 proyectos de cultura ciudadana desarrollados </t>
  </si>
  <si>
    <t>50.000 habitantes del departamento participando en proyectos de cultura ciudadana al año 2020.</t>
  </si>
  <si>
    <t>12 veedurías ciudadana de personas mayores al año 2020 en funcionamiento.</t>
  </si>
  <si>
    <t>(Cantidad de veedurías ciudadanas de adultos mayores conformadas al año 2020 / Cantidad de veedurías ciudadanas de adultos mayores planeadas al año 2020) *100</t>
  </si>
  <si>
    <t>ISSQ, SECRETARÍA DEL INTERIOR Y DESARROLLO SOCIAL, UNIVERSIDADES PÚBLICAS Y PRIVADAS, PERSONERÍAS, DEFENSORÍA DEL PUEBLO, ENTIDADES DE CONTROL Y VIGILANCIA, ORGANIZACIONES DE DDHH, COMITÉS DEPARTAMENTAL Y MUNICIPALES DE ATENCIÓN A LA PERSONA MAYOR, SECRETARÍA DE SALUD, SECRETARÍA DE GOBIERNO, ONGS, ENTIDADES DE ASISTENCIA SOCIAL.</t>
  </si>
  <si>
    <t>6.000 personas mayores como veedores ciudadanos al año 2020.</t>
  </si>
  <si>
    <t>(Cantidad de acciones de mejora emprendidas con base a los informes de las veedurías ciudadanas de personas mayores al año 2020 / Cantidad de observaciones presentadas por las veedurías ciudadanas de personas mayores al año 2020) *100</t>
  </si>
  <si>
    <t>Un sistema de monitoreo de instituciones y programas dirigidos a las personas mayores funcionando al año 2013.</t>
  </si>
  <si>
    <t>(Cantidad de procesos de monitoreo realizados a instituciones y programas dirigidos a personas mayores desarrolladas al año 2020 / Cantidad de procesos de monitoreo a instituciones y programas dirigidos a personas mayores planeadas al año 2020)*100</t>
  </si>
  <si>
    <t>100% de acciones de mejoramiento ejecutados de acuerdo a los procesos de monitoreo desarrollados al año 2020.</t>
  </si>
  <si>
    <t>Un sistema de educación continuada para personas mayores al año 2013.</t>
  </si>
  <si>
    <t>(Cantidad de proyectos de educación continuada desarrollados para personas mayores al año 2020 / Cantidad de proyectos de educación continuada para personas mayores planeados a 2020)*100</t>
  </si>
  <si>
    <t>UNIVERSIDADES PÚBLICAS Y PRIVADAS, SECRETARÍAS DE EDUCACIÓN DEPARTAMENTAL, ICBF, SECRETARÍAS DE EDUCACIÓN MUNICIPALES, SENA, CAJAS DE COMPENSACIÓN, INSTITUTOS DE EDUCACIÓN NO FORMAL, INSTITUCIONES EDUCATIVAS.</t>
  </si>
  <si>
    <t>12.000 personas mayores cubiertos por procesos de educación continuada al año 2020.</t>
  </si>
  <si>
    <t>120 proyectos de fomento de actividades para la vida al año 2020.</t>
  </si>
  <si>
    <t>(Cantidad de proyectos desarrollados para el fomento de habilidades para la vida al año 2020 / Cantidad de proyectos planeados para el fomento de actividades para la vida, al año 2020)*100</t>
  </si>
  <si>
    <t>12.000 personas mayores capacitadas en habilidades para la vida 2020.</t>
  </si>
  <si>
    <t xml:space="preserve">(Cantidad de personas que participaron en las actividades para desarrollar habilidades para vivir durante el año 2020 / Cantidad de personas que pertenecen a la población objetivo de las actividades para desarrollar habilidades para vivir, en el año 2020)*100 </t>
  </si>
  <si>
    <t>120 proyectos de fomento de la productividad al año 2020.</t>
  </si>
  <si>
    <t>(Cantidad de proyectos ejecutados enfocados a tener una vejez activa para la productividad, realizadas al año 2020 / Cantidad de proyectos planeados enfocados a tener una vejez activa para la productividad, al año 2020)*100</t>
  </si>
  <si>
    <t>6.000 personas mayores capacitadas en proyectos productivos al año 2020.</t>
  </si>
  <si>
    <t>(Cantidad de personas que participaron en los proyectos enfocados a tener una vejez activa para la productividad, realizados al año 2020 / Cantidad de personas mayores que pertenecen a la población objetivo del fomento de la productividad al año 2020)*100</t>
  </si>
  <si>
    <t>1.000 personas mayores vinculadas a unidades productivas al año 2020.</t>
  </si>
  <si>
    <t>(Número de personas mayores vinculados a unidades productivas en funcionamiento al año 2020 / Cantidad de personas mayores que pertenecen a la población objetivo del fomento de la productividad al año 2020)*100</t>
  </si>
  <si>
    <t>Un sistema atención integral para las personas mayores al año 2013.</t>
  </si>
  <si>
    <t>(Actividades de articulación interinstitucional e interdisciplinar para la atención integral realizadas al año 2020 / Actividades de articulación interinstitucional e interdisciplinar para la atención integral planeadas al año 2020)*100</t>
  </si>
  <si>
    <t>UNIVERSIDADES PÚBLICAS Y PRIVADAS, ISSQ, SECRETARÍA DE SALUD, RED SALUD, ESEs, EPS, IPS, HOSPITALES, CBA, CENTROS DÍA, HOGARES DE PASO, CENTROS VIDA, ARSs, MIN PROTECCIÓN SOCIAL, ICBF, COMITÉ CAFETEROS.</t>
  </si>
  <si>
    <t>30 instituciones y sus equipos interdisciplinarios articulados para una mejor calidad en la atención al año 2020.</t>
  </si>
  <si>
    <t>(Cantidad de equipos y grupos interinstitucionales e interdisciplinares que brindan atención integral a las personas mayores, que participaron en las actividades de integración al año 2020 / Cantidad de equipos y grupos interinstitucionales e interdisciplinares que brindan atención integral a las personas mayores al año 2020)*100</t>
  </si>
  <si>
    <t>120 proyectos de formación en gerontología básica ejecutados al año 2020.</t>
  </si>
  <si>
    <t>(Cantidad de proyectos de formación en gerontología básica para profesionales técnicos y cuidadores desarrollados a 2020 / Cantidad de actividades de formación en gerontología básica para profesionales, técnicos y cuidadores, planeados al año 2020)*100</t>
  </si>
  <si>
    <t>6.000 profesionales técnicos y cuidadores formados en geronología básica al año 2020.</t>
  </si>
  <si>
    <t>(Cantidad de personas que participaron en los proyectos de formación en gerontología básica para profesionales, técnicos y cuidadores desarrollados en el año 2020 / Cantidad de personas profesionales, técnicos y cuidadores identificados en el departamento del Quindío al año 2020)*100</t>
  </si>
  <si>
    <t>10 proyectos de capacitación en gestión integral para administradores al año 2020.</t>
  </si>
  <si>
    <t>(Cantidad de proyectos realizados durante el año 2020, con el fin de desarrollar habilidades en los administradores en gestión integral de los servicios sociales para el envejecimiento / Cantidad de proyectos planeados al año 2020, con el fin de desarrollar habilidades en los administradores en gestión integral de los servicios sociales para el envejecimiento)*100</t>
  </si>
  <si>
    <t>100% del personal administrativo de los servicios de atención integral a las personas mayores al año 2013.</t>
  </si>
  <si>
    <t xml:space="preserve">(Cantidad de administradores de centro de atención y coordinadores de grupos de adultos mayores que participaron en los proyectos realizados al año 2020, para desarrollar habilidades en gestión integral de los servicios sociales para el envejecimiento / Cantidad de administradores de centro de atención y coordinadores de grupos de adultos mayores del departartamento del Quindío, al año 2020)*100 </t>
  </si>
  <si>
    <t>Un sistema de atención integral en salud para personas mayores al año 2020.</t>
  </si>
  <si>
    <t>(Cantidad de componentes del sistema de atención integral en salud para personas mayores, implementados al año 2020 / Cantidad de componentes del sistema de atención integral para personas mayores identificados al año 2020)*100</t>
  </si>
  <si>
    <t>100% de personas mayores del departamento cubiertas por el sistema de atención al año 2015.</t>
  </si>
  <si>
    <t>(Cantidad de personas beneficiadas por el sistema de atención integral en salud para personas mayores, al año 2020 / Cantidad de personas mayores del departamento del Quindío al año 2020)*100</t>
  </si>
  <si>
    <t>12 proyectos de actividad física para el envejecimiento activo al año 2013.</t>
  </si>
  <si>
    <t>(Cantidad de proyectos de actividad física para el envejecimiento activo, realizados a 2020 / Cantidad de proyectos de actividad física para el envejecimiento activo, planeados al año 2020)*100</t>
  </si>
  <si>
    <t>ISSQ,  UNIVERSIDADES PÚBLICAS Y PRIVADAS, PLANES LOCALES DE SALUD, SECRETARÍAS DE SALUD, INDEPORTES, SECRETARÍA DEL INTERIOR Y DESARROLLO SOCIAL, IMDERA, IMDERCA, ICBF, IPSs, EPSs, RED SALUD, CAJAS DE COMPENSACI´N FAMILIAR, REGIMENES ESPECIALES.</t>
  </si>
  <si>
    <t>20.000 personas mayores participan del proyecto de actividad física al año 2020.</t>
  </si>
  <si>
    <t>(Cantidad de personas que participaron en los proyectos de actividad física para el envejecimiento activo realizadas en el año 2020 / Cantidad de personas que pertenecen a la población objetivo de los proyectos de actividad física para el envejecimiento activo, al año 2020)*100</t>
  </si>
  <si>
    <t>50.000 personas capacitadas en alimentación saludable al año 2020.</t>
  </si>
  <si>
    <t>60 proyectos de fortalecimiento  a las redes de apoyo informales al año 2020.</t>
  </si>
  <si>
    <t>(Cantidad de proyectos de apoyo social para una vida saludable, realizados al año 2020 / Cantidad de proyectos de apoyo social para una  vida saludable, planeados al año 2020)*100</t>
  </si>
  <si>
    <t>3.000 personas mayores beneficiadas de los proyectos de fortalecimiento de las redes al año 2020.</t>
  </si>
  <si>
    <t>(Cantidad de personas que participaron en los proyectos de apoyo social para una vida saludable, realizados en el año 2020 / Cantidad de personas que pertenecen a la población objetivo de los proyectos de apoyo social para una vida saludable en el año 2020)*100</t>
  </si>
  <si>
    <t>60 proyectos de promoción de la salud y prevención de la enfermedad al 2020.</t>
  </si>
  <si>
    <t>(Cantidad de proyectos de promoción en salud (mental, visual, oral y física) y prevención de la enfermedad, realizados al año 2020 / Cantidad de proyectos de promoción en salud (mental, visual, oral y física) y prevención de la enfermedad planeados al año 2020)*100</t>
  </si>
  <si>
    <t>3.000 personas beneficiadas por los proyectos de promoción de la salud y prevención de la enfermedad al año 2020.</t>
  </si>
  <si>
    <t>(Cantidad de personas que participaron en los proyectos de promoción en salud (mental, visual, oral y física) y prevención de la enfermedad, realizados al año 2020 / Cantidad de personas que pertenecen a la población objetivo de los proyectos de promoción en salud (mental, visual, oral y física) y prevención de la enfermedad, al año 2020)*100</t>
  </si>
  <si>
    <t>120 proyectos de promoción de hábitos y estilos de vida para el envejecimiento saludable al año 2020.</t>
  </si>
  <si>
    <t>(Cantidad de proyectos para desarrollar de hábitos para el envejecimiento saludable, realizados al año 2020 / Cantidad de actividades para desarrollar hábitos para el envejecimiento saludable, planeados al año 2020)*100</t>
  </si>
  <si>
    <t>6.000 personas beneficiadas por los proyectos de promoción de hábitos y estilos de vida saludable para el envejecimiento al año 2020.</t>
  </si>
  <si>
    <t>(Cantidad de personas que participaron en los proyectos para desarrollar hábitos para el envejecimiento saludable, realizados al año 2020 / Cantidad de personas que  pertenecen a la población objetivo de los proyectos para desarrollar hábitos para el envejecimiento saludable, al año 2020)*100</t>
  </si>
  <si>
    <t>(Cantidad de proyectos desarrollados para la inclusión y protección social de la persona mayor, realizados durante el año 2020 / Cantidad de proyectos planeados para la inclusión y protección social de la persona mayor al año 2020)*100</t>
  </si>
  <si>
    <t>UNIVERSIDADES, PERSONERÍA, DEFENSORÍA DEL PUEBLO, ORGANIZACIONES DE DDHH, ICBF, COMITÉS DEPARTAMENTAL Y MUNICIPALES DE ATENCIÓN A LA PERSONA MAYOR.</t>
  </si>
  <si>
    <t>12 nodos municipales de la red de prevención y protección contra el maltrato hacia las personas mayores al año 2013.</t>
  </si>
  <si>
    <t>30 organizaciones del departamento orientdas a la promoción y protección contra el maltrato hacen parte de la red al año 2013.</t>
  </si>
  <si>
    <t>30 proyectos de prevención y protección contra el maltrato al año 2020.</t>
  </si>
  <si>
    <t>(Cantidad de personas que participaron en los proyectos desarrollados para la inclusión y protección social de la persona mayor, realizados al año 2020 / Cantidad de personas que pertenecen a la población objetivo de los proyectos desarrollados para la inclusión y protección social de la persona mayor, al año 2020) * 100</t>
  </si>
  <si>
    <t>60 proyectos de promoción de las relaciones intergeneracionales.</t>
  </si>
  <si>
    <t>(Cantidad de proyectos desarrollados enfocados al fortalecimiento de la relaciones intergeneracionales, realizados al año 2020 / Cantidad de proyectos planeados enfocados al fortalecimiento de las relaciones intergeneracionales, al año 2020) * 100</t>
  </si>
  <si>
    <t>12.000 personas beneficiadas de los proyectos de promoción de las relaciones intergeneracionales.</t>
  </si>
  <si>
    <t xml:space="preserve">(Cantidad de personas que participaron en los proyectos enfocados al fortalecimiento de la relaciones intergenei:acionales, realizados al año 2020 / Cantidad de personas que pertenecen a la población objetivo de los proyectos enfocados al fortalecimiento de las relaciones intergeneracionales al año 2020) * 100
</t>
  </si>
  <si>
    <t>50.000 personas mayores beneficiadas de la accesibilidad al equipamiento y la infraestructura de las ciudades al año 2020.</t>
  </si>
  <si>
    <t xml:space="preserve">(Cantidad de metros cuadrados construidos en infraestructura y equipamientos que favorezcan accesibilidad, seguridad y autonomía de las personas mayores, al 2020 / Cantidad de metros cuadrados de infraestructura y equipamientos que favorezcan accesibilidad, seguridad y autonomía de las personas mayores, planeados para al 2020) * 100                         </t>
  </si>
  <si>
    <t>SECRETARÍA DE PLANEACIÓN DEPARTAMENTAL Y MUNICIPAL Y SECRETARÍA DE INFRAESTRUCTURA.</t>
  </si>
  <si>
    <t>60 proyectos orientados a promover la salud pública y el medio ambiente al año 2020.</t>
  </si>
  <si>
    <t>(Cantidad de proyectos enfocados al mejoramiento de la salud pública y el medio ambiente, realizados al 2020 / Cantidad de proyectos enfocados al mejoramiento de la salud pública y el medio ambiente, planeados al año 2020) *100</t>
  </si>
  <si>
    <t xml:space="preserve">SECRETARÍA DE DESARROLLO ECONÓMICO, RURAL Y AMBIENTAL. UMATAS, SENA,
SECRETARÍA DEL INTERIOR Y DESARROLLO SOCIAL, UNIVERSIDADES PÚBLICAS Y PRIVADAS,
INSTITUCIONES EDUCATIVAS ONG'S
</t>
  </si>
  <si>
    <t>3.000 personas beneficiadas por los proyectos orientados a promover la salud pública y el medio ambiente al año 2020)</t>
  </si>
  <si>
    <t>(Cantidad de población participante en los proyectos enfocadas al mejoramiento de la salud pública y el medio ambiente, realizados al año 2020 / Cantidad de personas perteneciente a la población proyectada beneficiar) * 100</t>
  </si>
  <si>
    <t>60 proyectos de protección del agua, la fauna y la flora liderados por personas mayores (Banco de semillas de especies nativas, Abuelos guardabosques, Guías
turísticos (personas mayores), Reforestación de cuencas, Protección y recuperación de nacimientos y fuentes de agua. Rutas eco turísticas para todos) al año 2020.</t>
  </si>
  <si>
    <t>Cantidad de proyectos encaminados a proteger el agua, la flora y la fauna, realizados durante el año 2020 / Cantidad de proyectos encaminados a proteger el agua, la flora y la fauna, planeados para el año 2020)* 100</t>
  </si>
  <si>
    <t>3.000 personas mayores participando de los proyectos de protección del agua, la fauna y la flora al año 2020.</t>
  </si>
  <si>
    <t>(Cantidad de población participante en las actividades encaminadas a proteger el agua, la flora y la fauna, realizadas durante el año 2020 / Cantidad de personas mayores del departamento que se espera participen al año 2020) * 100</t>
  </si>
  <si>
    <t>100 viviendas de personas mayores con mejoramiento para favorecer la accesibilidad.</t>
  </si>
  <si>
    <t>(Cantidad de unidades de vivienda mejoradas de personas mayores, durante el año 2020 / Cantidad de unidades de vivienda planeadas mejorar de personas mayores, durante el año 2020) * 100</t>
  </si>
  <si>
    <t>400 personas mayores beneficiadas por mejoramiento de vivienda en el departamento al año 2020.</t>
  </si>
  <si>
    <t>100% de las personas mayores cubiertos por la seguridad social en salud al 2020.</t>
  </si>
  <si>
    <t>(Cantidad de personas mayores cubiertas en salud al 2010 / Cantidad de personas mayores del departamento al 2020)*100</t>
  </si>
  <si>
    <t>GOBERNACIÓN, ALCALDÍAS MUNICIPALES, SECRETARÍAS DE SALUD, ISSQ,  EPSs.</t>
  </si>
  <si>
    <t>100% de las organizaciones de personas mayores fortalecidas.</t>
  </si>
  <si>
    <t>(Cantidad de organizaciones al 2010 / Cantidad de organizaciones de personas mayores al 2020) *100</t>
  </si>
  <si>
    <t>JUNTAS DE ACCIÓN COMUNAL, JUNTAS ADMINISTRATIVAS LOCALES, ORGANIZACIONES NO GUBERNAMENTALES, GOBERNACIÓN Y ALCALDÍAS, MINISTERIO DEL INTERIOR Y DE JUSTICIA.</t>
  </si>
  <si>
    <t>Creación de 5 nuevas organizaciones por año del 2011 al 2020.</t>
  </si>
  <si>
    <t>(Cantidad de personas que participan en las organizaciones de personas mayores al 2010 / Cantidad de personas mayores que participan en organizaciones de personas mayores al año 2020) *100</t>
  </si>
  <si>
    <t>12.000 personas mayores participando en organizaciones al 2020.</t>
  </si>
  <si>
    <t>12 comités municipales de atención a las personas mayores funcionando al 2013.</t>
  </si>
  <si>
    <t xml:space="preserve">(Cantidad de comités de atención a las personas mayores conformados y/o fortalecidos al año 2020 / Cantidad de comités de atención a las personas mayores planeados al 2020)*100  </t>
  </si>
  <si>
    <t>Un comité departamental de atención a las personas mayores fortalecido a 2013.</t>
  </si>
  <si>
    <t xml:space="preserve">Verificación del cumplimiento y desarrollo al 100% de la politica pública de vejez envejecimiento 2010 - 2020, de acuerdo a los lineamientos establecidos. </t>
  </si>
  <si>
    <t>60 proyectos de animación sociocultural para personas mayores al año 2020.</t>
  </si>
  <si>
    <t xml:space="preserve">INSTITUTOS MUNICIPALES Y DEPARTAMENTALES DE RECREACIÓN Y DEPORTE, UNIVERSIDADES PÚBLICAS Y PRIVADAS, ORGANIZACIONES NO GUBERNAMENTALES. </t>
  </si>
  <si>
    <t>3.000 personas mayores beneficiadas de los proyectos de animación sociocucltural al año 2020.</t>
  </si>
  <si>
    <t>(Cantidad de personas que participaron de los proyectos de animación sociocultural para personas mayores desarrollados al año 2020 / Cantidad de personas mayores que se espera participen de los proyectos de animación sociocultural al año 2020)*100</t>
  </si>
  <si>
    <t>60 proyectos relacionados con el emprendimiento desarrollados al año 2020.</t>
  </si>
  <si>
    <t>(Cantidad de proyectos de emprenderismo, realizados al año 2020 / Cantidad de proyectos de emprenderismo, planeados al año 2020)*100</t>
  </si>
  <si>
    <t>ARTICULAR EL PLAN DE COMPETITIVIDAD DEL QUINDÍO, CÁMARAS DE COMERCIO, UNIVERSIDADES PÚBLICAS Y PRIVADAS, SENA.</t>
  </si>
  <si>
    <t>2.000 personas mayores beneficiadas por los proyectos relacionados con el emprenderismo al año 2020.</t>
  </si>
  <si>
    <t>15 unidades productivas lideradas por personas mayores, funcionando al año 2020.</t>
  </si>
  <si>
    <t>5 cadenas productivas funcionando al año 2020 (productos agropecuarios, reciclaje, productos de aseo manufacturas y artesanías, productos alimenticios)</t>
  </si>
  <si>
    <t>2.000 personas se benefician de las cadenas productivas al año 2020.</t>
  </si>
  <si>
    <t>(Cantidad de personas mayores que participaron de los proyectos de diseño y desarrollo de cadenas productivas, realizados al año 2020 / Cantidad de personas mayores que se espera participen en el Departamento del Quindío al año 2020) * 100</t>
  </si>
  <si>
    <t>5 organizaciones de economía solidaria con personas mayores al año 2020.</t>
  </si>
  <si>
    <t>(Cantidad de organizaciones de economía solidaria con personas mayores, consolidadas al año 2020 / Cantidad de organizaciones de economía solidaria con personas mayores, planeadas para el año 2020) * 100</t>
  </si>
  <si>
    <t>200 personas mayores vinculadas a organizaciones de economía solidaria al año 2020.</t>
  </si>
  <si>
    <t>(Cantidad de personas mayores vinculadas a las organizaciones de economía solidaria, al año 2020 / Cantidad de personas mayores que se espera participen en el Departamento del Quindío, al año 2020) * 100</t>
  </si>
  <si>
    <t>4 estudios o proyectos de investigación en personas mayores y desarrollo al año 2020.</t>
  </si>
  <si>
    <t>(Cantidad de estudios e investigaciones en el área del desarrollo de las personas mayores realizados al año 2020 / Cantidad de estudios e investigaciones en el área del desarrollo de las personas mayores planeados al año 2020) * 100</t>
  </si>
  <si>
    <t>UNIVERSIDADES PÚBLICAS Y PRIVADAS, SECRETARÍAS DE EDUCACIÓN E INSTITUCIONES
EDUCATIVAS, SENA, CAJAS DE COMPENSACIÓN, SECRETARÍAS 'DE GESTIÓN CULTURAL,
MINISTERIO DE CULTURA, ORGANIZACIONES NO GUBERNAMENTALES, COLCIENCIAS,
COOPERACIÓN INTERNACIONAL EN INVESTIGACIÓN, INSTITUTOS Y CENTROS DE INVESTIGACIÓN</t>
  </si>
  <si>
    <t>7 artículos, ponencias, seminarios, presentados en revistas y eventos locales, regionales y nacionales al año 2020.</t>
  </si>
  <si>
    <t>Un grupo de investigación en desarrollo envejecimiento funcionando al año 2020.</t>
  </si>
  <si>
    <t>4 estudios o proyectos de investigación en salud y bienestar de la vejez al año 2020.</t>
  </si>
  <si>
    <t>4 estudios o proyectos de investigación en salud y bienestar en la vejez al año
2020</t>
  </si>
  <si>
    <t>(Cantidad de estudios e investigaciones en el área de salud y bienestar en la vejez realizados al año 2020 / Cantidad de estudios e investigaciones en el área del entorno asistencial y apoyo a las personas mayores, planeados al año 2020)*100</t>
  </si>
  <si>
    <t>7 artículos, ponencias, seminarios presentados en revistas y eventos locales, regionales y nacionales al año 2020</t>
  </si>
  <si>
    <t>4 estudios o proyectos de investigación recuperación de saberes tradicionales de las personas mayores al año 2020.</t>
  </si>
  <si>
    <t>7 artículos, ponencias, seminarios presentados en revistas y eventos locales,
regionales y nacionales al año 2020.</t>
  </si>
  <si>
    <t>(Cantidad de artículos, ponencias, seminarios y otras actividades realizadas con base a los resultados de los estudios e investigaciones, al año 2020 / Cantidad de artículos, ponencias, seminarios y otras actividades planeadas con base a los resultados de los estudios e investigaciones, al año 2020) * 100</t>
  </si>
  <si>
    <t>120 proyectos enfocados a las áreas de desarrollo personal e intelectual a favor del envejecimiento, al año 2020</t>
  </si>
  <si>
    <t>(Cantidad de proyectos educativos enfocados a las áreas de desarrollo personal e intelectual a favor del envejecimiento, realizados al año 2020 / Cantidad de proyectos educativos enfocadas a las áreas de desarrollo personal e intelectual a favor del envejecimiento, planeadas al año 2020) * 100</t>
  </si>
  <si>
    <t>UNIVERSIDADES PÚBLICAS Y PRIVADAS, SECRETARÍAS DE EDUCACIÓN E INSTITUCIONES EDUCATIVAS, SENA, CAJAS DE COMPENSACIÓN.</t>
  </si>
  <si>
    <t xml:space="preserve">10% de la población del departamento beneficiada por estos proyectos al año 2020.
</t>
  </si>
  <si>
    <t>(Cantidad de personas que se benefician de los proyectos educativos del subprogramas desarrollo personal e intelectual a favor del
envejecimiento, al año 2020 / Cantidad de personas de la población objetivo del subprogramas desarrollo personal e intelectual a favor del envejecimiento, al año 2020) * 100</t>
  </si>
  <si>
    <t xml:space="preserve">UNIVERSIDADES PÚBLICAS Y PRIVADAS, SENA, GOBERNACIÓN, ALCALDÍAS. CAJAS DE
COMPENSACIÓN, ORGANIZACIONES NACIONALES E INTERNACIONALES DE GERONTOLOGÍA
</t>
  </si>
  <si>
    <t>20% de las personas mayores del departamento beneficiada por estos proyectos al año 2020.</t>
  </si>
  <si>
    <t>(Cantidad de proyectos enfocados al desarrollo de habilidades ocupacionales en la persona mayor, realizados al año 2020 / Cantidad de proyectos enfocados al desarrollo de habilidades ocupacionales en la persona mayor, planeados al año 2020) * 100</t>
  </si>
  <si>
    <t>(Cantidad de personas que participaron de los proyectos enfocados al desarrollo de habilidades ocupacionales en la persona mayor, al año 2020 / Cantidad de personas de la población objetivo del subprogramas
habilidades ocupacionales en la persona mayor, al año 2020) * 100</t>
  </si>
  <si>
    <t>Una universidad con oferta formativa para personas mayores al año 2020.</t>
  </si>
  <si>
    <t>(Cantidad de universidades que ofertan formación para personas mayores al año 2020 / Cantidad de universidades que se planea ofrezcan formación para personas mayores al año 2020) * 100</t>
  </si>
  <si>
    <t>(Cantidad de personas que participaron de la formación ofrecida por las universidades al año 2020 / Cantidad de personas mayores de la población objetivo de las universidades al año 2020) * 100</t>
  </si>
  <si>
    <t>30 proyectos para desarrollar una comunicación alternativa persona mayor - sociedad - familia al año 2020.</t>
  </si>
  <si>
    <t>(Cantidad de proyectos para desarrollar una comunicación alternativa persona mayor - sociedad - familia, realizados al año 2020 / Cantidad de proyectos para desarrollar una comunicación alternativa persona mayor -
sociedad - familia, planeados, al año 2020) * 100</t>
  </si>
  <si>
    <t xml:space="preserve">50% de la población del departamento se beneficia de los proyectos de comunicación alternativa al año 2020.
</t>
  </si>
  <si>
    <t>(Cantidad de personas que participaron de los proyectos para desarrollar una comunicación alternativa persona mayor - sociedad - familia, al año 2020 / Cantidad de personas de la población objetivo del subprogramas Comunicación alternativa al año 2020) * 100</t>
  </si>
  <si>
    <t>10 campañas en medios masivos de comunicación a favor de una imagen positivade la vejez al año 2020.</t>
  </si>
  <si>
    <t>(Cantidad de campañas direccionadas a la utilización de medios masivos de comunicación, a favor del envejecimiento, realizadas al año 2020 / Cantidad de campañas direccionadas a la utilización de medios masivos de comunicación, a favor del envejecimiento planeadas al año 2020) * 100</t>
  </si>
  <si>
    <t>50% de la población del departamento informada a través de las campañas al año 2020.</t>
  </si>
  <si>
    <t>(Cantidad de personas que participaron de las campanas direccionadas a la utilización de medio de comunicación masivos, al año 2020 / Cantidad de personas de la población objetivo del subprograma medios masivos
para todas las edades, al año 2020) * 100</t>
  </si>
  <si>
    <t>10 proyectos de virtualidad para personas mayores al año 2020.</t>
  </si>
  <si>
    <t>10.000 persona mayores beneficiadas por los proyectos de virtualidad al año 2020.</t>
  </si>
  <si>
    <t>(Cantidad de personas que participaron de los proyectos direccionados a la utilización de la virtualidad por parte de las personas mayores, al año 2020 / Cantidad de personas de la población objetivo del subprograma
virtualidad para las personas mayores) * 100</t>
  </si>
  <si>
    <t>CANTIDAD REPORTADA</t>
  </si>
  <si>
    <t>ACUMULADO</t>
  </si>
  <si>
    <t>PROGRAMADO</t>
  </si>
  <si>
    <t>EJECUTADO</t>
  </si>
  <si>
    <t>EJE</t>
  </si>
  <si>
    <t>LÍNEA PROGRAMATICA</t>
  </si>
  <si>
    <t>Promoción y protección de los derechos humanos.</t>
  </si>
  <si>
    <t>Seguridad social y alimentaria</t>
  </si>
  <si>
    <t>Promoción de los derechos y ejercicio de la ciudadanía</t>
  </si>
  <si>
    <t>Protección legal y cumplimiento de normas.</t>
  </si>
  <si>
    <t>Cuidado, Independencia y autonomía</t>
  </si>
  <si>
    <t>Formación para las capacidades humanas.</t>
  </si>
  <si>
    <t>Estilos de vida saludables</t>
  </si>
  <si>
    <t xml:space="preserve">Accesibilidad del espacio Público </t>
  </si>
  <si>
    <t>Medio Ambiente</t>
  </si>
  <si>
    <t>Vivienda digna y Saludable. Seguridad para sus moradores</t>
  </si>
  <si>
    <t xml:space="preserve">perfil gerontológico de la atención </t>
  </si>
  <si>
    <t>NOMBRE DEL INDICADOR - METAS</t>
  </si>
  <si>
    <t>12 proyectos de capacitación en elimentación saludable para todas las edades a 2020.</t>
  </si>
  <si>
    <t>Fomento de las capacidades de la Familia</t>
  </si>
  <si>
    <t>Familia, Entorno Social y Hábitat</t>
  </si>
  <si>
    <t>6000 personas beneficiadas por los proyectos de prevención y protección contra el maltrato al año 2020</t>
  </si>
  <si>
    <t>Gestión en Atención Integral</t>
  </si>
  <si>
    <t>Participación, Organización, Gestión y Derechos Colectivos</t>
  </si>
  <si>
    <t>Organización, Participación y Cohesión Social</t>
  </si>
  <si>
    <t>Investigación sobre Envejecimiento y Vejez</t>
  </si>
  <si>
    <t>Cultura del Envejecimiento y la Vejez</t>
  </si>
  <si>
    <t>Educación en Envejecimiento y Vejez para Todos</t>
  </si>
  <si>
    <t>Educación Continuada para el Envejecimiento</t>
  </si>
  <si>
    <t>Estrategias de Comunicación</t>
  </si>
  <si>
    <t>Verificación de un 20% de la política pública</t>
  </si>
  <si>
    <t>AJUSTAR META</t>
  </si>
  <si>
    <t>Verificación de un 10% de la política pública</t>
  </si>
  <si>
    <t>Una red departamental de prevención y protección contra el maltrato hacia las personas mayores funcionando al año 2013.</t>
  </si>
  <si>
    <t>ACUMULADO GENERAL A MAYO DE 2017</t>
  </si>
  <si>
    <t>120 proyectos de gerontología ejecutados al ano 2020.</t>
  </si>
  <si>
    <t>COMPROMETER ENTIDADES CON LA META ANUAL AL 2020</t>
  </si>
  <si>
    <t>Total general</t>
  </si>
  <si>
    <t>UNIVERSIDAD</t>
  </si>
  <si>
    <t>SENA</t>
  </si>
  <si>
    <t>RED SALUD</t>
  </si>
  <si>
    <t>PERSONERIA</t>
  </si>
  <si>
    <t>PENSIONADOS</t>
  </si>
  <si>
    <t>ORGANIZACIONES DE BASE</t>
  </si>
  <si>
    <t>ORG DE BASE</t>
  </si>
  <si>
    <t>ONG</t>
  </si>
  <si>
    <t>JAL</t>
  </si>
  <si>
    <t>IMDERA</t>
  </si>
  <si>
    <t>ICBF</t>
  </si>
  <si>
    <t>HOSPITAL</t>
  </si>
  <si>
    <t>GOBERNACIÓN DEL QUINDIO</t>
  </si>
  <si>
    <t>DEFENSORIA</t>
  </si>
  <si>
    <t>COMITÉ CAFETEROS</t>
  </si>
  <si>
    <t>CENTRO VIDA</t>
  </si>
  <si>
    <t>CBA</t>
  </si>
  <si>
    <t>CAMARA DE COMERCIO</t>
  </si>
  <si>
    <t>CABILDO</t>
  </si>
  <si>
    <t>ASOCIACIÓN</t>
  </si>
  <si>
    <t>ALCALDIA</t>
  </si>
  <si>
    <t>Total</t>
  </si>
  <si>
    <t>INSTITUCIÓN</t>
  </si>
  <si>
    <t>Cuenta de RESPUESTA SI/NO</t>
  </si>
  <si>
    <t>Cuenta de INSTITUCIÓN</t>
  </si>
  <si>
    <t>RESPUESTA SI/NO</t>
  </si>
  <si>
    <t>SI</t>
  </si>
  <si>
    <t>Adjunto matriz en excel con la información solicitada</t>
  </si>
  <si>
    <t>Universidad del Quindío</t>
  </si>
  <si>
    <t>ARMENIA</t>
  </si>
  <si>
    <t>EAM</t>
  </si>
  <si>
    <t>Envio en oficio el link para revisar programas en formación para adultos mayores http:/sirecec2.esap.edu.co/direccion-territorial-risaralda/risaralda-departamento-capacitacion</t>
  </si>
  <si>
    <t>Escuela Superior de Administración Pública</t>
  </si>
  <si>
    <t>No ejecuta programas dirigidos a los adultos mayores, realiza intervención a través de practica formatica en CBA y CV</t>
  </si>
  <si>
    <t>Universidad Antonio Nariño</t>
  </si>
  <si>
    <t>NO</t>
  </si>
  <si>
    <t>SIN RESPUESTA</t>
  </si>
  <si>
    <t>SALENTO</t>
  </si>
  <si>
    <t>PIJAO</t>
  </si>
  <si>
    <t>MONTENEGRO</t>
  </si>
  <si>
    <t>FILANDIA</t>
  </si>
  <si>
    <t>Personeria Municipal</t>
  </si>
  <si>
    <t>GENOVA</t>
  </si>
  <si>
    <t>CALARCA</t>
  </si>
  <si>
    <t>BUENAVISTA</t>
  </si>
  <si>
    <t>LA TEBAIDA</t>
  </si>
  <si>
    <t>CORDOBA</t>
  </si>
  <si>
    <t>No ejecuta programas dirigidos a los adultos mayores, espera los inviten a socializar la Politica Pública</t>
  </si>
  <si>
    <t>CIRCASIA</t>
  </si>
  <si>
    <t>QUIMBAYA</t>
  </si>
  <si>
    <t>No ejecuta programas dirigidos a los adultos mayores, espera los inviten a participar de todas las actividades que realiza la gobernación en pro del adulto mayor. Requiere aclaración en algunos subprogramas</t>
  </si>
  <si>
    <t>ASJUPEDEQUIN</t>
  </si>
  <si>
    <t>ANA JULIA FLOREZ RAMIREZ</t>
  </si>
  <si>
    <t>QUINDÍO</t>
  </si>
  <si>
    <t>No ejecuta programas dirigidos a los adultos mayores, solicito apoyo con actividades</t>
  </si>
  <si>
    <t>COMFENALCO</t>
  </si>
  <si>
    <t>COMUNA 9</t>
  </si>
  <si>
    <t>COMUNA 8</t>
  </si>
  <si>
    <t>CAIMO</t>
  </si>
  <si>
    <t>COMUNA 2</t>
  </si>
  <si>
    <t>COMUNA 5</t>
  </si>
  <si>
    <t>COMUNA 7</t>
  </si>
  <si>
    <t>COMUNA 10</t>
  </si>
  <si>
    <t>COMUNA 6</t>
  </si>
  <si>
    <t>COMUNA 4</t>
  </si>
  <si>
    <t>COMUNA 3</t>
  </si>
  <si>
    <t>COMUNA 1</t>
  </si>
  <si>
    <t>NO son competencia por ser entidad de alta complejidad y no participan del PIC</t>
  </si>
  <si>
    <t>Hospital San Juan de Dios</t>
  </si>
  <si>
    <t>Secretaria de Familia</t>
  </si>
  <si>
    <t>Agricultura Desarrollo Rural y Medio Ambiente</t>
  </si>
  <si>
    <t>Cultura</t>
  </si>
  <si>
    <t>Interior</t>
  </si>
  <si>
    <t>Planeación</t>
  </si>
  <si>
    <t>Secretaria de Aguas e Infraestructura</t>
  </si>
  <si>
    <t>Salud Departamental</t>
  </si>
  <si>
    <t>INDEPORTES</t>
  </si>
  <si>
    <t>Secretaria de Educación Departamental</t>
  </si>
  <si>
    <t>Envio oficio manifestando que como Ministerio Público no ejecuta la Política Pública</t>
  </si>
  <si>
    <t>Defensoeria del Pueblo</t>
  </si>
  <si>
    <t>Huellas de Amor y Fe</t>
  </si>
  <si>
    <t>HERNAN MEJIA</t>
  </si>
  <si>
    <t>Fundación Villa Quindío</t>
  </si>
  <si>
    <t>Fundación Renacer Plenitud de Vida</t>
  </si>
  <si>
    <t>Fundación Hala- Ken</t>
  </si>
  <si>
    <t>Fundación Quindiana de Atención Integral</t>
  </si>
  <si>
    <t>Fundación Miguel Pinedo Barrios</t>
  </si>
  <si>
    <t>Fundación Shambala</t>
  </si>
  <si>
    <t>Hogar</t>
  </si>
  <si>
    <t>Los Abuelos Tarapaca</t>
  </si>
  <si>
    <t>Luis Horacio Gil</t>
  </si>
  <si>
    <t>Niño Jesusde Praga</t>
  </si>
  <si>
    <t>Alberto Londoo Alzate</t>
  </si>
  <si>
    <t>AQUISEBA- El Buen Jesus</t>
  </si>
  <si>
    <t>AQUISEBA- Centro Gerontólogico eL Eden</t>
  </si>
  <si>
    <t xml:space="preserve">Hogar del Anciano  </t>
  </si>
  <si>
    <t>Hogar del Anciano Arcesio Aristizabal Gomez</t>
  </si>
  <si>
    <t>Hogar Monseñor Jesus Martinez Vargas</t>
  </si>
  <si>
    <t>Hogar Sagrada Familia de Filandia</t>
  </si>
  <si>
    <t>Gerontólogos</t>
  </si>
  <si>
    <t>Adjunto matriz en excel con la información solicitada, solo con las actividades de ocio y tiempo libre</t>
  </si>
  <si>
    <t>Plan Local de Salud</t>
  </si>
  <si>
    <t>Alcaldia Municipal</t>
  </si>
  <si>
    <t>Secretaria de Servicio Social</t>
  </si>
  <si>
    <t>Secretaria de Servicios Sociales y de Salud</t>
  </si>
  <si>
    <t>Enlace adulto Mayor</t>
  </si>
  <si>
    <t>Oficina Asesora Planeación Municipal- Coor</t>
  </si>
  <si>
    <t>Secretaria de Asuntos Sociales</t>
  </si>
  <si>
    <t>Envio a través  de oficio el plan de acción de la Secretaria de Dllo Social, no envio matriz de seguimiento a Politica Publica Departamental, envios parciales de las secretaria educacion, umata, social, Salud</t>
  </si>
  <si>
    <t>Secretaria de Desarrollo Social Alcaldia de Armenia</t>
  </si>
  <si>
    <t>OBSERVACIÓN</t>
  </si>
  <si>
    <t>ENTIDAD</t>
  </si>
  <si>
    <t>MUNICIPIO</t>
  </si>
  <si>
    <t>RESPUESTA DE ENTIDADES</t>
  </si>
  <si>
    <t>RANGO</t>
  </si>
  <si>
    <t>CANTIDAD</t>
  </si>
  <si>
    <t>(Todas)</t>
  </si>
  <si>
    <t>PROGRAMACIÓN ECONOMICA 2016</t>
  </si>
  <si>
    <t>PROGRAMACIÓN ECONÓMICA 2017</t>
  </si>
  <si>
    <t>RECURSO PROGRAMADO</t>
  </si>
  <si>
    <t>RECURSO EJECUTADO</t>
  </si>
  <si>
    <t>PORCETAJE DE AVANCE</t>
  </si>
  <si>
    <t>RECURSO EJECUTADO A PRIMER TRIMESTRE</t>
  </si>
  <si>
    <t>(Cantidad de personas que participaron de los proyectos de gerontología, al año 2020 / Cantidad de personas de lia población objetivo del subprogramas gerontología, al año 2020) * 100</t>
  </si>
  <si>
    <t>120 proyectos sobre habilidades ocupacionales en las personas mayores al año 2020.</t>
  </si>
  <si>
    <t>1000 personas mayores beneficiados por la oferta foramativa de la universidad al año 2020</t>
  </si>
  <si>
    <t>I SEGUIMIENTO</t>
  </si>
  <si>
    <t>II SEGUIMIENTO</t>
  </si>
  <si>
    <t>No tienen proyectos relacionado con la politica publica</t>
  </si>
  <si>
    <t>POLICÍA CÍVICA, INSTITUCIONES EDUCATIVAS, UNIVERSIDADES PÚBLICAS Y PRIVADAS, SECRETARÍAS DE EDUCACIÓN MUNICIPALES Y DEPARTAMENTALES, PERSONERÍAS, DEFENSORÍA DEL PUEBLO, ORGANIZACIONES DE DDHH, COMITÉS DEPARTAMENTAL Y MUNICIPALES DE ATENCIÓN A LA PERSONA MAYOR, SECRETARÍA DE SALUD, SECRETARÍA DEL INTERIOR Y DESARROLLO SOCIAL, DECRETARÍA DE GOBIERNO, ISSQ, PERSONERÍAS ESTUDIANTILES, REPRESENTANTE DE ORGANIZACIONES DE BASE, JAC, JAL, REGISTRADURÍA NACIONAL, CONSEJO DEPARTAMENTAL DE JUVENTUD, CONSEJOS MUNICIPALES DE JUVENTUD, CONFEDERACIÓN DE MUNICIPIOS. JAC</t>
  </si>
  <si>
    <t>Rango</t>
  </si>
  <si>
    <t>Cantidad</t>
  </si>
  <si>
    <t>0-51%</t>
  </si>
  <si>
    <t>55-100%</t>
  </si>
  <si>
    <t>Más del 101%</t>
  </si>
  <si>
    <t>0-50%</t>
  </si>
  <si>
    <t>51-100%</t>
  </si>
  <si>
    <t>Al 100%</t>
  </si>
  <si>
    <t>0-40%</t>
  </si>
  <si>
    <t>12 proyectos de capacitación en alimentación saludable para todas las edades a 2020.</t>
  </si>
  <si>
    <t>Envio a traves de correos cada secretraia que daba respuesta</t>
  </si>
  <si>
    <t>septiembre</t>
  </si>
  <si>
    <t>Solo brindo información de secretaria de asuntos sociales</t>
  </si>
  <si>
    <t>Solo brindo información de Plan Local de Salud</t>
  </si>
  <si>
    <t>Brindo información de todas las entidades</t>
  </si>
  <si>
    <t>Secretaria de Gobierno</t>
  </si>
  <si>
    <t>agosto</t>
  </si>
  <si>
    <t>brindo información</t>
  </si>
  <si>
    <t>Octubre</t>
  </si>
  <si>
    <t>Reporto en Manipulación de alimentos, transformacion de alimentos y actividad física</t>
  </si>
  <si>
    <t>0-39%</t>
  </si>
  <si>
    <t>Alcaldía de Armenia Secretaría de Educación municipal, Alcaldía de Salento Secretaría de Educación Municipal</t>
  </si>
  <si>
    <t>Alcaldía de Armenia, Secretaría de Salud Municipal, Alcaldía de Circasia, Plan local de salud, Alcaldía e Córdoba plan local de Salud, Alcaldía de Salento instituto municipal de deporte</t>
  </si>
  <si>
    <t>OBSERVACIONES SEGUIMIENTO SEP/17</t>
  </si>
  <si>
    <t>Total Acciones desde 2010 al 2017</t>
  </si>
  <si>
    <t>ACUMULADO GENERAL A DICIEMBRE DE 2017</t>
  </si>
  <si>
    <t>40-59%</t>
  </si>
  <si>
    <t>60- 69%</t>
  </si>
  <si>
    <t>70-79%</t>
  </si>
  <si>
    <t>80% mas</t>
  </si>
  <si>
    <t xml:space="preserve">ARMONIZACIÓN PLAN DE DESARROLLO </t>
  </si>
  <si>
    <t xml:space="preserve">PROGRAMA </t>
  </si>
  <si>
    <t>SUBPROGRAMA</t>
  </si>
  <si>
    <t>META</t>
  </si>
  <si>
    <t>Alcaldía de Armenia, Córdoba, Secretaría de Infraestructura Municipal</t>
  </si>
  <si>
    <t>PROGRAMACIÓN ECONÓMICA 2018</t>
  </si>
  <si>
    <t>Alcaldía de Córdoba Umata, Alcaldía de Génova Umata, Alcaldía de Salento Umata, alcaldía de Calarcá</t>
  </si>
  <si>
    <t>4 estudios o proyectos de investigación en entorno asistencial y apoyo social a las personas mayores al año
2020</t>
  </si>
  <si>
    <t>1000 personas mayores beneficiados por la oferta formativa de la universidad al año 2020</t>
  </si>
  <si>
    <t>POLÍTICA PÚBLICA DEPARTAMENTAL DE ENVEJECIMIENTO Y VEJEZ: UN QUINDIO PARA TODAS LAS EDADES 2010-2020”</t>
  </si>
  <si>
    <t>EJES ESTRATÉGICOS</t>
  </si>
  <si>
    <t>INDICADORES</t>
  </si>
  <si>
    <t xml:space="preserve">RESPONSABLES </t>
  </si>
  <si>
    <t>TOTAL</t>
  </si>
  <si>
    <t>UNIVERSIDADES PÚBLICAS Y PRIVADAS, SECRETARÍAS DE EDUCACIÓN DEPARTAMENTAL, ICBF, SECRETARÍAS DE EDUCACIÓN MUNICIPALES, SENA, CAJAS DE COMPENSACIÓN, INSTITUTOS DE EDUCACIÓN NO FORMAL, INSTITUCIONES EDUCATIVAS,ISSQ, SECRETARÍA DE SALUD, RED SALUD, ESEs, EPS, IPS, HOSPITALES, CBA, CENTROS DÍA, HOGARES DE PASO, CENTROS VIDA, ARSs, MIN PROTECCIÓN SOCIAL,  COMITÉ CAFETEROS. PLANES LOCALES DE SALUD, SECRETARÍAS DE SALUD, INDEPORTES, SECRETARÍA DEL INTERIOR Y DESARROLLO SOCIAL, IMDERA, IMDERCA, ICBF,  RED SALUD, CAJAS DE COMPENSACI´N FAMILIAR, REGIMENES ESPECIALES</t>
  </si>
  <si>
    <t>UNIVERSIDADES, PERSONERÍA, DEFENSORÍA DEL PUEBLO, ORGANIZACIONES DE DDHH, ICBF, COMITÉS DEPARTAMENTAL Y MUNICIPALES DE ATENCIÓN A LA PERSONA MAYOR,SECRETARÍA DE PLANEACIÓN DEPARTAMENTAL Y MUNICIPAL Y SECRETARÍA DE INFRAESTRUCTURA,SECRETARÍA DE DESARROLLO ECONÓMICO, RURAL Y AMBIENTAL. UMATAS, SENA,
SECRETARÍA DEL INTERIOR Y DESARROLLO SOCIAL, UNIVERSIDADES PÚBLICAS Y PRIVADAS,
INSTITUCIONES EDUCATIVAS ONG'S</t>
  </si>
  <si>
    <t xml:space="preserve">UNIVERSIDADES PÚBLICAS Y PRIVADAS, SENA, GOBERNACIÓN, ALCALDÍAS. CAJAS DE COMPENSACION,CRETARÍAS DE EDUCACIÓN E INSTITUCIONES EDUCATIVAS, </t>
  </si>
  <si>
    <t xml:space="preserve">TOTAL DE INDICADORES </t>
  </si>
  <si>
    <t>SENA, UMATA, SECRETARÍA DE DESARROLLO ECONÓMICO, URBANA Y RURAL, UNIVERSIDADES PÚBLICAS Y PRIVADAS, SECRETARÍA DEL INTERIOR Y DESARROLLO SOCIAL Y POLÍTICO, ISS, ICBF, ONG, MINISTERIO DE LA PROTECCIÓN SOCIAL.UNIVERSIDADES, SECRETARÍAS DE EDUCACIÓN, INDEPORTES, SECRETARÍA DEL INTERIOR, CAJAS DE COMPENSACIÓN FAMILIAR, SECRETARÍAS DE DESARROLLO MUNICIPALES, INSTITUTOS MUNICIPALES PARA LA RECREACIÓN Y EL DEPORTE, SECRETARÍA DE CULTURA, POLICÍA CÍVICA, INSTITUCIONES EDUCATIVAS,  PERSONERÍAS, DEFENSORÍA DEL PUEBLO, ORGANIZACIONES DE DDHH, COMITÉS DEPARTAMENTAL Y MUNICIPALES DE ATENCIÓN A LA PERSONA MAYOR, SECRETARÍA DE SALUD,  SECRETARÍA DE GOBIERNO, ISSQ, PERSONERÍAS ESTUDIANTILES, REPRESENTANTE DE ORGANIZACIONES DE BASE, JAC, JAL, REGISTRADURÍA NACIONAL, CONSEJO DEPARTAMENTAL DE JUVENTUD, CONSEJOS MUNICIPALES DE JUVENTUD, CONFEDERACIÓN DE MUNICIPIOS. JAC</t>
  </si>
  <si>
    <t>DIFICULTAD/ACCIONES</t>
  </si>
  <si>
    <t>Sin reportes efectivos de estas capacitaciones/ Preguntar de nuevo a todas las entidades de educación formal que ofrezcan este servicio y sino lo tienen generar la necesidad</t>
  </si>
  <si>
    <t>Sin oferta/ Solicitar a las secretarías y entidades enfocar esfuerzos en el tema de la productividad para el adulto mayor</t>
  </si>
  <si>
    <t>Se esta mejorando el medio de comunicación entre universidades y seguimiento a la Política para reportar sus aportes a los indicadores</t>
  </si>
  <si>
    <t>Secretaría de Salud Departamental no ha rendido informe desde el 2016/ Seguir solicitando información y que la institución delegue en un funcionario este reporte</t>
  </si>
  <si>
    <t>Validar si se aplica a los grupos de adulto mayor</t>
  </si>
  <si>
    <t>Mejorar reportes de Institutos municipales y departamental, encargados de la recreación</t>
  </si>
  <si>
    <t>Total Acciones desde 2010 al 2019</t>
  </si>
  <si>
    <t>ACUMULADO GENERAL A DICIEMBRE DE 2019</t>
  </si>
  <si>
    <t>PROGRAMACIÓN ECONÓMICA 2019</t>
  </si>
  <si>
    <t>DONDE SE EJECUTARÓN</t>
  </si>
  <si>
    <t>Alcaldía de Buenavista</t>
  </si>
  <si>
    <t>Alcaldía de Buenavista, Salento</t>
  </si>
  <si>
    <t>Alcaldía de Salento</t>
  </si>
  <si>
    <t>Alcaldía de Salento, Secretaría de Familia</t>
  </si>
  <si>
    <t>Alcaldía de Salento, Calarcá</t>
  </si>
  <si>
    <t>Alcaldía de Buenavista, circasia</t>
  </si>
  <si>
    <t>Alcaldía de Filandia</t>
  </si>
  <si>
    <t>Alcaldía de Buenavista, Salento, Filandia</t>
  </si>
  <si>
    <t>Alcaldía de Salento, Córdoba, Calarcá, Circasia, Filandia</t>
  </si>
  <si>
    <t>Alcaldía de Buenavista, Córdoba, Calarcá, Circasia, Filandia</t>
  </si>
  <si>
    <t>Alcaldía de Circasia, Filandia, Génova</t>
  </si>
  <si>
    <t>Secretaría de Familia</t>
  </si>
  <si>
    <t>Uni Quindío</t>
  </si>
  <si>
    <t>Alcaldía de Calarcá</t>
  </si>
  <si>
    <t>Alcaldía de Armenia Secretaría de Educación municipal, Alcaldía de Salento Secretaría de Educación Municipal, Secretaría de Educación Departamental</t>
  </si>
  <si>
    <t>Secretaría de Salud Departamental</t>
  </si>
  <si>
    <t>Alcaldías Municipales</t>
  </si>
  <si>
    <t>Alcaldía de Calarcá, Salento</t>
  </si>
  <si>
    <t>Alcaldía de Buenavista, Córdoba, Circasia, Filandia, Secretaría de Familia</t>
  </si>
  <si>
    <t>Alcaldía de Salento, Filandia, Circasia</t>
  </si>
  <si>
    <t>Alcaldía de Salento, Circasia</t>
  </si>
  <si>
    <t>META 2019 (FÍSICA)</t>
  </si>
  <si>
    <t>Alcaldía de Salento, Buenavista</t>
  </si>
  <si>
    <t>Alcaldía de Buenavista, Salento, Córdoba, Calarcá, Armenia, Circasia, Filandia, Quimbaya, Secretaría Departamental de Agricultura</t>
  </si>
  <si>
    <t>Alcaldía de Filandia, Quimbaya, Secretaría Departamental de Agricultura</t>
  </si>
  <si>
    <t>Alcaldía de Córdoba, Quimbaya</t>
  </si>
  <si>
    <t>Alcaldía de Córdoba, Filandia, Quimbaya, Secretaría Departamental de Agricultura</t>
  </si>
  <si>
    <t>Alcaldía de Salento, Filandia, Quimbaya</t>
  </si>
  <si>
    <t>Alcaldía de Buenavista, Salento, Calarcá, Armenia, Circasia, Filandia, Quimbaya</t>
  </si>
  <si>
    <t>Alcaldía de Salento, Calarcá, Armenia,  Circasia, Quimbaya, Personería de Salento, Secretaría del Interior</t>
  </si>
  <si>
    <t>Alcaldía de Buenavista, Salento, Quimbaya</t>
  </si>
  <si>
    <t>Alcaldía de Salento, Quimbaya, Secretaría de Familia, Secretaría del Interior</t>
  </si>
  <si>
    <t>Alcaldía de Filandia, Quimbaya, Secretaría de Familia</t>
  </si>
  <si>
    <t>Alcaldía de Buenavista, Salento, Córdoba, Calarcá, Armenia, Circasia, Filandia, Quimbaya</t>
  </si>
  <si>
    <t>Alcaldía de Salento, Filandia, Buenavista, Secretaría de Familia- Dirección de Adulto Mayor y Discapacidad</t>
  </si>
  <si>
    <t>CRQ</t>
  </si>
  <si>
    <t>Alcaldía de Buenavista, Salento, Armenia, Circasia, Quimbaya, Registraduria Nacional</t>
  </si>
  <si>
    <t xml:space="preserve">Alcaldía de Salento, Circasia, Buenavista, Córdoba, Filandia </t>
  </si>
  <si>
    <t>Secretaría de Agricultura, alcaldía de Córdoba, Filandia</t>
  </si>
  <si>
    <t>CRITICO</t>
  </si>
  <si>
    <t>BAJO</t>
  </si>
  <si>
    <t>MEDIO</t>
  </si>
  <si>
    <t>SATISFACTORIO</t>
  </si>
  <si>
    <t>SOBRESALIENTE</t>
  </si>
  <si>
    <t>Alcaldía de Córdoba Umata, Alcaldía de Génova Umata, Alcaldía de Salento Umata, SENA</t>
  </si>
  <si>
    <t>Alcaldía de Génova, Salento, Filandia,  Circasia, Buenavista, Córdoba, Secretaría de Agricultura, Alcaldía Armenia (sin cifra de recurso programado)</t>
  </si>
  <si>
    <t>200 proyectos de producción pecuaria ejecutados al año 2020.</t>
  </si>
  <si>
    <t>(Cantidad proyectos de producción pecuaria desarrollados al año 2020 / Cantidad de proyectos de producción pecuaria a establecer al año 2020)*100</t>
  </si>
  <si>
    <t>3000 personas capacitadas en transformación y conservación de alimentos</t>
  </si>
  <si>
    <t xml:space="preserve">(Cantidad de visitas al año 2020 / Cantidad de visitas planeadas al año 2020) *100 </t>
  </si>
  <si>
    <t>(Cantidad de proyectos enfocados al tiempo libre, ocio, recreación y turismo para el envejecimiento activo desarrollados al año 2020 / Cantidad de proyectos enfocados al tiempo libre, ocio, recreación y turismo para el envejecimiento activo planeados al año 2020)*100</t>
  </si>
  <si>
    <t>Secretaria de Cultura Departamental, Alcaldía de Armenia, Secretaría de Educación Municipal, Alcaldía de Córdoba Secretaría de Gobierno municipal, Alcaldía de Génova Instituto municipal de Deporte, Alcaldía de Quimbaya Secretaría de Desarrollo Social, Alcaldía de Salento Secretaría de Educación Municipal y Secretaría de Desarrollo municipal, Alcaldía de Calarcá, Secretaría de Familia, CRQ</t>
  </si>
  <si>
    <t>Secretaria de Cultura Departamental, Alcaldía de Armenia, Secretaría de Educación Municipal, Alcaldía de Córdoba Secretaría de Gobierno municipal, Alcaldía de Génova Instituto municipal de Deporte, Alcaldía de Quimbaya Secretaría de Desarrollo Social, Alcaldía de Salento Secretaría de Educación Municipal y Secretaría de Desarrollo municipal, Alcaldía de Calarcá</t>
  </si>
  <si>
    <t>Alcaldía de Génova, Salento, Circasia, Buenavista, Córdoba,  Indeportes (sin presupuesto), Secretaría de Familia- Dirección de Adulto Mayor y Discapacidad, Alcaldía de Calarcá, Filandia</t>
  </si>
  <si>
    <t>Mejorar reportes de Institutos municipales y departamental, encargados de la recreación/ Solicitar a la Secretaría de Turismo reporte a pesar que no hace parte de los actores</t>
  </si>
  <si>
    <t>Alcaldía de Génova, Salento, Filandia, Circasia, Buenavista, Córdoba, Calarcá</t>
  </si>
  <si>
    <t>(Cantidad de personas que participaron de los proyectos culturales durante el año 2020 / Cantidad de personas objetivo de los proyectos culturales planeados al año 2020)*100</t>
  </si>
  <si>
    <t>Gobernación del Quindío, Alcaldía de Calarcá, CRQ</t>
  </si>
  <si>
    <t>Se puede contar con empresas y/o entidades  que cuenten con los programas, pero no reportan la información/ Se hará de manera individual la consulta a través de oficios</t>
  </si>
  <si>
    <t>Uni Quindío, DIAN</t>
  </si>
  <si>
    <t>Alcaldía de Génova Secretaría de Gobierno municipal, Alcaldía de Quimbaya Comité de Adulto Mayor, Alcaldía de Salento Secretaría de Educación, comité de adulto mayor municipal, Personería de Quimbaya, Personería de Génova, Personería de La Tebaida</t>
  </si>
  <si>
    <t>Alcaldía de Salento, Circasia, Secretaría de Familia- Jefatura de Juventud, Alcaldía de Calarcá</t>
  </si>
  <si>
    <t xml:space="preserve">(Cantidad de personas beneficiadas con los proyectos desarrollados en la defensa y protección de los DDHH para todas las edades durante el año 2020 / Cantidad de personas que pertenecen a la población objetivo de los proyectos de defensa y protección de los DDHH para todas las edades al año 2020)*100 </t>
  </si>
  <si>
    <t>Reportes de capacitaciones en DDHH, pero sin cifras de población impactada/Mejorar el registro</t>
  </si>
  <si>
    <t>(Cantidad de proyectos desarrollados enfocados a la cultura ciudadana para todas las edades al año 2020 / Cantidad de proyectos planeados enfocados a la cultura ciudadana para todas las edades al año 2020)*100</t>
  </si>
  <si>
    <t>(Cantidad de personas beneficiadas con los proyectos desarrollados enfocados a la cultura ciudadana para todas las edades al año 2020 / Cantidad de personas que pertenecen a la población objetivo de los proyectos enfocados a la cultura ciudadana para todas las edades al año 2020)*100</t>
  </si>
  <si>
    <t>Alcaldía de Génova Secretaría de Gobierno municipal, Personería de Quimbaya, Personería de Génova, Personería de La Tebaida</t>
  </si>
  <si>
    <t>Salento, Génova, Circasia, Buenavista, Calarcá</t>
  </si>
  <si>
    <t>Personas mayores participando en grupos de adultos mayores se tiene un  aprox 7000, cumplir con 6000 veedores no es posible, revisar de todas las veedurías cuantos adultos mayores son veedores</t>
  </si>
  <si>
    <t>El número planteado en la Política Pública es muy alto/ aceptar como veedores todos los adultos mayores de los grupos o capacitar a los grupos en vigilancia y control y así cumplir con la meta</t>
  </si>
  <si>
    <t>Para este año se tuvo en cuenta todas las instituciones que reportaron vigilancia y control sobre estas entidades</t>
  </si>
  <si>
    <t>Alcaldía de Buenavista, Alcaldía de Calarcá, Secretaria de Familia Gobernación del Quindío</t>
  </si>
  <si>
    <t>(Cantidad de acciones de mejora emprendidas con base en los informes de procesos de monitoreo realizados a instituciones y programas dirigidos a las personas mayores al año 2020 / Cantidad de observaciones presentadas informes de procesos de monitoreo realizados a instituciones y programas dirigidos a las personas mayores al año 2020) *100</t>
  </si>
  <si>
    <t>De acuerdo a situaciones encontradas la instituciones reportan seguimientos</t>
  </si>
  <si>
    <t>Desinterés de los A.M/ Llevar oferta de alfabetización a los grupos</t>
  </si>
  <si>
    <t>Alcaldía de Buenavista, Calarcá (sin recursos)</t>
  </si>
  <si>
    <t>Proyectos enfocados en Asociatividad y sin recursos/Mejorar las ofertas enfocadas a los adultos mayores</t>
  </si>
  <si>
    <t>Entidades de Protección en el Quindío prestando servicios integrales</t>
  </si>
  <si>
    <t>uni Quindío</t>
  </si>
  <si>
    <t xml:space="preserve">Uni Quindío, preguntar si el programa como tal o el número de egresados </t>
  </si>
  <si>
    <t>Las cifras que reportan las entidades (SENA, UNIVERSIDADES) son muy pequeñas frente a este tema, se solicitó de nuevo la información y adicional a cada universidad que presta formación en áreas de la salud.</t>
  </si>
  <si>
    <t>6.000 profesionales técnicos y cuidadores formados en gerontología básica al año 2020.</t>
  </si>
  <si>
    <t>Alcaldía de Buenavista, Calarcá, Circasia, Filandia, Secretaría de Familia</t>
  </si>
  <si>
    <t>Alcaldía de Génova, Salento, Filandia, Buenavista, Córdoba, Armenia (No hay información de presupuesto), Alcaldía de Calarcá</t>
  </si>
  <si>
    <t xml:space="preserve">(Cantidad de proyectos de capacitación en alimentación saludable para todas las edades, realizados al laño 2020 / Cantidad de proyectos de capacitación en alimentación saludable para todas las edades, planeados al año 2020)*100 </t>
  </si>
  <si>
    <t>Alcaldía de Génova, Salento, Filandia, Circasia, Córdoba, Armenia ((No hay información de presupuesto), Alcaldía de Calarcá</t>
  </si>
  <si>
    <t>(Cantidad de personas que participaron en los proyectos de capacitación en alimentación saludable para todas las edades, realizados al año 2020 / Cantidad de personas que pertenecen a la población objetivo de los proyectos de capacitación en alimentación saludable para todas las edades en el año 2020)*100</t>
  </si>
  <si>
    <t>Alcaldía de Buenavista, Salento, Córdoba, Armenia, Circasia, Filandia, Secretaría de Familia</t>
  </si>
  <si>
    <t>Alcaldía de Córdoba  comité de atención al adulto mayor, Alcaldía de Salento Comité de adulto mayor municipal, Personería de La tebaida</t>
  </si>
  <si>
    <t>Alcaldías reportan que a través de los comités de adulto mayor se trata este tema/ formalizar en cada municipio un nodo</t>
  </si>
  <si>
    <t>30 organizaciones del departamento orientadas a la promoción y protección contra el maltrato hacen parte de la red al año 2013.</t>
  </si>
  <si>
    <t>(Cantidad de organizaciones participando en la red al 2020 / Cantidad de organizaciones que trabajan en prevención y protección contra el maltrato en el departamento del Quindío al 2020)*100</t>
  </si>
  <si>
    <t>Alcaldía de Salento, alcaldía de Armenia (realizo intervención de vía pero sin cifra de personas beneficiadas), Alcaldía de Calarcá.</t>
  </si>
  <si>
    <t>(Cantidad de personas beneficiadas con el mejoramiento de vivienda de personas mayores, durante el año 2020 / Cantidad de Personas de la población objetivo del subprograma de mejoramiento de vivienda en el Departamento del Quindío al año 2020) * 100</t>
  </si>
  <si>
    <t xml:space="preserve">Verificación del cumplimiento y desarrollo al 100% de la política pública de vejez envejecimiento 2010 - 2020, de acuerdo a los lineamientos establecidos. </t>
  </si>
  <si>
    <t>(Cantidad de proyectos de animación sociocultural para personas mayores desarrollados al año 2020 / Cantidad de proyectos de animación sociocultural al año 2020)*100</t>
  </si>
  <si>
    <t>3.000 personas mayores beneficiadas de los proyectos de animación sociocultural al año 2020.</t>
  </si>
  <si>
    <t>(Cantidad de personas mayores que participaron de los proyectos de emprenderismo realizados al año 2020 / Cantidad de personas de la población objetivo del subprograma personas mayores emprendedoras al año 2020)*100</t>
  </si>
  <si>
    <t>(Cantidad de proyectos relacionados con el diseño y desarrollo de cadenas productivas con personas mayores, realizados al ano 2020 / Cantidad de proyectos relacionados con el diseño y desarrollo de cadenas productivas con personas mayores planeados al ano 2020) * 100</t>
  </si>
  <si>
    <t xml:space="preserve">Entidades sin recurso/se oficio consultando a todas las universidades, reunión de compromisos para aportar a la meta </t>
  </si>
  <si>
    <t>(Cantidad de estudios e investigaciones en el área de recuperación de saberes tradicionales de las personas mayores realizados al año 2020 / Cantidad de estudios e investigaciones en el área de recuperación de saberes tradicionales de las personas mayores planeados al-año 2020) * 100</t>
  </si>
  <si>
    <t>120 proyectos de gerontología ejecutados al año 2020.</t>
  </si>
  <si>
    <t>(Cantidad de proyectos de gerontología, realizados al año 2020 / Cantidad de proyectos de gerontología, planeadas al año 2020) * 100</t>
  </si>
  <si>
    <t>cifra sin reportar/Revisar con SENA, UNIVERSIDADES, ALCALDIAS en formación que genere potencialidades y capacidades en la persona mayor</t>
  </si>
  <si>
    <t>uni Quindío, Antonio Nariño</t>
  </si>
  <si>
    <t>Adultos mayores no acceden a nivel profesional/ Validar también el nivel técnico y tecnológico</t>
  </si>
  <si>
    <t xml:space="preserve">No reportan cifras/Se desarrollo mesa de trabajo con actores, a la espera de las cifras y compromiso de varios en hacer para el segundo semestre mas campañas        Reportaron: Génova, Calarcá                                                </t>
  </si>
  <si>
    <t>10 campañas en medios masivos de comunicación a favor de una imagen positiva de la vejez al año 2020.</t>
  </si>
  <si>
    <t>Alcaldía de Calarcá, Circasia, Génova</t>
  </si>
  <si>
    <t>(Cantidad de proyectos direccionados a la utilización de la virtualidad por parte de las personas mayores, al año 2020 / Cantidad de
actividades direccionadas a la utilización de la virtualidad por parte de las personas mayores, planeadas al año 2020) * 100</t>
  </si>
  <si>
    <t>Un Quindío 1 Proyectado, Convenio Alcaldía Filandia y Consorcio 2018, Alcaldía de Armenia con TICs Cabildantes, lideres de grupos de adulto mayor en CDC. Alcaldía de Génova 2017. Delegado de las Tics</t>
  </si>
  <si>
    <t>responsables no reportaron información.</t>
  </si>
  <si>
    <t>GOBERNACIÓN, ALCALDÍAS MUNICIPALES, SECRETARÍAS DE SALUD, ISSQ,  EPSs. JUNTAS DE ACCIÓN COMUNAL, JUNTAS ADMINISTRATIVAS LOCALES, ORGANIZACIONES NO GUBERNAMENTALES,  MINISTERIO DEL INTERIOR Y DE JUSTICIA.INSTITUTOS MUNICIPALES Y DEPARTAMENTALES DE RECREACIÓN Y DEPORTE, UNIVERSIDADES PÚBLICAS Y PRIVADAS,  ARTICULAR EL PLAN DE COMPETITIVIDAD DEL QUINDÍO, CÁMARAS DE COMERCIO, SENA</t>
  </si>
  <si>
    <t>Alcaldía de Salento, Filandia, Córdoba, Secretaría de Agricultura, Alcaldía de Buenavista</t>
  </si>
  <si>
    <t xml:space="preserve">Alcaldía de Buenavista  (sin recursos), Calarcá (sin recursos), Filandia </t>
  </si>
  <si>
    <t>Alcaldía de Génova, Salento, Filandia, Circasia, Calarcá y Buenavista.</t>
  </si>
  <si>
    <t>Alcaldía de Génova, Salento, Filandia, Calarcá y Buenavista.</t>
  </si>
  <si>
    <t>ACUMULADO 2015</t>
  </si>
  <si>
    <t>PORCENTAJE AVANCE 2015</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</si>
</sst>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240A]\ * #,##0.00_);_([$$-240A]\ * \(#,##0.00\);_([$$-240A]\ * &quot;-&quot;??_);_(@_)"/>
    <numFmt numFmtId="187" formatCode="0.0000000"/>
    <numFmt numFmtId="188" formatCode="0.000000"/>
    <numFmt numFmtId="189" formatCode="0.00000"/>
    <numFmt numFmtId="190" formatCode="0.0000"/>
    <numFmt numFmtId="191" formatCode="0.000"/>
    <numFmt numFmtId="192" formatCode="0.0"/>
    <numFmt numFmtId="193" formatCode="[$-240A]dddd\,\ dd&quot; de &quot;mmmm&quot; de &quot;yyyy"/>
    <numFmt numFmtId="194" formatCode="[$-240A]h:mm:ss\ AM/PM"/>
    <numFmt numFmtId="195" formatCode="0.0%"/>
    <numFmt numFmtId="196" formatCode="[$-F800]dddd\,\ mmmm\ dd\,\ yy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quot;$&quot;\ * #,##0_);_(&quot;$&quot;\ * \(#,##0\);_(&quot;$&quot;\ * &quot;-&quot;??_);_(@_)"/>
    <numFmt numFmtId="202" formatCode="_-[$$-240A]\ * #,##0_ ;_-[$$-240A]\ * \-#,##0\ ;_-[$$-240A]\ * &quot;-&quot;_ ;_-@_ "/>
    <numFmt numFmtId="203" formatCode="[$-240A]hh:mm:ss\ AM/PM"/>
    <numFmt numFmtId="204" formatCode="&quot;$&quot;\ #,##0.00"/>
  </numFmts>
  <fonts count="78">
    <font>
      <sz val="11"/>
      <color theme="1"/>
      <name val="Calibri"/>
      <family val="2"/>
    </font>
    <font>
      <sz val="11"/>
      <color indexed="8"/>
      <name val="Calibri"/>
      <family val="2"/>
    </font>
    <font>
      <b/>
      <sz val="14"/>
      <name val="Arial"/>
      <family val="2"/>
    </font>
    <font>
      <sz val="10"/>
      <color indexed="8"/>
      <name val="Calibri"/>
      <family val="0"/>
    </font>
    <font>
      <b/>
      <sz val="20"/>
      <color indexed="8"/>
      <name val="Arial Black"/>
      <family val="0"/>
    </font>
    <font>
      <b/>
      <sz val="20"/>
      <color indexed="63"/>
      <name val="Arial Black"/>
      <family val="0"/>
    </font>
    <font>
      <sz val="10.1"/>
      <color indexed="63"/>
      <name val="Arial"/>
      <family val="0"/>
    </font>
    <font>
      <sz val="16"/>
      <color indexed="63"/>
      <name val="Calibri"/>
      <family val="0"/>
    </font>
    <font>
      <sz val="12.85"/>
      <color indexed="63"/>
      <name val="Calibri"/>
      <family val="0"/>
    </font>
    <font>
      <sz val="14.7"/>
      <color indexed="63"/>
      <name val="Calibri"/>
      <family val="0"/>
    </font>
    <font>
      <b/>
      <sz val="16"/>
      <color indexed="63"/>
      <name val="Calibri"/>
      <family val="0"/>
    </font>
    <font>
      <sz val="9"/>
      <color indexed="63"/>
      <name val="Calibri"/>
      <family val="0"/>
    </font>
    <font>
      <sz val="7.55"/>
      <color indexed="63"/>
      <name val="Calibri"/>
      <family val="0"/>
    </font>
    <font>
      <b/>
      <sz val="9"/>
      <color indexed="8"/>
      <name val="Arial Black"/>
      <family val="0"/>
    </font>
    <font>
      <b/>
      <sz val="9"/>
      <color indexed="63"/>
      <name val="Arial Blac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4"/>
      <color indexed="8"/>
      <name val="Arial"/>
      <family val="2"/>
    </font>
    <font>
      <sz val="11"/>
      <name val="Calibri"/>
      <family val="2"/>
    </font>
    <font>
      <sz val="10"/>
      <color indexed="8"/>
      <name val="Arial"/>
      <family val="2"/>
    </font>
    <font>
      <sz val="14"/>
      <color indexed="8"/>
      <name val="Arial"/>
      <family val="2"/>
    </font>
    <font>
      <sz val="14"/>
      <color indexed="8"/>
      <name val="Calibri"/>
      <family val="2"/>
    </font>
    <font>
      <sz val="18"/>
      <color indexed="8"/>
      <name val="Arial"/>
      <family val="2"/>
    </font>
    <font>
      <b/>
      <sz val="14"/>
      <color indexed="8"/>
      <name val="Calibri"/>
      <family val="2"/>
    </font>
    <font>
      <b/>
      <sz val="22"/>
      <color indexed="8"/>
      <name val="Calibri"/>
      <family val="2"/>
    </font>
    <font>
      <b/>
      <sz val="11"/>
      <color indexed="8"/>
      <name val="Arial"/>
      <family val="2"/>
    </font>
    <font>
      <b/>
      <sz val="9"/>
      <color indexed="8"/>
      <name val="Arial"/>
      <family val="2"/>
    </font>
    <font>
      <sz val="8"/>
      <name val="Segoe UI"/>
      <family val="2"/>
    </font>
    <font>
      <sz val="12"/>
      <color indexed="63"/>
      <name val="Arial"/>
      <family val="0"/>
    </font>
    <font>
      <sz val="14"/>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4"/>
      <color theme="1"/>
      <name val="Arial"/>
      <family val="2"/>
    </font>
    <font>
      <sz val="10"/>
      <color theme="1"/>
      <name val="Arial"/>
      <family val="2"/>
    </font>
    <font>
      <sz val="14"/>
      <color theme="1"/>
      <name val="Arial"/>
      <family val="2"/>
    </font>
    <font>
      <sz val="14"/>
      <color theme="1"/>
      <name val="Calibri"/>
      <family val="2"/>
    </font>
    <font>
      <sz val="18"/>
      <color theme="1"/>
      <name val="Arial"/>
      <family val="2"/>
    </font>
    <font>
      <b/>
      <sz val="14"/>
      <color theme="1"/>
      <name val="Calibri"/>
      <family val="2"/>
    </font>
    <font>
      <b/>
      <sz val="22"/>
      <color theme="1"/>
      <name val="Calibri"/>
      <family val="2"/>
    </font>
    <font>
      <b/>
      <sz val="11"/>
      <color theme="1"/>
      <name val="Arial"/>
      <family val="2"/>
    </font>
    <font>
      <b/>
      <sz val="9"/>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color rgb="FFABABAB"/>
      </left>
      <right style="thin">
        <color rgb="FFABABAB"/>
      </right>
      <top style="thin">
        <color rgb="FFABABAB"/>
      </top>
      <bottom>
        <color indexed="63"/>
      </bottom>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style="thin">
        <color rgb="FFABABAB"/>
      </bottom>
    </border>
    <border>
      <left style="thin"/>
      <right style="thin"/>
      <top style="thin">
        <color rgb="FFABABAB"/>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medium"/>
      <right style="medium"/>
      <top style="medium"/>
      <bottom style="double"/>
    </border>
    <border>
      <left style="medium"/>
      <right style="thin"/>
      <top style="thin"/>
      <bottom style="thin"/>
    </border>
    <border>
      <left style="medium"/>
      <right style="thin"/>
      <top style="thin"/>
      <bottom style="medium"/>
    </border>
    <border>
      <left style="thin"/>
      <right style="thin"/>
      <top/>
      <bottom style="double"/>
    </border>
    <border>
      <left/>
      <right style="thin"/>
      <top/>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bottom style="mediu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0" fillId="31" borderId="0" applyNumberFormat="0" applyBorder="0" applyAlignment="0" applyProtection="0"/>
    <xf numFmtId="0" fontId="6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95">
    <xf numFmtId="0" fontId="0" fillId="0" borderId="0" xfId="0" applyFont="1" applyAlignment="1">
      <alignment/>
    </xf>
    <xf numFmtId="0" fontId="67" fillId="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34" fillId="0" borderId="10" xfId="0" applyFont="1" applyFill="1" applyBorder="1" applyAlignment="1">
      <alignment horizontal="justify" vertical="center" wrapText="1"/>
    </xf>
    <xf numFmtId="0" fontId="34" fillId="0" borderId="11" xfId="0" applyFont="1" applyBorder="1" applyAlignment="1">
      <alignment horizontal="justify" vertical="center" wrapText="1"/>
    </xf>
    <xf numFmtId="0" fontId="34" fillId="0" borderId="12" xfId="0" applyFont="1" applyBorder="1" applyAlignment="1">
      <alignment horizontal="justify" vertical="center" wrapText="1"/>
    </xf>
    <xf numFmtId="0" fontId="0" fillId="0" borderId="10" xfId="0" applyFont="1" applyFill="1" applyBorder="1" applyAlignment="1">
      <alignment horizontal="center" vertical="center"/>
    </xf>
    <xf numFmtId="9"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67" fillId="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4" xfId="0" applyFont="1" applyBorder="1" applyAlignment="1">
      <alignment horizontal="center" vertical="center" wrapText="1"/>
    </xf>
    <xf numFmtId="0" fontId="68"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4" xfId="0" applyFont="1" applyFill="1" applyBorder="1" applyAlignment="1">
      <alignment horizontal="center" vertical="center" wrapText="1"/>
    </xf>
    <xf numFmtId="189" fontId="0" fillId="0" borderId="10" xfId="58" applyNumberFormat="1" applyFont="1" applyBorder="1" applyAlignment="1">
      <alignment horizontal="center" vertical="center"/>
    </xf>
    <xf numFmtId="187"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34" fillId="0" borderId="15" xfId="0" applyFont="1" applyBorder="1" applyAlignment="1">
      <alignment horizontal="center" vertical="center" wrapText="1"/>
    </xf>
    <xf numFmtId="0" fontId="67" fillId="0" borderId="10" xfId="0" applyNumberFormat="1" applyFont="1" applyBorder="1" applyAlignment="1">
      <alignment horizontal="center"/>
    </xf>
    <xf numFmtId="0" fontId="67" fillId="0" borderId="10" xfId="0" applyFont="1" applyBorder="1" applyAlignment="1">
      <alignment horizontal="center"/>
    </xf>
    <xf numFmtId="0" fontId="0" fillId="0" borderId="10" xfId="0" applyNumberFormat="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xf>
    <xf numFmtId="0" fontId="67" fillId="0" borderId="10"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19" xfId="0" applyBorder="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14"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67" fillId="19" borderId="10" xfId="0" applyFont="1" applyFill="1" applyBorder="1" applyAlignment="1">
      <alignment horizontal="center" vertical="center" wrapText="1"/>
    </xf>
    <xf numFmtId="0" fontId="67" fillId="19" borderId="10" xfId="0" applyFont="1" applyFill="1" applyBorder="1" applyAlignment="1">
      <alignment horizontal="center" vertical="center"/>
    </xf>
    <xf numFmtId="0" fontId="0" fillId="0" borderId="15" xfId="0" applyNumberFormat="1" applyBorder="1" applyAlignment="1">
      <alignment horizontal="center"/>
    </xf>
    <xf numFmtId="0" fontId="0" fillId="0" borderId="16" xfId="0" applyNumberFormat="1" applyBorder="1" applyAlignment="1">
      <alignment horizontal="center"/>
    </xf>
    <xf numFmtId="0" fontId="0" fillId="0" borderId="11" xfId="0" applyBorder="1" applyAlignment="1">
      <alignment horizontal="center"/>
    </xf>
    <xf numFmtId="0" fontId="67" fillId="0" borderId="20" xfId="0" applyNumberFormat="1" applyFont="1" applyBorder="1" applyAlignment="1">
      <alignment horizontal="center"/>
    </xf>
    <xf numFmtId="0" fontId="67" fillId="0" borderId="10" xfId="0" applyFont="1" applyBorder="1" applyAlignment="1">
      <alignment horizontal="center" vertical="center"/>
    </xf>
    <xf numFmtId="0" fontId="67" fillId="19" borderId="10" xfId="0" applyFont="1" applyFill="1" applyBorder="1" applyAlignment="1">
      <alignment horizontal="center" vertical="center"/>
    </xf>
    <xf numFmtId="0" fontId="67" fillId="19" borderId="10" xfId="0" applyFont="1" applyFill="1" applyBorder="1" applyAlignment="1">
      <alignment horizontal="center" vertical="center"/>
    </xf>
    <xf numFmtId="15" fontId="0" fillId="0" borderId="10" xfId="0" applyNumberFormat="1" applyBorder="1" applyAlignment="1">
      <alignment horizontal="center" vertical="center"/>
    </xf>
    <xf numFmtId="0" fontId="67" fillId="0" borderId="10" xfId="0" applyFont="1" applyBorder="1" applyAlignment="1">
      <alignment horizontal="center" vertical="center"/>
    </xf>
    <xf numFmtId="0" fontId="34" fillId="0" borderId="10" xfId="0" applyFont="1" applyBorder="1" applyAlignment="1">
      <alignment horizontal="justify" vertical="center" wrapText="1"/>
    </xf>
    <xf numFmtId="0" fontId="34" fillId="0" borderId="10" xfId="0" applyFont="1" applyBorder="1" applyAlignment="1">
      <alignment horizontal="justify" vertical="center" wrapText="1"/>
    </xf>
    <xf numFmtId="0" fontId="67" fillId="4" borderId="15" xfId="0" applyFont="1" applyFill="1" applyBorder="1" applyAlignment="1">
      <alignment vertical="center"/>
    </xf>
    <xf numFmtId="0" fontId="67" fillId="0" borderId="0" xfId="0" applyFont="1" applyAlignment="1">
      <alignment horizontal="center" vertical="center"/>
    </xf>
    <xf numFmtId="9" fontId="0" fillId="0" borderId="10" xfId="0" applyNumberFormat="1" applyFont="1" applyFill="1" applyBorder="1" applyAlignment="1">
      <alignment horizontal="center" vertical="center"/>
    </xf>
    <xf numFmtId="9" fontId="0" fillId="0" borderId="10" xfId="0" applyNumberFormat="1" applyBorder="1" applyAlignment="1">
      <alignment horizontal="center" vertical="center"/>
    </xf>
    <xf numFmtId="0" fontId="67" fillId="0" borderId="10" xfId="0" applyFont="1" applyFill="1" applyBorder="1" applyAlignment="1">
      <alignment horizontal="center" vertical="center"/>
    </xf>
    <xf numFmtId="0" fontId="0" fillId="0" borderId="0" xfId="0" applyFill="1" applyAlignment="1">
      <alignment/>
    </xf>
    <xf numFmtId="0" fontId="34" fillId="0"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7" fontId="67" fillId="35" borderId="10" xfId="0" applyNumberFormat="1" applyFont="1" applyFill="1" applyBorder="1" applyAlignment="1">
      <alignment horizontal="center" vertical="center"/>
    </xf>
    <xf numFmtId="0" fontId="69" fillId="0" borderId="10" xfId="0" applyFont="1" applyFill="1" applyBorder="1" applyAlignment="1">
      <alignment horizontal="center" vertical="center" textRotation="90" wrapText="1"/>
    </xf>
    <xf numFmtId="190" fontId="0" fillId="0" borderId="10" xfId="58" applyNumberFormat="1" applyFont="1" applyBorder="1" applyAlignment="1">
      <alignment horizontal="center" vertical="center"/>
    </xf>
    <xf numFmtId="0" fontId="69" fillId="0" borderId="15" xfId="0" applyFont="1" applyFill="1" applyBorder="1" applyAlignment="1">
      <alignment horizontal="center" vertical="center" textRotation="90" wrapText="1"/>
    </xf>
    <xf numFmtId="0" fontId="68" fillId="0" borderId="0" xfId="0" applyFont="1" applyFill="1" applyBorder="1" applyAlignment="1">
      <alignment horizontal="center" vertical="center" wrapText="1"/>
    </xf>
    <xf numFmtId="0" fontId="67" fillId="35" borderId="10" xfId="0" applyFont="1" applyFill="1" applyBorder="1" applyAlignment="1">
      <alignment horizontal="center" vertical="center"/>
    </xf>
    <xf numFmtId="0" fontId="34" fillId="0" borderId="23" xfId="0" applyFont="1" applyBorder="1" applyAlignment="1">
      <alignment horizontal="center"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9" fontId="68" fillId="0" borderId="0" xfId="0" applyNumberFormat="1" applyFont="1" applyFill="1" applyBorder="1" applyAlignment="1">
      <alignment horizontal="center" vertical="center" wrapText="1"/>
    </xf>
    <xf numFmtId="0" fontId="67" fillId="0" borderId="10" xfId="0" applyFont="1" applyBorder="1" applyAlignment="1">
      <alignment horizontal="center" vertical="center"/>
    </xf>
    <xf numFmtId="0" fontId="0" fillId="0" borderId="15" xfId="0" applyBorder="1" applyAlignment="1">
      <alignment horizontal="center" vertical="center"/>
    </xf>
    <xf numFmtId="14" fontId="0" fillId="0" borderId="15" xfId="0" applyNumberFormat="1" applyBorder="1" applyAlignment="1">
      <alignment horizontal="center" vertical="center"/>
    </xf>
    <xf numFmtId="0" fontId="0" fillId="0" borderId="15" xfId="0" applyFill="1" applyBorder="1" applyAlignment="1">
      <alignment horizontal="center" vertical="center" wrapText="1"/>
    </xf>
    <xf numFmtId="1" fontId="0" fillId="0" borderId="10" xfId="0" applyNumberFormat="1" applyFont="1" applyBorder="1" applyAlignment="1">
      <alignment horizontal="center" vertical="center"/>
    </xf>
    <xf numFmtId="9" fontId="34" fillId="0"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9" fontId="34" fillId="0" borderId="10" xfId="0" applyNumberFormat="1" applyFont="1" applyBorder="1" applyAlignment="1">
      <alignment horizontal="center" vertical="center" wrapText="1"/>
    </xf>
    <xf numFmtId="0" fontId="0" fillId="0" borderId="23" xfId="0" applyFont="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0" fillId="0" borderId="0" xfId="0" applyFont="1" applyFill="1" applyAlignment="1">
      <alignment horizontal="center" vertical="center"/>
    </xf>
    <xf numFmtId="2" fontId="36"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24" xfId="0" applyFont="1" applyFill="1" applyBorder="1" applyAlignment="1">
      <alignment horizontal="center" vertical="center" wrapText="1"/>
    </xf>
    <xf numFmtId="9" fontId="68" fillId="0" borderId="11" xfId="0" applyNumberFormat="1" applyFont="1" applyFill="1" applyBorder="1" applyAlignment="1">
      <alignment horizontal="center" vertical="center" wrapText="1"/>
    </xf>
    <xf numFmtId="9" fontId="34" fillId="0" borderId="24" xfId="0" applyNumberFormat="1" applyFont="1" applyFill="1" applyBorder="1" applyAlignment="1">
      <alignment horizontal="center" vertical="center" wrapText="1"/>
    </xf>
    <xf numFmtId="0" fontId="34" fillId="0" borderId="16"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1" xfId="0" applyFont="1" applyFill="1" applyBorder="1" applyAlignment="1">
      <alignment horizontal="center" vertical="center" wrapText="1"/>
    </xf>
    <xf numFmtId="9" fontId="0" fillId="0" borderId="10" xfId="0" applyNumberFormat="1" applyFont="1" applyBorder="1" applyAlignment="1">
      <alignment horizontal="center" vertical="center" wrapText="1"/>
    </xf>
    <xf numFmtId="9" fontId="0" fillId="33" borderId="11" xfId="0" applyNumberFormat="1" applyFont="1" applyFill="1" applyBorder="1" applyAlignment="1">
      <alignment horizontal="center" vertical="center"/>
    </xf>
    <xf numFmtId="9" fontId="0" fillId="33" borderId="10" xfId="0" applyNumberFormat="1" applyFont="1" applyFill="1" applyBorder="1" applyAlignment="1">
      <alignment horizontal="center" vertical="center"/>
    </xf>
    <xf numFmtId="0" fontId="34"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5" xfId="0" applyFont="1" applyBorder="1" applyAlignment="1">
      <alignment horizontal="center" vertical="center" wrapText="1"/>
    </xf>
    <xf numFmtId="9"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0" fillId="0" borderId="10" xfId="0" applyFont="1" applyBorder="1" applyAlignment="1">
      <alignment horizontal="center" vertical="center"/>
    </xf>
    <xf numFmtId="0" fontId="34" fillId="0" borderId="0" xfId="0" applyFont="1" applyBorder="1" applyAlignment="1">
      <alignment horizontal="center" vertical="center" wrapText="1"/>
    </xf>
    <xf numFmtId="0" fontId="34" fillId="0" borderId="27" xfId="0" applyFont="1" applyBorder="1" applyAlignment="1">
      <alignment horizontal="center" vertical="center"/>
    </xf>
    <xf numFmtId="0" fontId="0" fillId="0" borderId="10" xfId="0" applyFont="1" applyBorder="1" applyAlignment="1">
      <alignmen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1" fontId="0" fillId="0" borderId="15"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16" xfId="0" applyNumberFormat="1" applyFont="1" applyBorder="1" applyAlignment="1">
      <alignment horizontal="center" vertical="center"/>
    </xf>
    <xf numFmtId="0" fontId="0" fillId="0" borderId="10" xfId="0" applyFont="1" applyBorder="1" applyAlignment="1">
      <alignment horizontal="center" vertical="center"/>
    </xf>
    <xf numFmtId="1" fontId="36" fillId="0" borderId="10" xfId="0" applyNumberFormat="1" applyFont="1" applyFill="1" applyBorder="1" applyAlignment="1">
      <alignment horizontal="center" vertical="center"/>
    </xf>
    <xf numFmtId="2" fontId="61" fillId="0" borderId="10" xfId="0" applyNumberFormat="1" applyFont="1" applyBorder="1" applyAlignment="1">
      <alignment vertical="center"/>
    </xf>
    <xf numFmtId="1" fontId="36" fillId="36" borderId="10" xfId="0" applyNumberFormat="1" applyFont="1" applyFill="1" applyBorder="1" applyAlignment="1">
      <alignment horizontal="center" vertical="center"/>
    </xf>
    <xf numFmtId="1" fontId="36" fillId="37" borderId="10" xfId="0" applyNumberFormat="1" applyFont="1" applyFill="1" applyBorder="1" applyAlignment="1">
      <alignment horizontal="center" vertical="center"/>
    </xf>
    <xf numFmtId="1" fontId="36" fillId="38" borderId="10" xfId="0" applyNumberFormat="1" applyFont="1" applyFill="1" applyBorder="1" applyAlignment="1">
      <alignment horizontal="center" vertical="center"/>
    </xf>
    <xf numFmtId="1" fontId="36" fillId="39" borderId="10" xfId="0" applyNumberFormat="1" applyFont="1" applyFill="1" applyBorder="1" applyAlignment="1">
      <alignment horizontal="center" vertical="center"/>
    </xf>
    <xf numFmtId="1" fontId="36" fillId="4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70" fillId="0" borderId="0" xfId="0" applyFont="1" applyAlignment="1">
      <alignment/>
    </xf>
    <xf numFmtId="0" fontId="71" fillId="36" borderId="29" xfId="0" applyFont="1" applyFill="1" applyBorder="1" applyAlignment="1">
      <alignment horizontal="center" vertical="center" wrapText="1"/>
    </xf>
    <xf numFmtId="0" fontId="71" fillId="38" borderId="29" xfId="0" applyFont="1" applyFill="1" applyBorder="1" applyAlignment="1">
      <alignment horizontal="center" vertical="center" wrapText="1"/>
    </xf>
    <xf numFmtId="0" fontId="71" fillId="40" borderId="29" xfId="0" applyFont="1" applyFill="1" applyBorder="1" applyAlignment="1">
      <alignment horizontal="center" vertical="center" wrapText="1"/>
    </xf>
    <xf numFmtId="0" fontId="71" fillId="39" borderId="29"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72" fillId="0" borderId="30" xfId="0" applyFont="1" applyBorder="1" applyAlignment="1">
      <alignment horizontal="center" vertical="center"/>
    </xf>
    <xf numFmtId="0" fontId="72" fillId="0" borderId="10" xfId="0" applyFont="1" applyBorder="1" applyAlignment="1">
      <alignment horizontal="center" vertical="center" wrapText="1"/>
    </xf>
    <xf numFmtId="0" fontId="72" fillId="0" borderId="10" xfId="0" applyFont="1" applyBorder="1" applyAlignment="1">
      <alignment horizontal="center" vertical="center"/>
    </xf>
    <xf numFmtId="0" fontId="73" fillId="36" borderId="11" xfId="0" applyFont="1" applyFill="1" applyBorder="1" applyAlignment="1">
      <alignment horizontal="center" vertical="center"/>
    </xf>
    <xf numFmtId="0" fontId="73" fillId="38" borderId="11" xfId="0" applyFont="1" applyFill="1" applyBorder="1" applyAlignment="1">
      <alignment horizontal="center" vertical="center"/>
    </xf>
    <xf numFmtId="0" fontId="73" fillId="40" borderId="11" xfId="0" applyFont="1" applyFill="1" applyBorder="1" applyAlignment="1">
      <alignment horizontal="center" vertical="center"/>
    </xf>
    <xf numFmtId="0" fontId="73" fillId="39" borderId="11" xfId="0" applyFont="1" applyFill="1" applyBorder="1" applyAlignment="1">
      <alignment horizontal="center" vertical="center"/>
    </xf>
    <xf numFmtId="0" fontId="73" fillId="35" borderId="11" xfId="0" applyFont="1" applyFill="1" applyBorder="1" applyAlignment="1">
      <alignment horizontal="center" vertical="center"/>
    </xf>
    <xf numFmtId="0" fontId="71" fillId="0" borderId="0" xfId="0" applyFont="1" applyAlignment="1">
      <alignment/>
    </xf>
    <xf numFmtId="0" fontId="73" fillId="36" borderId="10" xfId="0" applyFont="1" applyFill="1" applyBorder="1" applyAlignment="1">
      <alignment horizontal="center" vertical="center"/>
    </xf>
    <xf numFmtId="0" fontId="73" fillId="38" borderId="10" xfId="0" applyFont="1" applyFill="1" applyBorder="1" applyAlignment="1">
      <alignment horizontal="center" vertical="center"/>
    </xf>
    <xf numFmtId="0" fontId="73" fillId="40" borderId="10" xfId="0" applyFont="1" applyFill="1" applyBorder="1" applyAlignment="1">
      <alignment horizontal="center" vertical="center"/>
    </xf>
    <xf numFmtId="0" fontId="73" fillId="39" borderId="10" xfId="0" applyFont="1" applyFill="1" applyBorder="1" applyAlignment="1">
      <alignment horizontal="center" vertical="center"/>
    </xf>
    <xf numFmtId="0" fontId="73" fillId="35" borderId="10" xfId="0" applyFont="1" applyFill="1" applyBorder="1" applyAlignment="1">
      <alignment horizontal="center" vertical="center"/>
    </xf>
    <xf numFmtId="0" fontId="72" fillId="0" borderId="31" xfId="0" applyFont="1" applyBorder="1" applyAlignment="1">
      <alignment horizontal="center" vertical="center"/>
    </xf>
    <xf numFmtId="0" fontId="72" fillId="0" borderId="12" xfId="0" applyFont="1" applyBorder="1" applyAlignment="1">
      <alignment horizontal="center" vertical="center" wrapText="1"/>
    </xf>
    <xf numFmtId="0" fontId="72" fillId="0" borderId="12" xfId="0" applyFont="1" applyBorder="1" applyAlignment="1">
      <alignment horizontal="center" vertical="center"/>
    </xf>
    <xf numFmtId="0" fontId="73" fillId="36" borderId="12" xfId="0" applyFont="1" applyFill="1" applyBorder="1" applyAlignment="1">
      <alignment horizontal="center" vertical="center"/>
    </xf>
    <xf numFmtId="0" fontId="73" fillId="38" borderId="12" xfId="0" applyFont="1" applyFill="1" applyBorder="1" applyAlignment="1">
      <alignment horizontal="center" vertical="center"/>
    </xf>
    <xf numFmtId="0" fontId="73" fillId="40" borderId="12" xfId="0" applyFont="1" applyFill="1" applyBorder="1" applyAlignment="1">
      <alignment horizontal="center" vertical="center"/>
    </xf>
    <xf numFmtId="0" fontId="73" fillId="39" borderId="12" xfId="0" applyFont="1" applyFill="1" applyBorder="1" applyAlignment="1">
      <alignment horizontal="center" vertical="center"/>
    </xf>
    <xf numFmtId="0" fontId="74" fillId="33" borderId="32" xfId="0" applyFont="1" applyFill="1" applyBorder="1" applyAlignment="1">
      <alignment horizontal="center" vertical="center"/>
    </xf>
    <xf numFmtId="0" fontId="72" fillId="33" borderId="0" xfId="0" applyFont="1" applyFill="1" applyAlignment="1">
      <alignment/>
    </xf>
    <xf numFmtId="0" fontId="72" fillId="33" borderId="0" xfId="0" applyFont="1" applyFill="1" applyBorder="1" applyAlignment="1">
      <alignment/>
    </xf>
    <xf numFmtId="0" fontId="72"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0" fillId="0" borderId="0" xfId="0" applyBorder="1" applyAlignment="1">
      <alignment/>
    </xf>
    <xf numFmtId="0" fontId="0" fillId="0" borderId="33" xfId="0" applyBorder="1" applyAlignment="1">
      <alignment/>
    </xf>
    <xf numFmtId="0" fontId="72" fillId="33" borderId="0" xfId="0" applyFont="1" applyFill="1" applyBorder="1" applyAlignment="1">
      <alignment horizontal="center" wrapText="1"/>
    </xf>
    <xf numFmtId="0" fontId="0" fillId="33" borderId="0" xfId="0" applyFill="1" applyBorder="1" applyAlignment="1">
      <alignment horizontal="center" wrapText="1"/>
    </xf>
    <xf numFmtId="0" fontId="0" fillId="33" borderId="0"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3" fillId="37" borderId="11" xfId="0" applyFont="1" applyFill="1" applyBorder="1" applyAlignment="1">
      <alignment horizontal="center" vertical="center"/>
    </xf>
    <xf numFmtId="0" fontId="73" fillId="37" borderId="10" xfId="0" applyFont="1" applyFill="1" applyBorder="1" applyAlignment="1">
      <alignment horizontal="center" vertical="center"/>
    </xf>
    <xf numFmtId="0" fontId="73" fillId="37" borderId="12" xfId="0" applyFont="1" applyFill="1" applyBorder="1" applyAlignment="1">
      <alignment horizontal="center" vertical="center"/>
    </xf>
    <xf numFmtId="0" fontId="73" fillId="35" borderId="15" xfId="0" applyFont="1" applyFill="1" applyBorder="1" applyAlignment="1">
      <alignment horizontal="center" vertical="center"/>
    </xf>
    <xf numFmtId="0" fontId="74" fillId="33" borderId="10" xfId="0" applyFont="1" applyFill="1" applyBorder="1" applyAlignment="1">
      <alignment horizontal="center" vertical="center"/>
    </xf>
    <xf numFmtId="0" fontId="34" fillId="0" borderId="10" xfId="0" applyFont="1" applyBorder="1" applyAlignment="1">
      <alignment horizontal="center" vertical="center" wrapText="1"/>
    </xf>
    <xf numFmtId="0" fontId="0" fillId="0" borderId="10" xfId="0" applyFont="1" applyBorder="1" applyAlignment="1">
      <alignment horizontal="center" vertical="center"/>
    </xf>
    <xf numFmtId="0" fontId="67" fillId="4" borderId="23" xfId="0" applyFont="1" applyFill="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horizontal="center" vertical="center"/>
    </xf>
    <xf numFmtId="9" fontId="0" fillId="0" borderId="15" xfId="0" applyNumberFormat="1" applyFont="1" applyBorder="1" applyAlignment="1">
      <alignment horizontal="center" vertical="center"/>
    </xf>
    <xf numFmtId="0" fontId="34" fillId="0" borderId="10" xfId="0" applyFont="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vertical="center"/>
    </xf>
    <xf numFmtId="0" fontId="0" fillId="0" borderId="10" xfId="0" applyFont="1" applyBorder="1" applyAlignment="1">
      <alignment vertical="center" wrapText="1"/>
    </xf>
    <xf numFmtId="0" fontId="68" fillId="0" borderId="15" xfId="0"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9" fontId="0" fillId="0" borderId="0" xfId="0" applyNumberFormat="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19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202" fontId="0" fillId="0" borderId="10" xfId="0" applyNumberFormat="1" applyFont="1" applyBorder="1" applyAlignment="1">
      <alignment horizontal="center" vertical="center"/>
    </xf>
    <xf numFmtId="0" fontId="0" fillId="0" borderId="0" xfId="0" applyFont="1" applyAlignment="1">
      <alignment horizontal="left" vertical="center"/>
    </xf>
    <xf numFmtId="0" fontId="63" fillId="0" borderId="0" xfId="0" applyFont="1" applyAlignment="1">
      <alignment horizontal="left" vertical="center"/>
    </xf>
    <xf numFmtId="0" fontId="74" fillId="0" borderId="0" xfId="0" applyFont="1" applyAlignment="1">
      <alignment horizontal="left"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67" fillId="0" borderId="10" xfId="0" applyFont="1" applyBorder="1" applyAlignment="1">
      <alignment horizontal="center" vertical="center"/>
    </xf>
    <xf numFmtId="202" fontId="0" fillId="0" borderId="15" xfId="0" applyNumberFormat="1" applyFont="1" applyBorder="1" applyAlignment="1">
      <alignment horizontal="center" vertical="center"/>
    </xf>
    <xf numFmtId="202" fontId="0" fillId="0" borderId="11" xfId="0" applyNumberFormat="1" applyFont="1" applyBorder="1" applyAlignment="1">
      <alignment horizontal="center" vertical="center"/>
    </xf>
    <xf numFmtId="202" fontId="0" fillId="0" borderId="16"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9" fontId="0" fillId="0" borderId="15"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6" xfId="0" applyFont="1" applyBorder="1" applyAlignment="1">
      <alignment horizontal="center" vertical="center"/>
    </xf>
    <xf numFmtId="1" fontId="0" fillId="0" borderId="16" xfId="0" applyNumberFormat="1" applyFont="1" applyBorder="1" applyAlignment="1">
      <alignment horizontal="center" vertical="center" wrapText="1"/>
    </xf>
    <xf numFmtId="9" fontId="0" fillId="0" borderId="15" xfId="0" applyNumberFormat="1" applyFont="1" applyBorder="1" applyAlignment="1">
      <alignment horizontal="center" vertical="center"/>
    </xf>
    <xf numFmtId="9"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1" fontId="0" fillId="0" borderId="11" xfId="0" applyNumberFormat="1"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67" fillId="35" borderId="15" xfId="0" applyFont="1" applyFill="1" applyBorder="1" applyAlignment="1">
      <alignment horizontal="center" vertical="center" wrapText="1"/>
    </xf>
    <xf numFmtId="0" fontId="67" fillId="35" borderId="11" xfId="0" applyFont="1" applyFill="1" applyBorder="1" applyAlignment="1">
      <alignment horizontal="center" vertical="center" wrapText="1"/>
    </xf>
    <xf numFmtId="9" fontId="0" fillId="0" borderId="11" xfId="0" applyNumberFormat="1" applyFont="1" applyBorder="1" applyAlignment="1">
      <alignment horizontal="center" vertical="center"/>
    </xf>
    <xf numFmtId="0" fontId="67" fillId="35" borderId="10" xfId="0" applyFont="1" applyFill="1" applyBorder="1" applyAlignment="1">
      <alignment horizontal="center" vertical="center"/>
    </xf>
    <xf numFmtId="0" fontId="67"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69" fillId="0" borderId="15" xfId="0" applyFont="1" applyFill="1" applyBorder="1" applyAlignment="1">
      <alignment horizontal="center" vertical="center" textRotation="90"/>
    </xf>
    <xf numFmtId="0" fontId="69" fillId="0" borderId="16" xfId="0" applyFont="1" applyFill="1" applyBorder="1" applyAlignment="1">
      <alignment horizontal="center" vertical="center" textRotation="90"/>
    </xf>
    <xf numFmtId="0" fontId="69" fillId="0" borderId="11" xfId="0" applyFont="1" applyFill="1" applyBorder="1" applyAlignment="1">
      <alignment horizontal="center" vertical="center" textRotation="90"/>
    </xf>
    <xf numFmtId="0" fontId="34" fillId="0" borderId="25" xfId="0" applyFont="1" applyBorder="1" applyAlignment="1">
      <alignment horizontal="center" vertical="center" wrapText="1"/>
    </xf>
    <xf numFmtId="0" fontId="67" fillId="35" borderId="23" xfId="0" applyFont="1" applyFill="1" applyBorder="1" applyAlignment="1">
      <alignment horizontal="center" vertical="center" wrapText="1"/>
    </xf>
    <xf numFmtId="0" fontId="67" fillId="35" borderId="36" xfId="0" applyFont="1" applyFill="1" applyBorder="1" applyAlignment="1">
      <alignment horizontal="center" vertical="center" wrapText="1"/>
    </xf>
    <xf numFmtId="0" fontId="67" fillId="4" borderId="15" xfId="0" applyFont="1" applyFill="1" applyBorder="1" applyAlignment="1">
      <alignment horizontal="center" vertical="center"/>
    </xf>
    <xf numFmtId="0" fontId="67" fillId="4" borderId="11" xfId="0" applyFont="1" applyFill="1" applyBorder="1" applyAlignment="1">
      <alignment horizontal="center" vertical="center"/>
    </xf>
    <xf numFmtId="0" fontId="67" fillId="4" borderId="15" xfId="0" applyFont="1" applyFill="1" applyBorder="1" applyAlignment="1">
      <alignment horizontal="center" vertical="center" wrapText="1"/>
    </xf>
    <xf numFmtId="0" fontId="67" fillId="4" borderId="11"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7" fillId="4" borderId="26"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23" xfId="0" applyFont="1" applyBorder="1" applyAlignment="1">
      <alignment horizontal="center" vertical="center"/>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67" fillId="35" borderId="23" xfId="0" applyFont="1" applyFill="1" applyBorder="1" applyAlignment="1">
      <alignment horizontal="center" vertical="center"/>
    </xf>
    <xf numFmtId="0" fontId="67" fillId="35" borderId="36" xfId="0" applyFont="1" applyFill="1" applyBorder="1" applyAlignment="1">
      <alignment horizontal="center" vertical="center"/>
    </xf>
    <xf numFmtId="0" fontId="67" fillId="35" borderId="37" xfId="0" applyFont="1" applyFill="1" applyBorder="1" applyAlignment="1">
      <alignment horizontal="center" vertical="center"/>
    </xf>
    <xf numFmtId="0" fontId="67" fillId="4" borderId="38" xfId="0" applyFont="1" applyFill="1" applyBorder="1" applyAlignment="1">
      <alignment horizontal="center" vertical="center" wrapText="1"/>
    </xf>
    <xf numFmtId="0" fontId="67" fillId="4" borderId="21" xfId="0" applyFont="1" applyFill="1" applyBorder="1" applyAlignment="1">
      <alignment horizontal="center" vertical="center" wrapText="1"/>
    </xf>
    <xf numFmtId="1" fontId="0" fillId="0" borderId="16" xfId="0" applyNumberFormat="1" applyFont="1" applyBorder="1" applyAlignment="1">
      <alignment horizontal="center" vertical="center"/>
    </xf>
    <xf numFmtId="0" fontId="69" fillId="0" borderId="15" xfId="0" applyFont="1" applyFill="1" applyBorder="1" applyAlignment="1">
      <alignment horizontal="center" vertical="center" textRotation="90" wrapText="1"/>
    </xf>
    <xf numFmtId="0" fontId="69" fillId="0" borderId="16" xfId="0" applyFont="1" applyFill="1" applyBorder="1" applyAlignment="1">
      <alignment horizontal="center" vertical="center" textRotation="90" wrapText="1"/>
    </xf>
    <xf numFmtId="0" fontId="69" fillId="0" borderId="11" xfId="0" applyFont="1" applyFill="1" applyBorder="1" applyAlignment="1">
      <alignment horizontal="center" vertical="center" textRotation="90" wrapText="1"/>
    </xf>
    <xf numFmtId="0" fontId="75" fillId="0" borderId="15" xfId="0" applyFont="1" applyFill="1" applyBorder="1" applyAlignment="1">
      <alignment horizontal="center" vertical="center" textRotation="90"/>
    </xf>
    <xf numFmtId="0" fontId="75" fillId="0" borderId="16" xfId="0" applyFont="1" applyFill="1" applyBorder="1" applyAlignment="1">
      <alignment horizontal="center" vertical="center" textRotation="90"/>
    </xf>
    <xf numFmtId="0" fontId="75" fillId="0" borderId="11" xfId="0" applyFont="1" applyFill="1" applyBorder="1" applyAlignment="1">
      <alignment horizontal="center" vertical="center" textRotation="90"/>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17" fontId="67" fillId="35" borderId="15" xfId="0" applyNumberFormat="1" applyFont="1" applyFill="1" applyBorder="1" applyAlignment="1">
      <alignment horizontal="center" vertical="center" wrapText="1"/>
    </xf>
    <xf numFmtId="17" fontId="67" fillId="35" borderId="11"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4" fillId="33" borderId="42" xfId="0" applyFont="1" applyFill="1" applyBorder="1" applyAlignment="1">
      <alignment horizontal="right" vertical="center"/>
    </xf>
    <xf numFmtId="0" fontId="74" fillId="33" borderId="43" xfId="0" applyFont="1" applyFill="1" applyBorder="1" applyAlignment="1">
      <alignment horizontal="right" vertical="center"/>
    </xf>
    <xf numFmtId="0" fontId="74" fillId="33" borderId="44" xfId="0" applyFont="1" applyFill="1" applyBorder="1" applyAlignment="1">
      <alignment horizontal="right" vertical="center"/>
    </xf>
    <xf numFmtId="0" fontId="76" fillId="0" borderId="45" xfId="0" applyFont="1" applyBorder="1" applyAlignment="1">
      <alignment horizontal="center" vertical="center" wrapText="1"/>
    </xf>
    <xf numFmtId="0" fontId="76" fillId="0" borderId="0" xfId="0" applyFont="1" applyBorder="1" applyAlignment="1">
      <alignment horizontal="center" vertical="center" wrapText="1"/>
    </xf>
    <xf numFmtId="0" fontId="77" fillId="41" borderId="40" xfId="0" applyFont="1" applyFill="1" applyBorder="1" applyAlignment="1">
      <alignment horizontal="center" vertical="center"/>
    </xf>
    <xf numFmtId="0" fontId="71" fillId="41" borderId="40" xfId="0" applyFont="1" applyFill="1" applyBorder="1" applyAlignment="1">
      <alignment horizontal="center" vertical="center" wrapText="1"/>
    </xf>
    <xf numFmtId="0" fontId="69" fillId="41" borderId="46" xfId="0" applyFont="1" applyFill="1" applyBorder="1" applyAlignment="1">
      <alignment horizontal="center" vertical="center" wrapText="1"/>
    </xf>
    <xf numFmtId="0" fontId="69" fillId="41" borderId="47" xfId="0" applyFont="1" applyFill="1" applyBorder="1" applyAlignment="1">
      <alignment horizontal="center" vertical="center" wrapText="1"/>
    </xf>
    <xf numFmtId="0" fontId="69" fillId="0" borderId="15" xfId="0" applyFont="1" applyBorder="1" applyAlignment="1">
      <alignment horizontal="center" vertical="center" textRotation="90" wrapText="1"/>
    </xf>
    <xf numFmtId="0" fontId="69" fillId="0" borderId="16" xfId="0" applyFont="1" applyBorder="1" applyAlignment="1">
      <alignment horizontal="center" vertical="center" textRotation="90" wrapText="1"/>
    </xf>
    <xf numFmtId="0" fontId="69" fillId="0" borderId="11" xfId="0" applyFont="1" applyBorder="1" applyAlignment="1">
      <alignment horizontal="center" vertical="center" textRotation="90" wrapText="1"/>
    </xf>
    <xf numFmtId="0" fontId="67" fillId="0" borderId="15" xfId="0" applyFont="1" applyFill="1" applyBorder="1" applyAlignment="1">
      <alignment horizontal="center" vertical="center" textRotation="90"/>
    </xf>
    <xf numFmtId="0" fontId="67" fillId="0" borderId="16" xfId="0" applyFont="1" applyFill="1" applyBorder="1" applyAlignment="1">
      <alignment horizontal="center" vertical="center" textRotation="90"/>
    </xf>
    <xf numFmtId="0" fontId="67" fillId="0" borderId="11" xfId="0" applyFont="1" applyFill="1" applyBorder="1" applyAlignment="1">
      <alignment horizontal="center" vertical="center" textRotation="90"/>
    </xf>
    <xf numFmtId="0" fontId="67" fillId="19" borderId="10"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2 3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4">
    <dxf>
      <alignment horizontal="center" readingOrder="0"/>
      <border/>
    </dxf>
    <dxf>
      <border>
        <left style="thin"/>
        <right style="thin"/>
        <top style="thin"/>
        <bottom style="thin"/>
      </border>
    </dxf>
    <dxf>
      <font>
        <b/>
      </font>
      <border/>
    </dxf>
    <dxf>
      <border>
        <left style="thin"/>
        <right style="thin"/>
        <top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AVANCE POLÍTICA PÚBLICA ENVEJECIMIENTO Y VEJEZ A JUNIO 2019</a:t>
            </a:r>
          </a:p>
        </c:rich>
      </c:tx>
      <c:layout>
        <c:manualLayout>
          <c:xMode val="factor"/>
          <c:yMode val="factor"/>
          <c:x val="-0.00175"/>
          <c:y val="-0.0125"/>
        </c:manualLayout>
      </c:layout>
      <c:spPr>
        <a:noFill/>
        <a:ln>
          <a:noFill/>
        </a:ln>
      </c:spPr>
    </c:title>
    <c:view3D>
      <c:rotX val="30"/>
      <c:hPercent val="100"/>
      <c:rotY val="0"/>
      <c:depthPercent val="100"/>
      <c:rAngAx val="1"/>
    </c:view3D>
    <c:plotArea>
      <c:layout>
        <c:manualLayout>
          <c:xMode val="edge"/>
          <c:yMode val="edge"/>
          <c:x val="0.0645"/>
          <c:y val="0.18475"/>
          <c:w val="0.89175"/>
          <c:h val="0.6085"/>
        </c:manualLayout>
      </c:layout>
      <c:pie3DChart>
        <c:varyColors val="1"/>
        <c:ser>
          <c:idx val="0"/>
          <c:order val="0"/>
          <c:tx>
            <c:strRef>
              <c:f>'GRAFICA 2'!$B$1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25400">
                <a:solidFill>
                  <a:srgbClr val="FFFFFF"/>
                </a:solidFill>
              </a:ln>
            </c:spPr>
          </c:dPt>
          <c:dPt>
            <c:idx val="1"/>
            <c:spPr>
              <a:solidFill>
                <a:srgbClr val="FF6600"/>
              </a:solidFill>
              <a:ln w="25400">
                <a:solidFill>
                  <a:srgbClr val="FFFFFF"/>
                </a:solidFill>
              </a:ln>
            </c:spPr>
          </c:dPt>
          <c:dPt>
            <c:idx val="2"/>
            <c:spPr>
              <a:solidFill>
                <a:srgbClr val="FFFF00"/>
              </a:solidFill>
              <a:ln w="25400">
                <a:solidFill>
                  <a:srgbClr val="FFFFFF"/>
                </a:solidFill>
              </a:ln>
            </c:spPr>
          </c:dPt>
          <c:dPt>
            <c:idx val="3"/>
            <c:spPr>
              <a:solidFill>
                <a:srgbClr val="92D050"/>
              </a:solidFill>
              <a:ln w="3175">
                <a:noFill/>
              </a:ln>
            </c:spPr>
          </c:dPt>
          <c:dPt>
            <c:idx val="4"/>
            <c:spPr>
              <a:solidFill>
                <a:srgbClr val="00B050"/>
              </a:solidFill>
              <a:ln w="3175">
                <a:noFill/>
              </a:ln>
            </c:spPr>
          </c:dPt>
          <c:dLbls>
            <c:dLbl>
              <c:idx val="0"/>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'GRAFICA 2'!$A$2:$A$6</c:f>
              <c:strCache/>
            </c:strRef>
          </c:cat>
          <c:val>
            <c:numRef>
              <c:f>'GRAFICA 2'!$B$2:$B$6</c:f>
              <c:numCache/>
            </c:numRef>
          </c:val>
        </c:ser>
      </c:pie3DChart>
      <c:spPr>
        <a:noFill/>
        <a:ln>
          <a:noFill/>
        </a:ln>
      </c:spPr>
    </c:plotArea>
    <c:legend>
      <c:legendPos val="r"/>
      <c:layout>
        <c:manualLayout>
          <c:xMode val="edge"/>
          <c:yMode val="edge"/>
          <c:x val="0.2445"/>
          <c:y val="0.833"/>
          <c:w val="0.60675"/>
          <c:h val="0.08225"/>
        </c:manualLayout>
      </c:layout>
      <c:overlay val="0"/>
      <c:spPr>
        <a:noFill/>
        <a:ln w="3175">
          <a:noFill/>
        </a:ln>
      </c:spPr>
      <c:txPr>
        <a:bodyPr vert="horz" rot="0"/>
        <a:lstStyle/>
        <a:p>
          <a:pPr>
            <a:defRPr lang="en-US" cap="none" sz="101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AVANCE POLÍTICA PÚBLICA ENVEJECIMIENTO Y VEJEZ A JUNIO 2019</a:t>
            </a:r>
          </a:p>
        </c:rich>
      </c:tx>
      <c:layout>
        <c:manualLayout>
          <c:xMode val="factor"/>
          <c:yMode val="factor"/>
          <c:x val="-0.00175"/>
          <c:y val="-0.01225"/>
        </c:manualLayout>
      </c:layout>
      <c:spPr>
        <a:noFill/>
        <a:ln w="3175">
          <a:noFill/>
        </a:ln>
      </c:spPr>
    </c:title>
    <c:view3D>
      <c:rotX val="30"/>
      <c:hPercent val="100"/>
      <c:rotY val="0"/>
      <c:depthPercent val="100"/>
      <c:rAngAx val="1"/>
    </c:view3D>
    <c:plotArea>
      <c:layout>
        <c:manualLayout>
          <c:xMode val="edge"/>
          <c:yMode val="edge"/>
          <c:x val="0.06375"/>
          <c:y val="0.18225"/>
          <c:w val="0.893"/>
          <c:h val="0.613"/>
        </c:manualLayout>
      </c:layout>
      <c:pie3DChart>
        <c:varyColors val="1"/>
        <c:ser>
          <c:idx val="0"/>
          <c:order val="0"/>
          <c:tx>
            <c:strRef>
              <c:f>'GRAFICA 2 (2)'!$B$1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25400">
                <a:solidFill>
                  <a:srgbClr val="FFFFFF"/>
                </a:solidFill>
              </a:ln>
            </c:spPr>
          </c:dPt>
          <c:dPt>
            <c:idx val="1"/>
            <c:spPr>
              <a:solidFill>
                <a:srgbClr val="FF6600"/>
              </a:solidFill>
              <a:ln w="25400">
                <a:solidFill>
                  <a:srgbClr val="FFFFFF"/>
                </a:solidFill>
              </a:ln>
            </c:spPr>
          </c:dPt>
          <c:dPt>
            <c:idx val="2"/>
            <c:spPr>
              <a:solidFill>
                <a:srgbClr val="FFFF00"/>
              </a:solidFill>
              <a:ln w="25400">
                <a:solidFill>
                  <a:srgbClr val="FFFFFF"/>
                </a:solidFill>
              </a:ln>
            </c:spPr>
          </c:dPt>
          <c:dPt>
            <c:idx val="3"/>
            <c:spPr>
              <a:solidFill>
                <a:srgbClr val="92D050"/>
              </a:solidFill>
              <a:ln w="3175">
                <a:noFill/>
              </a:ln>
            </c:spPr>
          </c:dPt>
          <c:dPt>
            <c:idx val="4"/>
            <c:spPr>
              <a:solidFill>
                <a:srgbClr val="00B050"/>
              </a:solidFill>
              <a:ln w="3175">
                <a:noFill/>
              </a:ln>
            </c:spPr>
          </c:dPt>
          <c:dLbls>
            <c:dLbl>
              <c:idx val="0"/>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'GRAFICA 2 (2)'!$A$2:$A$6</c:f>
              <c:strCache/>
            </c:strRef>
          </c:cat>
          <c:val>
            <c:numRef>
              <c:f>'GRAFICA 2 (2)'!$B$2:$B$6</c:f>
              <c:numCache/>
            </c:numRef>
          </c:val>
        </c:ser>
      </c:pie3DChart>
      <c:spPr>
        <a:noFill/>
        <a:ln>
          <a:noFill/>
        </a:ln>
      </c:spPr>
    </c:plotArea>
    <c:legend>
      <c:legendPos val="r"/>
      <c:layout>
        <c:manualLayout>
          <c:xMode val="edge"/>
          <c:yMode val="edge"/>
          <c:x val="0.244"/>
          <c:y val="0.83425"/>
          <c:w val="0.6095"/>
          <c:h val="0.086"/>
        </c:manualLayout>
      </c:layout>
      <c:overlay val="0"/>
      <c:spPr>
        <a:noFill/>
        <a:ln w="3175">
          <a:noFill/>
        </a:ln>
      </c:spPr>
      <c:txPr>
        <a:bodyPr vert="horz" rot="0"/>
        <a:lstStyle/>
        <a:p>
          <a:pPr>
            <a:defRPr lang="en-US" cap="none" sz="101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AVANCE POLÍTICA PÚBLICA ENVEJECIMIENTO Y VEJEZ AÑO 2016</a:t>
            </a:r>
          </a:p>
        </c:rich>
      </c:tx>
      <c:layout>
        <c:manualLayout>
          <c:xMode val="factor"/>
          <c:yMode val="factor"/>
          <c:x val="-0.00175"/>
          <c:y val="-0.00975"/>
        </c:manualLayout>
      </c:layout>
      <c:spPr>
        <a:noFill/>
        <a:ln>
          <a:noFill/>
        </a:ln>
      </c:spPr>
    </c:title>
    <c:plotArea>
      <c:layout>
        <c:manualLayout>
          <c:xMode val="edge"/>
          <c:yMode val="edge"/>
          <c:x val="0.36525"/>
          <c:y val="0.31475"/>
          <c:w val="0.26725"/>
          <c:h val="0.47725"/>
        </c:manualLayout>
      </c:layout>
      <c:pieChart>
        <c:varyColors val="1"/>
        <c:ser>
          <c:idx val="0"/>
          <c:order val="0"/>
          <c:tx>
            <c:strRef>
              <c:f>'GRAFICA 2 (2)'!$B$17</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FFFFFF"/>
                </a:solidFill>
              </a:ln>
            </c:spPr>
          </c:dPt>
          <c:dPt>
            <c:idx val="1"/>
            <c:spPr>
              <a:solidFill>
                <a:srgbClr val="FF9900"/>
              </a:solidFill>
              <a:ln w="12700">
                <a:solidFill>
                  <a:srgbClr val="FFFFFF"/>
                </a:solidFill>
              </a:ln>
            </c:spPr>
          </c:dPt>
          <c:dPt>
            <c:idx val="2"/>
            <c:spPr>
              <a:solidFill>
                <a:srgbClr val="FFFF00"/>
              </a:solidFill>
              <a:ln w="12700">
                <a:solidFill>
                  <a:srgbClr val="FFFFFF"/>
                </a:solidFill>
              </a:ln>
            </c:spPr>
          </c:dPt>
          <c:dPt>
            <c:idx val="3"/>
            <c:spPr>
              <a:solidFill>
                <a:srgbClr val="92D050"/>
              </a:solidFill>
              <a:ln w="12700">
                <a:solidFill>
                  <a:srgbClr val="FFFFFF"/>
                </a:solidFill>
              </a:ln>
            </c:spPr>
          </c:dPt>
          <c:dPt>
            <c:idx val="4"/>
            <c:spPr>
              <a:solidFill>
                <a:srgbClr val="00B050"/>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 2 (2)'!$A$18:$A$22</c:f>
              <c:strCache/>
            </c:strRef>
          </c:cat>
          <c:val>
            <c:numRef>
              <c:f>'GRAFICA 2 (2)'!$B$18:$B$22</c:f>
              <c:numCache/>
            </c:numRef>
          </c:val>
        </c:ser>
      </c:pieChart>
      <c:spPr>
        <a:noFill/>
        <a:ln>
          <a:noFill/>
        </a:ln>
      </c:spPr>
    </c:plotArea>
    <c:legend>
      <c:legendPos val="b"/>
      <c:layout>
        <c:manualLayout>
          <c:xMode val="edge"/>
          <c:yMode val="edge"/>
          <c:x val="0.152"/>
          <c:y val="0.89225"/>
          <c:w val="0.69225"/>
          <c:h val="0.088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5"/>
          <c:y val="0.09875"/>
          <c:w val="0.59775"/>
          <c:h val="0.799"/>
        </c:manualLayout>
      </c:layout>
      <c:pie3DChart>
        <c:varyColors val="1"/>
        <c:ser>
          <c:idx val="0"/>
          <c:order val="0"/>
          <c:tx>
            <c:strRef>
              <c:f>'graficas ejes'!$B$1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Lbls>
            <c:numFmt formatCode="General" sourceLinked="1"/>
            <c:txPr>
              <a:bodyPr vert="horz" rot="0" anchor="ctr"/>
              <a:lstStyle/>
              <a:p>
                <a:pPr algn="ctr">
                  <a:defRPr lang="en-US" cap="none" sz="16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ejes'!$A$2:$A$4</c:f>
              <c:strCache/>
            </c:strRef>
          </c:cat>
          <c:val>
            <c:numRef>
              <c:f>'graficas ejes'!$B$2:$B$4</c:f>
              <c:numCache/>
            </c:numRef>
          </c:val>
        </c:ser>
      </c:pie3DChart>
      <c:spPr>
        <a:noFill/>
        <a:ln>
          <a:noFill/>
        </a:ln>
      </c:spPr>
    </c:plotArea>
    <c:legend>
      <c:legendPos val="r"/>
      <c:layout>
        <c:manualLayout>
          <c:xMode val="edge"/>
          <c:yMode val="edge"/>
          <c:x val="0.1785"/>
          <c:y val="0.88"/>
          <c:w val="0.6335"/>
          <c:h val="0.099"/>
        </c:manualLayout>
      </c:layout>
      <c:overlay val="0"/>
      <c:spPr>
        <a:noFill/>
        <a:ln w="3175">
          <a:noFill/>
        </a:ln>
      </c:spPr>
      <c:txPr>
        <a:bodyPr vert="horz" rot="0"/>
        <a:lstStyle/>
        <a:p>
          <a:pPr>
            <a:defRPr lang="en-US" cap="none" sz="1285"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25"/>
          <c:y val="0.10175"/>
          <c:w val="0.5675"/>
          <c:h val="0.79325"/>
        </c:manualLayout>
      </c:layout>
      <c:pie3DChart>
        <c:varyColors val="1"/>
        <c:ser>
          <c:idx val="0"/>
          <c:order val="0"/>
          <c:tx>
            <c:strRef>
              <c:f>'graficas ejes'!$B$8</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FFFF00"/>
              </a:solidFill>
              <a:ln w="25400">
                <a:solidFill>
                  <a:srgbClr val="FFFFFF"/>
                </a:solidFill>
              </a:ln>
            </c:spPr>
          </c:dPt>
          <c:dPt>
            <c:idx val="2"/>
            <c:spPr>
              <a:solidFill>
                <a:srgbClr val="A5A5A5"/>
              </a:solidFill>
              <a:ln w="25400">
                <a:solidFill>
                  <a:srgbClr val="FFFFFF"/>
                </a:solidFill>
              </a:ln>
            </c:spPr>
          </c:dPt>
          <c:dLbls>
            <c:numFmt formatCode="General" sourceLinked="1"/>
            <c:txPr>
              <a:bodyPr vert="horz" rot="0" anchor="ctr"/>
              <a:lstStyle/>
              <a:p>
                <a:pPr algn="ctr">
                  <a:defRPr lang="en-US" cap="none" sz="16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ejes'!$A$9:$A$11</c:f>
              <c:strCache/>
            </c:strRef>
          </c:cat>
          <c:val>
            <c:numRef>
              <c:f>'graficas ejes'!$B$9:$B$11</c:f>
              <c:numCache/>
            </c:numRef>
          </c:val>
        </c:ser>
      </c:pie3DChart>
      <c:spPr>
        <a:noFill/>
        <a:ln>
          <a:noFill/>
        </a:ln>
      </c:spPr>
    </c:plotArea>
    <c:legend>
      <c:legendPos val="r"/>
      <c:layout>
        <c:manualLayout>
          <c:xMode val="edge"/>
          <c:yMode val="edge"/>
          <c:x val="0.149"/>
          <c:y val="0.8585"/>
          <c:w val="0.725"/>
          <c:h val="0.12225"/>
        </c:manualLayout>
      </c:layout>
      <c:overlay val="0"/>
      <c:spPr>
        <a:noFill/>
        <a:ln w="3175">
          <a:noFill/>
        </a:ln>
      </c:spPr>
      <c:txPr>
        <a:bodyPr vert="horz" rot="0"/>
        <a:lstStyle/>
        <a:p>
          <a:pPr>
            <a:defRPr lang="en-US" cap="none" sz="147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5"/>
          <c:y val="0.1525"/>
          <c:w val="0.95875"/>
          <c:h val="0.6975"/>
        </c:manualLayout>
      </c:layout>
      <c:pie3DChart>
        <c:varyColors val="1"/>
        <c:ser>
          <c:idx val="0"/>
          <c:order val="0"/>
          <c:tx>
            <c:strRef>
              <c:f>'graficas ejes'!$B$15</c:f>
              <c:strCache>
                <c:ptCount val="1"/>
                <c:pt idx="0">
                  <c:v>Cantidad</c:v>
                </c:pt>
              </c:strCache>
            </c:strRef>
          </c:tx>
          <c:spPr>
            <a:solidFill>
              <a:srgbClr val="7030A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9D18E"/>
              </a:solidFill>
              <a:ln w="25400">
                <a:solidFill>
                  <a:srgbClr val="FFFFFF"/>
                </a:solidFill>
              </a:ln>
            </c:spPr>
          </c:dPt>
          <c:dPt>
            <c:idx val="1"/>
            <c:spPr>
              <a:solidFill>
                <a:srgbClr val="00B0F0"/>
              </a:solidFill>
              <a:ln w="25400">
                <a:solidFill>
                  <a:srgbClr val="FFFFFF"/>
                </a:solidFill>
              </a:ln>
            </c:spPr>
          </c:dPt>
          <c:dLbls>
            <c:numFmt formatCode="General" sourceLinked="1"/>
            <c:txPr>
              <a:bodyPr vert="horz" rot="0" anchor="ctr"/>
              <a:lstStyle/>
              <a:p>
                <a:pPr algn="ctr">
                  <a:defRPr lang="en-US" cap="none" sz="1600" b="1"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ejes'!$A$16:$A$17</c:f>
              <c:strCache/>
            </c:strRef>
          </c:cat>
          <c:val>
            <c:numRef>
              <c:f>'graficas ejes'!$B$16:$B$17</c:f>
              <c:numCache/>
            </c:numRef>
          </c:val>
        </c:ser>
      </c:pie3DChart>
      <c:spPr>
        <a:noFill/>
        <a:ln>
          <a:noFill/>
        </a:ln>
      </c:spPr>
    </c:plotArea>
    <c:legend>
      <c:legendPos val="r"/>
      <c:layout>
        <c:manualLayout>
          <c:xMode val="edge"/>
          <c:yMode val="edge"/>
          <c:x val="0.30425"/>
          <c:y val="0.86775"/>
          <c:w val="0.3865"/>
          <c:h val="0.114"/>
        </c:manualLayout>
      </c:layout>
      <c:overlay val="0"/>
      <c:spPr>
        <a:noFill/>
        <a:ln w="3175">
          <a:noFill/>
        </a:ln>
      </c:spPr>
      <c:txPr>
        <a:bodyPr vert="horz" rot="0"/>
        <a:lstStyle/>
        <a:p>
          <a:pPr>
            <a:defRPr lang="en-US" cap="none" sz="147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dinámica2</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Instituciones y/o Secretarías</a:t>
            </a:r>
          </a:p>
        </c:rich>
      </c:tx>
      <c:layout>
        <c:manualLayout>
          <c:xMode val="factor"/>
          <c:yMode val="factor"/>
          <c:x val="-0.0025"/>
          <c:y val="0.0575"/>
        </c:manualLayout>
      </c:layout>
      <c:spPr>
        <a:noFill/>
        <a:ln>
          <a:noFill/>
        </a:ln>
      </c:spPr>
    </c:title>
    <c:plotArea>
      <c:layout/>
      <c:pieChart>
        <c:varyColors val="1"/>
        <c:ser>
          <c:idx val="0"/>
          <c:order val="0"/>
          <c:tx>
            <c:v>Cuenta de INSTITUCIÓN Total</c:v>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Pt>
            <c:idx val="2"/>
            <c:spPr>
              <a:solidFill>
                <a:srgbClr val="A5A5A5"/>
              </a:solidFill>
              <a:ln w="3175">
                <a:noFill/>
              </a:ln>
            </c:spPr>
          </c:dPt>
          <c:dPt>
            <c:idx val="3"/>
            <c:spPr>
              <a:solidFill>
                <a:srgbClr val="FFC000"/>
              </a:solidFill>
              <a:ln w="3175">
                <a:noFill/>
              </a:ln>
            </c:spPr>
          </c:dPt>
          <c:dPt>
            <c:idx val="4"/>
            <c:spPr>
              <a:solidFill>
                <a:srgbClr val="4472C4"/>
              </a:solidFill>
              <a:ln w="3175">
                <a:noFill/>
              </a:ln>
            </c:spPr>
          </c:dPt>
          <c:dPt>
            <c:idx val="5"/>
            <c:spPr>
              <a:solidFill>
                <a:srgbClr val="70AD47"/>
              </a:solidFill>
              <a:ln w="3175">
                <a:noFill/>
              </a:ln>
            </c:spPr>
          </c:dPt>
          <c:dPt>
            <c:idx val="6"/>
            <c:spPr>
              <a:solidFill>
                <a:srgbClr val="255E91"/>
              </a:solidFill>
              <a:ln w="3175">
                <a:noFill/>
              </a:ln>
            </c:spPr>
          </c:dPt>
          <c:dPt>
            <c:idx val="7"/>
            <c:spPr>
              <a:solidFill>
                <a:srgbClr val="9E480E"/>
              </a:solidFill>
              <a:ln w="3175">
                <a:noFill/>
              </a:ln>
            </c:spPr>
          </c:dPt>
          <c:dPt>
            <c:idx val="8"/>
            <c:spPr>
              <a:solidFill>
                <a:srgbClr val="636363"/>
              </a:solidFill>
              <a:ln w="3175">
                <a:noFill/>
              </a:ln>
            </c:spPr>
          </c:dPt>
          <c:dPt>
            <c:idx val="9"/>
            <c:spPr>
              <a:solidFill>
                <a:srgbClr val="997300"/>
              </a:solidFill>
              <a:ln w="3175">
                <a:noFill/>
              </a:ln>
            </c:spPr>
          </c:dPt>
          <c:dPt>
            <c:idx val="10"/>
            <c:spPr>
              <a:solidFill>
                <a:srgbClr val="264478"/>
              </a:solidFill>
              <a:ln w="3175">
                <a:noFill/>
              </a:ln>
            </c:spPr>
          </c:dPt>
          <c:dPt>
            <c:idx val="11"/>
            <c:spPr>
              <a:solidFill>
                <a:srgbClr val="43682B"/>
              </a:solidFill>
              <a:ln w="3175">
                <a:noFill/>
              </a:ln>
            </c:spPr>
          </c:dPt>
          <c:dPt>
            <c:idx val="12"/>
            <c:spPr>
              <a:solidFill>
                <a:srgbClr val="7CAFDD"/>
              </a:solidFill>
              <a:ln w="3175">
                <a:noFill/>
              </a:ln>
            </c:spPr>
          </c:dPt>
          <c:dPt>
            <c:idx val="13"/>
            <c:spPr>
              <a:solidFill>
                <a:srgbClr val="F1975A"/>
              </a:solidFill>
              <a:ln w="3175">
                <a:noFill/>
              </a:ln>
            </c:spPr>
          </c:dPt>
          <c:dPt>
            <c:idx val="14"/>
            <c:spPr>
              <a:solidFill>
                <a:srgbClr val="B7B7B7"/>
              </a:solidFill>
              <a:ln w="3175">
                <a:noFill/>
              </a:ln>
            </c:spPr>
          </c:dPt>
          <c:dPt>
            <c:idx val="15"/>
            <c:spPr>
              <a:solidFill>
                <a:srgbClr val="FFCD33"/>
              </a:solidFill>
              <a:ln w="3175">
                <a:noFill/>
              </a:ln>
            </c:spPr>
          </c:dPt>
          <c:dPt>
            <c:idx val="16"/>
            <c:spPr>
              <a:solidFill>
                <a:srgbClr val="698ED0"/>
              </a:solidFill>
              <a:ln w="3175">
                <a:noFill/>
              </a:ln>
            </c:spPr>
          </c:dPt>
          <c:dPt>
            <c:idx val="17"/>
            <c:spPr>
              <a:solidFill>
                <a:srgbClr val="8CC168"/>
              </a:solidFill>
              <a:ln w="3175">
                <a:noFill/>
              </a:ln>
            </c:spPr>
          </c:dPt>
          <c:dPt>
            <c:idx val="18"/>
            <c:spPr>
              <a:solidFill>
                <a:srgbClr val="327DC2"/>
              </a:solidFill>
              <a:ln w="3175">
                <a:noFill/>
              </a:ln>
            </c:spPr>
          </c:dPt>
          <c:dPt>
            <c:idx val="19"/>
            <c:spPr>
              <a:solidFill>
                <a:srgbClr val="D26012"/>
              </a:solidFill>
              <a:ln w="3175">
                <a:noFill/>
              </a:ln>
            </c:spPr>
          </c:dPt>
          <c:dPt>
            <c:idx val="20"/>
            <c:spPr>
              <a:solidFill>
                <a:srgbClr val="848484"/>
              </a:solidFill>
              <a:ln w="3175">
                <a:no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pieChart>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dinámica3</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ENTIDADES QUE DIERON RESPUESTA</a:t>
            </a:r>
          </a:p>
        </c:rich>
      </c:tx>
      <c:layout>
        <c:manualLayout>
          <c:xMode val="factor"/>
          <c:yMode val="factor"/>
          <c:x val="-0.003"/>
          <c:y val="0.167"/>
        </c:manualLayout>
      </c:layout>
      <c:spPr>
        <a:noFill/>
        <a:ln>
          <a:noFill/>
        </a:ln>
      </c:spPr>
    </c:title>
    <c:plotArea>
      <c:layout/>
      <c:barChart>
        <c:barDir val="col"/>
        <c:grouping val="clustered"/>
        <c:varyColors val="0"/>
        <c:ser>
          <c:idx val="0"/>
          <c:order val="0"/>
          <c:tx>
            <c:v>Cuenta de RESPUESTA SI/NO Total</c:v>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overlap val="-27"/>
        <c:gapWidth val="219"/>
        <c:axId val="52554131"/>
        <c:axId val="3225132"/>
      </c:barChart>
      <c:catAx>
        <c:axId val="52554131"/>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225132"/>
        <c:crosses val="autoZero"/>
        <c:auto val="0"/>
        <c:lblOffset val="100"/>
        <c:tickLblSkip val="1"/>
        <c:noMultiLvlLbl val="0"/>
      </c:catAx>
      <c:valAx>
        <c:axId val="32251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554131"/>
        <c:crossesAt val="1"/>
        <c:crossBetween val="between"/>
        <c:dispUnits/>
      </c:valAx>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dinámica3</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ENTIDADES QUE NO DIERON RESPUESTA</a:t>
            </a:r>
          </a:p>
        </c:rich>
      </c:tx>
      <c:layout>
        <c:manualLayout>
          <c:xMode val="factor"/>
          <c:yMode val="factor"/>
          <c:x val="-0.0015"/>
          <c:y val="0.13475"/>
        </c:manualLayout>
      </c:layout>
      <c:spPr>
        <a:noFill/>
        <a:ln>
          <a:noFill/>
        </a:ln>
      </c:spPr>
    </c:title>
    <c:view3D>
      <c:rotX val="30"/>
      <c:hPercent val="100"/>
      <c:rotY val="0"/>
      <c:depthPercent val="100"/>
      <c:rAngAx val="1"/>
    </c:view3D>
    <c:plotArea>
      <c:layout/>
      <c:pie3DChart>
        <c:varyColors val="1"/>
        <c:ser>
          <c:idx val="0"/>
          <c:order val="0"/>
          <c:tx>
            <c:v>Cuenta de RESPUESTA SI/NO Total</c:v>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DE752D"/>
              </a:solidFill>
              <a:ln w="3175">
                <a:noFill/>
              </a:ln>
            </c:spPr>
          </c:dPt>
          <c:dPt>
            <c:idx val="8"/>
            <c:spPr>
              <a:solidFill>
                <a:srgbClr val="636363"/>
              </a:solidFill>
              <a:ln w="25400">
                <a:solidFill>
                  <a:srgbClr val="FFFFFF"/>
                </a:solidFill>
              </a:ln>
            </c:spPr>
          </c:dPt>
          <c:dPt>
            <c:idx val="9"/>
            <c:spPr>
              <a:solidFill>
                <a:srgbClr val="EFB300"/>
              </a:solidFill>
              <a:ln w="3175">
                <a:noFill/>
              </a:ln>
            </c:spPr>
          </c:dPt>
          <c:dPt>
            <c:idx val="10"/>
            <c:spPr>
              <a:solidFill>
                <a:srgbClr val="264478"/>
              </a:solidFill>
              <a:ln w="25400">
                <a:solidFill>
                  <a:srgbClr val="FFFFFF"/>
                </a:solidFill>
              </a:ln>
            </c:spPr>
          </c:dPt>
          <c:dPt>
            <c:idx val="11"/>
            <c:spPr>
              <a:solidFill>
                <a:srgbClr val="68A242"/>
              </a:solidFill>
              <a:ln w="3175">
                <a:no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Pt>
            <c:idx val="14"/>
            <c:spPr>
              <a:solidFill>
                <a:srgbClr val="B5B5B5"/>
              </a:solidFill>
              <a:ln w="3175">
                <a:noFill/>
              </a:ln>
            </c:spPr>
          </c:dPt>
          <c:dPt>
            <c:idx val="15"/>
            <c:spPr>
              <a:solidFill>
                <a:srgbClr val="FFCD33"/>
              </a:solidFill>
              <a:ln w="25400">
                <a:solidFill>
                  <a:srgbClr val="FFFFFF"/>
                </a:solidFill>
              </a:ln>
            </c:spPr>
          </c:dPt>
          <c:dPt>
            <c:idx val="16"/>
            <c:spPr>
              <a:solidFill>
                <a:srgbClr val="7991CE"/>
              </a:solidFill>
              <a:ln w="3175">
                <a:noFill/>
              </a:ln>
            </c:spPr>
          </c:dPt>
          <c:dPt>
            <c:idx val="17"/>
            <c:spPr>
              <a:solidFill>
                <a:srgbClr val="8CC168"/>
              </a:solidFill>
              <a:ln w="25400">
                <a:solidFill>
                  <a:srgbClr val="FFFFFF"/>
                </a:solidFill>
              </a:ln>
            </c:spPr>
          </c:dPt>
          <c:dPt>
            <c:idx val="18"/>
            <c:spPr>
              <a:solidFill>
                <a:srgbClr val="327DC2"/>
              </a:solidFill>
              <a:ln w="25400">
                <a:solidFill>
                  <a:srgbClr val="FFFFFF"/>
                </a:solidFill>
              </a:ln>
            </c:spPr>
          </c:dPt>
          <c:dPt>
            <c:idx val="19"/>
            <c:spPr>
              <a:solidFill>
                <a:srgbClr val="D26012"/>
              </a:solidFill>
              <a:ln w="25400">
                <a:solidFill>
                  <a:srgbClr val="FFFFFF"/>
                </a:solidFill>
              </a:ln>
            </c:spPr>
          </c:dPt>
          <c:dPt>
            <c:idx val="20"/>
            <c:spPr>
              <a:solidFill>
                <a:srgbClr val="D1D1D1"/>
              </a:solidFill>
              <a:ln w="3175">
                <a:no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pie3DChart>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114</xdr:row>
      <xdr:rowOff>161925</xdr:rowOff>
    </xdr:from>
    <xdr:to>
      <xdr:col>13</xdr:col>
      <xdr:colOff>1276350</xdr:colOff>
      <xdr:row>118</xdr:row>
      <xdr:rowOff>171450</xdr:rowOff>
    </xdr:to>
    <xdr:sp>
      <xdr:nvSpPr>
        <xdr:cNvPr id="1" name="CuadroTexto 1"/>
        <xdr:cNvSpPr txBox="1">
          <a:spLocks noChangeArrowheads="1"/>
        </xdr:cNvSpPr>
      </xdr:nvSpPr>
      <xdr:spPr>
        <a:xfrm>
          <a:off x="4219575" y="124691775"/>
          <a:ext cx="969645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Es importante aclarar que al momento de la elaboración de este informe, algunas de las Secretarías, entes Descentralizados del Departamento y Alcaldías del Quindío, no reportaron la información necesario por lo cual algunas casillas aparecen en blanco.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0</xdr:rowOff>
    </xdr:from>
    <xdr:to>
      <xdr:col>8</xdr:col>
      <xdr:colOff>361950</xdr:colOff>
      <xdr:row>17</xdr:row>
      <xdr:rowOff>47625</xdr:rowOff>
    </xdr:to>
    <xdr:graphicFrame>
      <xdr:nvGraphicFramePr>
        <xdr:cNvPr id="1" name="Gráfico 1"/>
        <xdr:cNvGraphicFramePr/>
      </xdr:nvGraphicFramePr>
      <xdr:xfrm>
        <a:off x="2076450" y="0"/>
        <a:ext cx="4381500" cy="3219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0</xdr:rowOff>
    </xdr:from>
    <xdr:to>
      <xdr:col>8</xdr:col>
      <xdr:colOff>123825</xdr:colOff>
      <xdr:row>14</xdr:row>
      <xdr:rowOff>28575</xdr:rowOff>
    </xdr:to>
    <xdr:graphicFrame>
      <xdr:nvGraphicFramePr>
        <xdr:cNvPr id="1" name="Gráfico 1"/>
        <xdr:cNvGraphicFramePr/>
      </xdr:nvGraphicFramePr>
      <xdr:xfrm>
        <a:off x="2076450" y="0"/>
        <a:ext cx="4143375" cy="2628900"/>
      </xdr:xfrm>
      <a:graphic>
        <a:graphicData uri="http://schemas.openxmlformats.org/drawingml/2006/chart">
          <c:chart xmlns:c="http://schemas.openxmlformats.org/drawingml/2006/chart" r:id="rId1"/>
        </a:graphicData>
      </a:graphic>
    </xdr:graphicFrame>
    <xdr:clientData/>
  </xdr:twoCellAnchor>
  <xdr:twoCellAnchor>
    <xdr:from>
      <xdr:col>2</xdr:col>
      <xdr:colOff>733425</xdr:colOff>
      <xdr:row>14</xdr:row>
      <xdr:rowOff>114300</xdr:rowOff>
    </xdr:from>
    <xdr:to>
      <xdr:col>8</xdr:col>
      <xdr:colOff>257175</xdr:colOff>
      <xdr:row>27</xdr:row>
      <xdr:rowOff>171450</xdr:rowOff>
    </xdr:to>
    <xdr:graphicFrame>
      <xdr:nvGraphicFramePr>
        <xdr:cNvPr id="2" name="Gráfico 1"/>
        <xdr:cNvGraphicFramePr/>
      </xdr:nvGraphicFramePr>
      <xdr:xfrm>
        <a:off x="2257425" y="2714625"/>
        <a:ext cx="4095750" cy="2476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0</xdr:row>
      <xdr:rowOff>0</xdr:rowOff>
    </xdr:from>
    <xdr:to>
      <xdr:col>11</xdr:col>
      <xdr:colOff>200025</xdr:colOff>
      <xdr:row>14</xdr:row>
      <xdr:rowOff>76200</xdr:rowOff>
    </xdr:to>
    <xdr:graphicFrame>
      <xdr:nvGraphicFramePr>
        <xdr:cNvPr id="1" name="Gráfico 1"/>
        <xdr:cNvGraphicFramePr/>
      </xdr:nvGraphicFramePr>
      <xdr:xfrm>
        <a:off x="4791075" y="0"/>
        <a:ext cx="4572000" cy="2647950"/>
      </xdr:xfrm>
      <a:graphic>
        <a:graphicData uri="http://schemas.openxmlformats.org/drawingml/2006/chart">
          <c:chart xmlns:c="http://schemas.openxmlformats.org/drawingml/2006/chart" r:id="rId1"/>
        </a:graphicData>
      </a:graphic>
    </xdr:graphicFrame>
    <xdr:clientData/>
  </xdr:twoCellAnchor>
  <xdr:twoCellAnchor>
    <xdr:from>
      <xdr:col>4</xdr:col>
      <xdr:colOff>619125</xdr:colOff>
      <xdr:row>15</xdr:row>
      <xdr:rowOff>0</xdr:rowOff>
    </xdr:from>
    <xdr:to>
      <xdr:col>10</xdr:col>
      <xdr:colOff>619125</xdr:colOff>
      <xdr:row>28</xdr:row>
      <xdr:rowOff>95250</xdr:rowOff>
    </xdr:to>
    <xdr:graphicFrame>
      <xdr:nvGraphicFramePr>
        <xdr:cNvPr id="2" name="Gráfico 2"/>
        <xdr:cNvGraphicFramePr/>
      </xdr:nvGraphicFramePr>
      <xdr:xfrm>
        <a:off x="4448175" y="2752725"/>
        <a:ext cx="4572000" cy="2552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104775</xdr:rowOff>
    </xdr:from>
    <xdr:to>
      <xdr:col>4</xdr:col>
      <xdr:colOff>742950</xdr:colOff>
      <xdr:row>32</xdr:row>
      <xdr:rowOff>180975</xdr:rowOff>
    </xdr:to>
    <xdr:graphicFrame>
      <xdr:nvGraphicFramePr>
        <xdr:cNvPr id="3" name="Gráfico 3"/>
        <xdr:cNvGraphicFramePr/>
      </xdr:nvGraphicFramePr>
      <xdr:xfrm>
        <a:off x="0" y="3409950"/>
        <a:ext cx="4572000" cy="274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12</xdr:col>
      <xdr:colOff>752475</xdr:colOff>
      <xdr:row>19</xdr:row>
      <xdr:rowOff>76200</xdr:rowOff>
    </xdr:to>
    <xdr:graphicFrame>
      <xdr:nvGraphicFramePr>
        <xdr:cNvPr id="1" name="Gráfico 1"/>
        <xdr:cNvGraphicFramePr/>
      </xdr:nvGraphicFramePr>
      <xdr:xfrm>
        <a:off x="5667375" y="0"/>
        <a:ext cx="5762625" cy="3524250"/>
      </xdr:xfrm>
      <a:graphic>
        <a:graphicData uri="http://schemas.openxmlformats.org/drawingml/2006/chart">
          <c:chart xmlns:c="http://schemas.openxmlformats.org/drawingml/2006/chart" r:id="rId1"/>
        </a:graphicData>
      </a:graphic>
    </xdr:graphicFrame>
    <xdr:clientData/>
  </xdr:twoCellAnchor>
  <xdr:twoCellAnchor>
    <xdr:from>
      <xdr:col>5</xdr:col>
      <xdr:colOff>581025</xdr:colOff>
      <xdr:row>20</xdr:row>
      <xdr:rowOff>9525</xdr:rowOff>
    </xdr:from>
    <xdr:to>
      <xdr:col>12</xdr:col>
      <xdr:colOff>247650</xdr:colOff>
      <xdr:row>37</xdr:row>
      <xdr:rowOff>28575</xdr:rowOff>
    </xdr:to>
    <xdr:graphicFrame>
      <xdr:nvGraphicFramePr>
        <xdr:cNvPr id="2" name="Gráfico 2"/>
        <xdr:cNvGraphicFramePr/>
      </xdr:nvGraphicFramePr>
      <xdr:xfrm>
        <a:off x="5924550" y="3638550"/>
        <a:ext cx="5000625" cy="3200400"/>
      </xdr:xfrm>
      <a:graphic>
        <a:graphicData uri="http://schemas.openxmlformats.org/drawingml/2006/chart">
          <c:chart xmlns:c="http://schemas.openxmlformats.org/drawingml/2006/chart" r:id="rId2"/>
        </a:graphicData>
      </a:graphic>
    </xdr:graphicFrame>
    <xdr:clientData/>
  </xdr:twoCellAnchor>
  <xdr:twoCellAnchor>
    <xdr:from>
      <xdr:col>12</xdr:col>
      <xdr:colOff>723900</xdr:colOff>
      <xdr:row>19</xdr:row>
      <xdr:rowOff>161925</xdr:rowOff>
    </xdr:from>
    <xdr:to>
      <xdr:col>20</xdr:col>
      <xdr:colOff>47625</xdr:colOff>
      <xdr:row>40</xdr:row>
      <xdr:rowOff>19050</xdr:rowOff>
    </xdr:to>
    <xdr:graphicFrame>
      <xdr:nvGraphicFramePr>
        <xdr:cNvPr id="3" name="Gráfico 3"/>
        <xdr:cNvGraphicFramePr/>
      </xdr:nvGraphicFramePr>
      <xdr:xfrm>
        <a:off x="11401425" y="3609975"/>
        <a:ext cx="5419725" cy="3790950"/>
      </xdr:xfrm>
      <a:graphic>
        <a:graphicData uri="http://schemas.openxmlformats.org/drawingml/2006/chart">
          <c:chart xmlns:c="http://schemas.openxmlformats.org/drawingml/2006/chart" r:id="rId3"/>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INSTITUCI?N">
      <sharedItems containsMixedTypes="0" count="21">
        <s v="ALCALDIA"/>
        <s v="ASOCIACIÓN"/>
        <s v="CABILDO"/>
        <s v="CAMARA DE COMERCIO"/>
        <s v="CBA"/>
        <s v="CENTRO VIDA"/>
        <s v="COMITÉ CAFETEROS"/>
        <s v="DEFENSORIA"/>
        <s v="GOBERNACIÓN DEL QUINDIO"/>
        <s v="HOSPITAL"/>
        <s v="ICBF"/>
        <s v="IMDERA"/>
        <s v="JAL"/>
        <s v="ONG"/>
        <s v="ORG DE BASE"/>
        <s v="ORGANIZACIONES DE BASE"/>
        <s v="PENSIONADOS"/>
        <s v="PERSONERIA"/>
        <s v="RED SALUD"/>
        <s v="SENA"/>
        <s v="UNIVERSIDAD"/>
      </sharedItems>
    </cacheField>
    <cacheField name="MUNICIPIO">
      <sharedItems containsMixedTypes="0"/>
    </cacheField>
    <cacheField name="ENTIDAD">
      <sharedItems containsMixedTypes="0"/>
    </cacheField>
    <cacheField name="FECHA DE RESPUESTA">
      <sharedItems containsDate="1" containsMixedTypes="1"/>
    </cacheField>
    <cacheField name="OBSERVACI?N">
      <sharedItems containsMixedTypes="0"/>
    </cacheField>
    <cacheField name="RESPUESTA SI/NO">
      <sharedItems containsMixedTypes="0" count="2">
        <s v="SI"/>
        <s v="NO"/>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3"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D3:E26" firstHeaderRow="2" firstDataRow="2" firstDataCol="1" rowPageCount="1" colPageCount="1"/>
  <pivotFields count="6">
    <pivotField axis="axisRow" compact="0" outline="0" subtotalTop="0" showAll="0">
      <items count="22">
        <item x="0"/>
        <item x="1"/>
        <item x="2"/>
        <item x="3"/>
        <item x="4"/>
        <item x="5"/>
        <item x="6"/>
        <item x="7"/>
        <item x="8"/>
        <item x="9"/>
        <item x="10"/>
        <item x="11"/>
        <item x="12"/>
        <item x="13"/>
        <item x="14"/>
        <item x="15"/>
        <item x="16"/>
        <item x="17"/>
        <item x="18"/>
        <item x="19"/>
        <item x="20"/>
        <item t="default"/>
      </items>
    </pivotField>
    <pivotField compact="0" outline="0" subtotalTop="0" showAll="0"/>
    <pivotField compact="0" outline="0" subtotalTop="0" showAll="0"/>
    <pivotField compact="0" outline="0" subtotalTop="0" showAll="0"/>
    <pivotField compact="0" outline="0" subtotalTop="0" showAll="0"/>
    <pivotField axis="axisPage" dataField="1" compact="0" outline="0" subtotalTop="0" showAll="0">
      <items count="3">
        <item x="1"/>
        <item x="0"/>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ageFields count="1">
    <pageField fld="5" hier="0"/>
  </pageFields>
  <dataFields count="1">
    <dataField name="Cuenta de RESPUESTA SI/NO" fld="5" subtotal="count" baseField="0" baseItem="0"/>
  </dataFields>
  <formats count="19">
    <format dxfId="0">
      <pivotArea outline="0" fieldPosition="0"/>
    </format>
    <format dxfId="0">
      <pivotArea outline="0" fieldPosition="0" axis="axisRow" dataOnly="0" field="0" labelOnly="1" type="button"/>
    </format>
    <format dxfId="0">
      <pivotArea outline="0" fieldPosition="0" dataOnly="0" labelOnly="1">
        <references count="1">
          <reference field="0" count="15">
            <x v="0"/>
            <x v="1"/>
            <x v="2"/>
            <x v="3"/>
            <x v="4"/>
            <x v="5"/>
            <x v="6"/>
            <x v="8"/>
            <x v="10"/>
            <x v="12"/>
            <x v="13"/>
            <x v="15"/>
            <x v="17"/>
            <x v="18"/>
            <x v="19"/>
          </reference>
        </references>
      </pivotArea>
    </format>
    <format dxfId="0">
      <pivotArea outline="0" fieldPosition="0" dataOnly="0" grandRow="1" labelOnly="1"/>
    </format>
    <format dxfId="1">
      <pivotArea outline="0" fieldPosition="0"/>
    </format>
    <format dxfId="1">
      <pivotArea outline="0" fieldPosition="0" axis="axisRow" dataOnly="0" field="0" labelOnly="1" type="button"/>
    </format>
    <format dxfId="1">
      <pivotArea outline="0" fieldPosition="0" dataOnly="0" labelOnly="1">
        <references count="1">
          <reference field="0" count="15">
            <x v="0"/>
            <x v="1"/>
            <x v="2"/>
            <x v="3"/>
            <x v="4"/>
            <x v="5"/>
            <x v="6"/>
            <x v="8"/>
            <x v="10"/>
            <x v="12"/>
            <x v="13"/>
            <x v="15"/>
            <x v="17"/>
            <x v="18"/>
            <x v="19"/>
          </reference>
        </references>
      </pivotArea>
    </format>
    <format dxfId="1">
      <pivotArea outline="0" fieldPosition="0" dataOnly="0" grandRow="1" labelOnly="1"/>
    </format>
    <format dxfId="2">
      <pivotArea outline="0" fieldPosition="0" axis="axisRow" dataOnly="0" field="0" labelOnly="1" type="button"/>
    </format>
    <format dxfId="0">
      <pivotArea outline="0" fieldPosition="0"/>
    </format>
    <format dxfId="0">
      <pivotArea outline="0" fieldPosition="0" axis="axisRow" dataOnly="0" field="0" labelOnly="1" type="button"/>
    </format>
    <format dxfId="0">
      <pivotArea outline="0" fieldPosition="0" dataOnly="0" labelOnly="1">
        <references count="1">
          <reference field="0" count="13">
            <x v="0"/>
            <x v="4"/>
            <x v="5"/>
            <x v="7"/>
            <x v="8"/>
            <x v="9"/>
            <x v="11"/>
            <x v="12"/>
            <x v="14"/>
            <x v="15"/>
            <x v="16"/>
            <x v="17"/>
            <x v="20"/>
          </reference>
        </references>
      </pivotArea>
    </format>
    <format dxfId="0">
      <pivotArea outline="0" fieldPosition="0" dataOnly="0" grandRow="1" labelOnly="1"/>
    </format>
    <format dxfId="3">
      <pivotArea outline="0" fieldPosition="0"/>
    </format>
    <format dxfId="3">
      <pivotArea outline="0" fieldPosition="0" axis="axisRow" dataOnly="0" field="0" labelOnly="1" type="button"/>
    </format>
    <format dxfId="3">
      <pivotArea outline="0" fieldPosition="0" dataOnly="0" labelOnly="1">
        <references count="1">
          <reference field="0" count="13">
            <x v="0"/>
            <x v="4"/>
            <x v="5"/>
            <x v="7"/>
            <x v="8"/>
            <x v="9"/>
            <x v="11"/>
            <x v="12"/>
            <x v="14"/>
            <x v="15"/>
            <x v="16"/>
            <x v="17"/>
            <x v="20"/>
          </reference>
        </references>
      </pivotArea>
    </format>
    <format dxfId="3">
      <pivotArea outline="0" fieldPosition="0" dataOnly="0" grandRow="1" labelOnly="1"/>
    </format>
    <format dxfId="2">
      <pivotArea outline="0" fieldPosition="0" grandRow="1"/>
    </format>
    <format dxfId="2">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Datos" showMissing="1" preserveFormatting="1" useAutoFormatting="1" subtotalHiddenItems="1" itemPrintTitles="1" compactData="0" updatedVersion="2" indent="0" showMemberPropertyTips="1">
  <location ref="A3:B26" firstHeaderRow="2" firstDataRow="2" firstDataCol="1"/>
  <pivotFields count="6">
    <pivotField axis="axisRow" dataField="1" compact="0" outline="0" subtotalTop="0" showAll="0">
      <items count="22">
        <item x="0"/>
        <item x="1"/>
        <item x="2"/>
        <item x="3"/>
        <item x="4"/>
        <item x="5"/>
        <item x="6"/>
        <item x="7"/>
        <item x="8"/>
        <item x="9"/>
        <item x="10"/>
        <item x="11"/>
        <item x="12"/>
        <item x="13"/>
        <item x="14"/>
        <item x="15"/>
        <item x="16"/>
        <item x="17"/>
        <item x="18"/>
        <item x="19"/>
        <item x="2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uenta de INSTITUCI?N" fld="0" subtotal="count" baseField="0" baseItem="0"/>
  </dataFields>
  <formats count="11">
    <format dxfId="2">
      <pivotArea outline="0" fieldPosition="0" axis="axisRow" dataOnly="0" field="0" labelOnly="1" type="button"/>
    </format>
    <format dxfId="0">
      <pivotArea outline="0" fieldPosition="0"/>
    </format>
    <format dxfId="0">
      <pivotArea outline="0" fieldPosition="0" axis="axisRow" dataOnly="0" field="0" labelOnly="1" type="button"/>
    </format>
    <format dxfId="0">
      <pivotArea outline="0" fieldPosition="0" dataOnly="0" labelOnly="1">
        <references count="1">
          <reference field="0" count="0"/>
        </references>
      </pivotArea>
    </format>
    <format dxfId="0">
      <pivotArea outline="0" fieldPosition="0" dataOnly="0" grandRow="1" labelOnly="1"/>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2">
      <pivotArea outline="0" fieldPosition="0" grandRow="1"/>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E155"/>
  <sheetViews>
    <sheetView tabSelected="1" zoomScale="52" zoomScaleNormal="52"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V8" sqref="V8"/>
    </sheetView>
  </sheetViews>
  <sheetFormatPr defaultColWidth="11.421875" defaultRowHeight="15"/>
  <cols>
    <col min="1" max="1" width="9.140625" style="5" customWidth="1"/>
    <col min="2" max="2" width="7.421875" style="5" customWidth="1"/>
    <col min="3" max="3" width="11.140625" style="5" customWidth="1"/>
    <col min="4" max="4" width="31.140625" style="5" customWidth="1"/>
    <col min="5" max="5" width="17.00390625" style="5" customWidth="1"/>
    <col min="6" max="6" width="33.140625" style="5" customWidth="1"/>
    <col min="7" max="7" width="20.140625" style="5" customWidth="1"/>
    <col min="8" max="10" width="20.140625" style="5" hidden="1" customWidth="1"/>
    <col min="11" max="14" width="20.140625" style="5" customWidth="1"/>
    <col min="15" max="15" width="21.140625" style="5" customWidth="1"/>
    <col min="16" max="17" width="20.28125" style="5" customWidth="1"/>
    <col min="18" max="18" width="17.7109375" style="3" customWidth="1"/>
    <col min="19" max="21" width="17.7109375" style="5" customWidth="1"/>
    <col min="22" max="22" width="16.7109375" style="5" customWidth="1"/>
    <col min="23" max="23" width="16.28125" style="5" customWidth="1"/>
    <col min="24" max="24" width="14.00390625" style="5" customWidth="1"/>
    <col min="25" max="25" width="27.8515625" style="5" customWidth="1"/>
    <col min="26" max="28" width="16.421875" style="5" customWidth="1"/>
    <col min="29" max="29" width="17.00390625" style="5" customWidth="1"/>
    <col min="30" max="30" width="28.00390625" style="5" customWidth="1"/>
    <col min="31" max="31" width="19.00390625" style="5" hidden="1" customWidth="1"/>
    <col min="32" max="34" width="16.140625" style="5" customWidth="1"/>
    <col min="35" max="35" width="18.00390625" style="5" customWidth="1"/>
    <col min="36" max="37" width="17.7109375" style="5" customWidth="1"/>
    <col min="38" max="38" width="17.7109375" style="3" customWidth="1"/>
    <col min="39" max="40" width="17.7109375" style="5" customWidth="1"/>
    <col min="41" max="41" width="17.7109375" style="3" customWidth="1"/>
    <col min="42" max="43" width="16.140625" style="5" customWidth="1"/>
    <col min="44" max="44" width="37.140625" style="5" hidden="1" customWidth="1"/>
    <col min="45" max="47" width="16.140625" style="5" hidden="1" customWidth="1"/>
    <col min="48" max="48" width="19.421875" style="5" hidden="1" customWidth="1"/>
    <col min="49" max="49" width="16.140625" style="5" hidden="1" customWidth="1"/>
    <col min="50" max="50" width="19.421875" style="5" hidden="1" customWidth="1"/>
    <col min="51" max="51" width="16.140625" style="5" hidden="1" customWidth="1"/>
    <col min="52" max="52" width="19.7109375" style="5" customWidth="1"/>
    <col min="53" max="53" width="18.00390625" style="5" customWidth="1"/>
    <col min="54" max="54" width="16.140625" style="5" customWidth="1"/>
    <col min="55" max="55" width="19.421875" style="5" bestFit="1" customWidth="1"/>
    <col min="56" max="56" width="27.28125" style="5" customWidth="1"/>
    <col min="57" max="16384" width="11.421875" style="5" customWidth="1"/>
  </cols>
  <sheetData>
    <row r="1" spans="1:56" ht="30.75" customHeight="1">
      <c r="A1" s="82"/>
      <c r="B1" s="239"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row>
    <row r="2" spans="1:56" ht="18.75" customHeight="1">
      <c r="A2" s="239" t="s">
        <v>10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row>
    <row r="3" spans="1:56" ht="25.5" customHeight="1">
      <c r="A3" s="248" t="s">
        <v>1</v>
      </c>
      <c r="B3" s="248" t="s">
        <v>203</v>
      </c>
      <c r="C3" s="250" t="s">
        <v>204</v>
      </c>
      <c r="D3" s="248" t="s">
        <v>216</v>
      </c>
      <c r="E3" s="250" t="s">
        <v>2</v>
      </c>
      <c r="F3" s="250" t="s">
        <v>3</v>
      </c>
      <c r="G3" s="254" t="s">
        <v>4</v>
      </c>
      <c r="H3" s="254" t="s">
        <v>397</v>
      </c>
      <c r="I3" s="264"/>
      <c r="J3" s="265"/>
      <c r="K3" s="13">
        <v>2012</v>
      </c>
      <c r="L3" s="13">
        <v>2013</v>
      </c>
      <c r="M3" s="13">
        <v>2014</v>
      </c>
      <c r="N3" s="13">
        <v>2015</v>
      </c>
      <c r="O3" s="77">
        <v>2016</v>
      </c>
      <c r="P3" s="278" t="s">
        <v>544</v>
      </c>
      <c r="Q3" s="278" t="s">
        <v>545</v>
      </c>
      <c r="R3" s="235" t="s">
        <v>426</v>
      </c>
      <c r="S3" s="261" t="s">
        <v>354</v>
      </c>
      <c r="T3" s="262"/>
      <c r="U3" s="263"/>
      <c r="V3" s="72">
        <v>42856</v>
      </c>
      <c r="W3" s="261" t="s">
        <v>233</v>
      </c>
      <c r="X3" s="262"/>
      <c r="Y3" s="263"/>
      <c r="Z3" s="72">
        <v>43070</v>
      </c>
      <c r="AA3" s="235" t="s">
        <v>426</v>
      </c>
      <c r="AB3" s="276" t="s">
        <v>391</v>
      </c>
      <c r="AC3" s="246" t="s">
        <v>392</v>
      </c>
      <c r="AD3" s="247"/>
      <c r="AE3" s="235" t="s">
        <v>390</v>
      </c>
      <c r="AF3" s="261" t="s">
        <v>355</v>
      </c>
      <c r="AG3" s="262"/>
      <c r="AH3" s="263"/>
      <c r="AI3" s="72">
        <v>43190</v>
      </c>
      <c r="AJ3" s="72">
        <v>43281</v>
      </c>
      <c r="AK3" s="72">
        <v>43464</v>
      </c>
      <c r="AL3" s="235" t="s">
        <v>426</v>
      </c>
      <c r="AM3" s="72">
        <v>43525</v>
      </c>
      <c r="AN3" s="72">
        <v>43617</v>
      </c>
      <c r="AO3" s="235" t="s">
        <v>426</v>
      </c>
      <c r="AP3" s="276" t="s">
        <v>423</v>
      </c>
      <c r="AQ3" s="246" t="s">
        <v>424</v>
      </c>
      <c r="AR3" s="247"/>
      <c r="AS3" s="261" t="s">
        <v>402</v>
      </c>
      <c r="AT3" s="262"/>
      <c r="AU3" s="263"/>
      <c r="AV3" s="238">
        <v>2018</v>
      </c>
      <c r="AW3" s="238"/>
      <c r="AX3" s="238">
        <v>2019</v>
      </c>
      <c r="AY3" s="238"/>
      <c r="AZ3" s="261" t="s">
        <v>425</v>
      </c>
      <c r="BA3" s="262"/>
      <c r="BB3" s="263"/>
      <c r="BC3" s="238">
        <v>2020</v>
      </c>
      <c r="BD3" s="238"/>
    </row>
    <row r="4" spans="1:56" ht="35.25" customHeight="1" thickBot="1">
      <c r="A4" s="249"/>
      <c r="B4" s="249"/>
      <c r="C4" s="251"/>
      <c r="D4" s="249"/>
      <c r="E4" s="251"/>
      <c r="F4" s="251"/>
      <c r="G4" s="255"/>
      <c r="H4" s="113" t="s">
        <v>398</v>
      </c>
      <c r="I4" s="113" t="s">
        <v>399</v>
      </c>
      <c r="J4" s="113" t="s">
        <v>400</v>
      </c>
      <c r="K4" s="12" t="s">
        <v>200</v>
      </c>
      <c r="L4" s="12" t="s">
        <v>199</v>
      </c>
      <c r="M4" s="12" t="s">
        <v>199</v>
      </c>
      <c r="N4" s="12" t="s">
        <v>199</v>
      </c>
      <c r="O4" s="12" t="s">
        <v>199</v>
      </c>
      <c r="P4" s="278"/>
      <c r="Q4" s="278"/>
      <c r="R4" s="236"/>
      <c r="S4" s="12" t="s">
        <v>356</v>
      </c>
      <c r="T4" s="12" t="s">
        <v>357</v>
      </c>
      <c r="U4" s="12" t="s">
        <v>358</v>
      </c>
      <c r="V4" s="12" t="s">
        <v>199</v>
      </c>
      <c r="W4" s="12" t="s">
        <v>5</v>
      </c>
      <c r="X4" s="1" t="s">
        <v>6</v>
      </c>
      <c r="Y4" s="1" t="s">
        <v>7</v>
      </c>
      <c r="Z4" s="12" t="s">
        <v>199</v>
      </c>
      <c r="AA4" s="236"/>
      <c r="AB4" s="277"/>
      <c r="AC4" s="12" t="s">
        <v>5</v>
      </c>
      <c r="AD4" s="1" t="s">
        <v>7</v>
      </c>
      <c r="AE4" s="236"/>
      <c r="AF4" s="12" t="s">
        <v>356</v>
      </c>
      <c r="AG4" s="12" t="s">
        <v>359</v>
      </c>
      <c r="AH4" s="12" t="s">
        <v>358</v>
      </c>
      <c r="AI4" s="12" t="s">
        <v>199</v>
      </c>
      <c r="AJ4" s="12" t="s">
        <v>199</v>
      </c>
      <c r="AK4" s="12" t="s">
        <v>199</v>
      </c>
      <c r="AL4" s="236"/>
      <c r="AM4" s="12" t="s">
        <v>199</v>
      </c>
      <c r="AN4" s="12" t="s">
        <v>199</v>
      </c>
      <c r="AO4" s="236"/>
      <c r="AP4" s="277"/>
      <c r="AQ4" s="12" t="s">
        <v>5</v>
      </c>
      <c r="AR4" s="183" t="s">
        <v>416</v>
      </c>
      <c r="AS4" s="12" t="s">
        <v>356</v>
      </c>
      <c r="AT4" s="12" t="s">
        <v>359</v>
      </c>
      <c r="AU4" s="12" t="s">
        <v>358</v>
      </c>
      <c r="AV4" s="1" t="s">
        <v>201</v>
      </c>
      <c r="AW4" s="1" t="s">
        <v>202</v>
      </c>
      <c r="AX4" s="1" t="s">
        <v>201</v>
      </c>
      <c r="AY4" s="1" t="s">
        <v>202</v>
      </c>
      <c r="AZ4" s="12" t="s">
        <v>356</v>
      </c>
      <c r="BA4" s="12" t="s">
        <v>359</v>
      </c>
      <c r="BB4" s="12" t="s">
        <v>358</v>
      </c>
      <c r="BC4" s="1" t="s">
        <v>201</v>
      </c>
      <c r="BD4" s="1" t="s">
        <v>202</v>
      </c>
    </row>
    <row r="5" spans="1:56" ht="48" customHeight="1">
      <c r="A5" s="9">
        <v>1</v>
      </c>
      <c r="B5" s="267" t="s">
        <v>205</v>
      </c>
      <c r="C5" s="242" t="s">
        <v>206</v>
      </c>
      <c r="D5" s="91" t="s">
        <v>11</v>
      </c>
      <c r="E5" s="3" t="s">
        <v>9</v>
      </c>
      <c r="F5" s="91" t="s">
        <v>12</v>
      </c>
      <c r="G5" s="245" t="s">
        <v>13</v>
      </c>
      <c r="H5" s="110"/>
      <c r="I5" s="110"/>
      <c r="J5" s="110"/>
      <c r="K5" s="21">
        <v>48</v>
      </c>
      <c r="L5" s="21">
        <v>24</v>
      </c>
      <c r="M5" s="20">
        <v>24</v>
      </c>
      <c r="N5" s="20">
        <v>24</v>
      </c>
      <c r="O5" s="2">
        <v>64</v>
      </c>
      <c r="P5" s="211">
        <f>K5+L5+M5+N5</f>
        <v>120</v>
      </c>
      <c r="Q5" s="86">
        <f>P5/240*100</f>
        <v>50</v>
      </c>
      <c r="R5" s="218" t="s">
        <v>471</v>
      </c>
      <c r="S5" s="2">
        <v>7362257</v>
      </c>
      <c r="T5" s="2">
        <v>7362257</v>
      </c>
      <c r="U5" s="4">
        <f>T5/S5*100</f>
        <v>100</v>
      </c>
      <c r="V5" s="4">
        <v>61</v>
      </c>
      <c r="W5" s="74">
        <f>245/240*100</f>
        <v>102.08333333333333</v>
      </c>
      <c r="X5" s="61">
        <v>1.02</v>
      </c>
      <c r="Y5" s="2"/>
      <c r="Z5" s="2">
        <v>42</v>
      </c>
      <c r="AA5" s="218" t="s">
        <v>471</v>
      </c>
      <c r="AB5" s="2">
        <f>Z5+V5+O5+N5+M5+L5+K5</f>
        <v>287</v>
      </c>
      <c r="AC5" s="128">
        <f>AB5/240*100</f>
        <v>119.58333333333333</v>
      </c>
      <c r="AD5" s="4"/>
      <c r="AE5" s="218" t="s">
        <v>471</v>
      </c>
      <c r="AF5" s="2">
        <v>8558107</v>
      </c>
      <c r="AG5" s="2">
        <v>7758107</v>
      </c>
      <c r="AH5" s="4">
        <f>AG5/AF5*100</f>
        <v>90.65213837592823</v>
      </c>
      <c r="AI5" s="127">
        <v>13</v>
      </c>
      <c r="AJ5" s="135"/>
      <c r="AK5" s="182">
        <v>854</v>
      </c>
      <c r="AL5" s="218" t="s">
        <v>450</v>
      </c>
      <c r="AM5" s="195">
        <v>21</v>
      </c>
      <c r="AN5" s="203">
        <v>21</v>
      </c>
      <c r="AO5" s="218" t="s">
        <v>472</v>
      </c>
      <c r="AP5" s="4">
        <f>AB5+AI5+AJ5+AK5+AM5+AN5</f>
        <v>1196</v>
      </c>
      <c r="AQ5" s="133">
        <f>AP5/240*100</f>
        <v>498.3333333333333</v>
      </c>
      <c r="AR5" s="4"/>
      <c r="AS5" s="218">
        <v>185042000</v>
      </c>
      <c r="AT5" s="218">
        <v>136177000</v>
      </c>
      <c r="AU5" s="223"/>
      <c r="AV5" s="2"/>
      <c r="AW5" s="2"/>
      <c r="AX5" s="2"/>
      <c r="AY5" s="2"/>
      <c r="AZ5" s="213">
        <v>108400000</v>
      </c>
      <c r="BA5" s="213">
        <v>35870000</v>
      </c>
      <c r="BB5" s="216"/>
      <c r="BC5" s="2"/>
      <c r="BD5" s="2"/>
    </row>
    <row r="6" spans="1:56" ht="34.5" customHeight="1">
      <c r="A6" s="9">
        <v>2</v>
      </c>
      <c r="B6" s="268"/>
      <c r="C6" s="243"/>
      <c r="D6" s="14" t="s">
        <v>14</v>
      </c>
      <c r="E6" s="4" t="s">
        <v>9</v>
      </c>
      <c r="F6" s="240" t="s">
        <v>15</v>
      </c>
      <c r="G6" s="241"/>
      <c r="H6" s="109"/>
      <c r="I6" s="109"/>
      <c r="J6" s="109"/>
      <c r="K6" s="17">
        <v>96</v>
      </c>
      <c r="L6" s="16">
        <v>48</v>
      </c>
      <c r="M6" s="16">
        <v>48</v>
      </c>
      <c r="N6" s="16">
        <v>48</v>
      </c>
      <c r="O6" s="2">
        <v>436</v>
      </c>
      <c r="P6" s="211">
        <f aca="true" t="shared" si="0" ref="P6:P41">O6+N6+M6+L6+K6</f>
        <v>676</v>
      </c>
      <c r="Q6" s="86">
        <f>P6/480*100</f>
        <v>140.83333333333334</v>
      </c>
      <c r="R6" s="220"/>
      <c r="S6" s="216">
        <v>11366666</v>
      </c>
      <c r="T6" s="216">
        <v>11366666</v>
      </c>
      <c r="U6" s="218">
        <f>T6/S6*100</f>
        <v>100</v>
      </c>
      <c r="V6" s="4">
        <v>70</v>
      </c>
      <c r="W6" s="25">
        <f>746/480*100</f>
        <v>155.41666666666666</v>
      </c>
      <c r="X6" s="61">
        <v>1.55</v>
      </c>
      <c r="Y6" s="2"/>
      <c r="Z6" s="2">
        <v>32</v>
      </c>
      <c r="AA6" s="220"/>
      <c r="AB6" s="2">
        <f>Z6+V6+O6+N6+M6+L6+K6</f>
        <v>778</v>
      </c>
      <c r="AC6" s="128">
        <f>AB6/480*100</f>
        <v>162.08333333333334</v>
      </c>
      <c r="AD6" s="2"/>
      <c r="AE6" s="220"/>
      <c r="AF6" s="2">
        <v>14420000</v>
      </c>
      <c r="AG6" s="2">
        <v>14220000</v>
      </c>
      <c r="AH6" s="86">
        <f>AG6/AF6*100</f>
        <v>98.6130374479889</v>
      </c>
      <c r="AI6" s="127">
        <v>11</v>
      </c>
      <c r="AJ6" s="135"/>
      <c r="AK6" s="182">
        <v>453</v>
      </c>
      <c r="AL6" s="220"/>
      <c r="AM6" s="195">
        <v>180</v>
      </c>
      <c r="AN6" s="203">
        <v>114</v>
      </c>
      <c r="AO6" s="220"/>
      <c r="AP6" s="4">
        <f>AB6+AI6+AJ6+AK6+AM6+AN6</f>
        <v>1536</v>
      </c>
      <c r="AQ6" s="133">
        <f>AP6/480*100</f>
        <v>320</v>
      </c>
      <c r="AR6" s="86"/>
      <c r="AS6" s="220"/>
      <c r="AT6" s="220"/>
      <c r="AU6" s="219"/>
      <c r="AV6" s="2"/>
      <c r="AW6" s="2"/>
      <c r="AX6" s="2"/>
      <c r="AY6" s="2"/>
      <c r="AZ6" s="215"/>
      <c r="BA6" s="215"/>
      <c r="BB6" s="226"/>
      <c r="BC6" s="2"/>
      <c r="BD6" s="2"/>
    </row>
    <row r="7" spans="1:56" ht="34.5" customHeight="1">
      <c r="A7" s="9">
        <v>3</v>
      </c>
      <c r="B7" s="268"/>
      <c r="C7" s="243"/>
      <c r="D7" s="14" t="s">
        <v>16</v>
      </c>
      <c r="E7" s="2" t="s">
        <v>9</v>
      </c>
      <c r="F7" s="240"/>
      <c r="G7" s="241"/>
      <c r="H7" s="109"/>
      <c r="I7" s="109"/>
      <c r="J7" s="109"/>
      <c r="K7" s="17">
        <v>240</v>
      </c>
      <c r="L7" s="16">
        <v>120</v>
      </c>
      <c r="M7" s="16">
        <v>120</v>
      </c>
      <c r="N7" s="16">
        <v>120</v>
      </c>
      <c r="O7" s="2">
        <v>412</v>
      </c>
      <c r="P7" s="211">
        <f t="shared" si="0"/>
        <v>1012</v>
      </c>
      <c r="Q7" s="86">
        <f>P7/1200*100</f>
        <v>84.33333333333334</v>
      </c>
      <c r="R7" s="220"/>
      <c r="S7" s="217"/>
      <c r="T7" s="217"/>
      <c r="U7" s="219"/>
      <c r="V7" s="2">
        <v>225</v>
      </c>
      <c r="W7" s="2">
        <f>1237/1200*100</f>
        <v>103.08333333333333</v>
      </c>
      <c r="X7" s="61">
        <v>1.03</v>
      </c>
      <c r="Y7" s="2"/>
      <c r="Z7" s="2">
        <v>61</v>
      </c>
      <c r="AA7" s="220"/>
      <c r="AB7" s="2">
        <f>Z7+V7+O7+N7+M7+L7+K7</f>
        <v>1298</v>
      </c>
      <c r="AC7" s="128">
        <f>AB7/1200*100</f>
        <v>108.16666666666667</v>
      </c>
      <c r="AD7" s="2"/>
      <c r="AE7" s="220"/>
      <c r="AF7" s="2">
        <v>17000000</v>
      </c>
      <c r="AG7" s="2">
        <v>8500000</v>
      </c>
      <c r="AH7" s="86">
        <f>AG7/AF7*100</f>
        <v>50</v>
      </c>
      <c r="AI7" s="127">
        <v>66</v>
      </c>
      <c r="AJ7" s="135"/>
      <c r="AK7" s="182">
        <v>450</v>
      </c>
      <c r="AL7" s="220"/>
      <c r="AM7" s="195">
        <v>261</v>
      </c>
      <c r="AN7" s="203">
        <v>190</v>
      </c>
      <c r="AO7" s="220"/>
      <c r="AP7" s="4">
        <f>AB7+AI7+AJ7+AK7+AM7+AN7</f>
        <v>2265</v>
      </c>
      <c r="AQ7" s="133">
        <f>AP7/1200*100</f>
        <v>188.75</v>
      </c>
      <c r="AR7" s="86"/>
      <c r="AS7" s="219"/>
      <c r="AT7" s="219"/>
      <c r="AU7" s="86">
        <v>0</v>
      </c>
      <c r="AV7" s="2"/>
      <c r="AW7" s="2"/>
      <c r="AX7" s="2"/>
      <c r="AY7" s="2"/>
      <c r="AZ7" s="214"/>
      <c r="BA7" s="214"/>
      <c r="BB7" s="217"/>
      <c r="BC7" s="2"/>
      <c r="BD7" s="2"/>
    </row>
    <row r="8" spans="1:56" ht="65.25" customHeight="1">
      <c r="A8" s="9">
        <v>4</v>
      </c>
      <c r="B8" s="268"/>
      <c r="C8" s="243"/>
      <c r="D8" s="14" t="s">
        <v>473</v>
      </c>
      <c r="E8" s="4" t="s">
        <v>9</v>
      </c>
      <c r="F8" s="14" t="s">
        <v>474</v>
      </c>
      <c r="G8" s="241"/>
      <c r="H8" s="109"/>
      <c r="I8" s="109"/>
      <c r="J8" s="109"/>
      <c r="K8" s="17">
        <v>40</v>
      </c>
      <c r="L8" s="16">
        <v>20</v>
      </c>
      <c r="M8" s="16">
        <v>20</v>
      </c>
      <c r="N8" s="16">
        <v>20</v>
      </c>
      <c r="O8" s="2">
        <v>136</v>
      </c>
      <c r="P8" s="211">
        <f t="shared" si="0"/>
        <v>236</v>
      </c>
      <c r="Q8" s="86">
        <f>P8/200*100</f>
        <v>118</v>
      </c>
      <c r="R8" s="220"/>
      <c r="S8" s="216">
        <v>11785000</v>
      </c>
      <c r="T8" s="216">
        <v>11785000</v>
      </c>
      <c r="U8" s="218">
        <f>T8/S8*100</f>
        <v>100</v>
      </c>
      <c r="V8" s="4">
        <v>45</v>
      </c>
      <c r="W8" s="2">
        <f>281/200*100</f>
        <v>140.5</v>
      </c>
      <c r="X8" s="61">
        <v>1.4</v>
      </c>
      <c r="Y8" s="2"/>
      <c r="Z8" s="2">
        <v>10</v>
      </c>
      <c r="AA8" s="220"/>
      <c r="AB8" s="2">
        <f>Z8+V8+O8+N8+M8+L8+K8</f>
        <v>291</v>
      </c>
      <c r="AC8" s="128">
        <f>AB8/200*100</f>
        <v>145.5</v>
      </c>
      <c r="AD8" s="2"/>
      <c r="AE8" s="220"/>
      <c r="AF8" s="216">
        <v>14640000</v>
      </c>
      <c r="AG8" s="216">
        <v>13666666</v>
      </c>
      <c r="AH8" s="230">
        <f>AG8/AF8*100</f>
        <v>93.351543715847</v>
      </c>
      <c r="AI8" s="127">
        <v>1</v>
      </c>
      <c r="AJ8" s="135"/>
      <c r="AK8" s="182">
        <v>1674</v>
      </c>
      <c r="AL8" s="220"/>
      <c r="AM8" s="195">
        <v>4</v>
      </c>
      <c r="AN8" s="203">
        <v>5</v>
      </c>
      <c r="AO8" s="220"/>
      <c r="AP8" s="4">
        <f aca="true" t="shared" si="1" ref="AP8:AP71">AB8+AI8+AJ8+AK8+AM8+AN8</f>
        <v>1975</v>
      </c>
      <c r="AQ8" s="133">
        <f>AP8/200*100</f>
        <v>987.5</v>
      </c>
      <c r="AR8" s="86"/>
      <c r="AS8" s="86">
        <v>832788000</v>
      </c>
      <c r="AT8" s="86">
        <v>219288000</v>
      </c>
      <c r="AU8" s="86"/>
      <c r="AV8" s="2"/>
      <c r="AW8" s="2"/>
      <c r="AX8" s="2"/>
      <c r="AY8" s="2"/>
      <c r="AZ8" s="213">
        <v>241460000</v>
      </c>
      <c r="BA8" s="213">
        <v>5650000</v>
      </c>
      <c r="BB8" s="216"/>
      <c r="BC8" s="2"/>
      <c r="BD8" s="2"/>
    </row>
    <row r="9" spans="1:56" ht="54.75">
      <c r="A9" s="9">
        <v>5</v>
      </c>
      <c r="B9" s="268"/>
      <c r="C9" s="243"/>
      <c r="D9" s="14" t="s">
        <v>18</v>
      </c>
      <c r="E9" s="2" t="s">
        <v>9</v>
      </c>
      <c r="F9" s="14" t="s">
        <v>19</v>
      </c>
      <c r="G9" s="241"/>
      <c r="H9" s="109"/>
      <c r="I9" s="109"/>
      <c r="J9" s="109"/>
      <c r="K9" s="17">
        <v>120</v>
      </c>
      <c r="L9" s="16">
        <v>60</v>
      </c>
      <c r="M9" s="16">
        <v>60</v>
      </c>
      <c r="N9" s="16">
        <v>60</v>
      </c>
      <c r="O9" s="2">
        <v>373</v>
      </c>
      <c r="P9" s="211">
        <f t="shared" si="0"/>
        <v>673</v>
      </c>
      <c r="Q9" s="86">
        <f>P9/600*100</f>
        <v>112.16666666666666</v>
      </c>
      <c r="R9" s="220"/>
      <c r="S9" s="217"/>
      <c r="T9" s="217"/>
      <c r="U9" s="219"/>
      <c r="V9" s="4">
        <v>103</v>
      </c>
      <c r="W9" s="2">
        <f>776/600*100</f>
        <v>129.33333333333331</v>
      </c>
      <c r="X9" s="61">
        <v>1.29</v>
      </c>
      <c r="Y9" s="2"/>
      <c r="Z9" s="2">
        <v>230</v>
      </c>
      <c r="AA9" s="220"/>
      <c r="AB9" s="2">
        <f aca="true" t="shared" si="2" ref="AB9:AB69">K9+L9+M9+N9+O9+V9+Z9</f>
        <v>1006</v>
      </c>
      <c r="AC9" s="128">
        <f>AB9/600*100</f>
        <v>167.66666666666669</v>
      </c>
      <c r="AD9" s="2"/>
      <c r="AE9" s="220"/>
      <c r="AF9" s="217"/>
      <c r="AG9" s="217"/>
      <c r="AH9" s="231"/>
      <c r="AI9" s="127">
        <v>26</v>
      </c>
      <c r="AJ9" s="135"/>
      <c r="AK9" s="182">
        <v>493</v>
      </c>
      <c r="AL9" s="219"/>
      <c r="AM9" s="195">
        <v>60</v>
      </c>
      <c r="AN9" s="203">
        <v>37</v>
      </c>
      <c r="AO9" s="219"/>
      <c r="AP9" s="4">
        <f>AB9+AI9+AJ9+AK9+AM9+AN9</f>
        <v>1622</v>
      </c>
      <c r="AQ9" s="133">
        <f>AP9/600*100</f>
        <v>270.3333333333333</v>
      </c>
      <c r="AR9" s="86"/>
      <c r="AS9" s="86">
        <v>0</v>
      </c>
      <c r="AT9" s="86">
        <v>0</v>
      </c>
      <c r="AU9" s="86">
        <v>0</v>
      </c>
      <c r="AV9" s="2">
        <v>0</v>
      </c>
      <c r="AW9" s="2"/>
      <c r="AX9" s="2"/>
      <c r="AY9" s="2"/>
      <c r="AZ9" s="214"/>
      <c r="BA9" s="214"/>
      <c r="BB9" s="217"/>
      <c r="BC9" s="2"/>
      <c r="BD9" s="2"/>
    </row>
    <row r="10" spans="1:56" ht="57.75" customHeight="1">
      <c r="A10" s="9">
        <v>6</v>
      </c>
      <c r="B10" s="268"/>
      <c r="C10" s="243"/>
      <c r="D10" s="14" t="s">
        <v>20</v>
      </c>
      <c r="E10" s="2" t="s">
        <v>9</v>
      </c>
      <c r="F10" s="14" t="s">
        <v>21</v>
      </c>
      <c r="G10" s="241"/>
      <c r="H10" s="109"/>
      <c r="I10" s="109"/>
      <c r="J10" s="109"/>
      <c r="K10" s="17">
        <v>24</v>
      </c>
      <c r="L10" s="16">
        <v>12</v>
      </c>
      <c r="M10" s="16">
        <v>12</v>
      </c>
      <c r="N10" s="16">
        <v>12</v>
      </c>
      <c r="O10" s="2">
        <v>24</v>
      </c>
      <c r="P10" s="211">
        <f t="shared" si="0"/>
        <v>84</v>
      </c>
      <c r="Q10" s="86">
        <f>P10/120*100</f>
        <v>70</v>
      </c>
      <c r="R10" s="220"/>
      <c r="S10" s="2"/>
      <c r="T10" s="2"/>
      <c r="U10" s="2"/>
      <c r="V10" s="2">
        <v>31</v>
      </c>
      <c r="W10" s="2">
        <f>112/120*100</f>
        <v>93.33333333333333</v>
      </c>
      <c r="X10" s="61">
        <v>0.93</v>
      </c>
      <c r="Y10" s="4" t="s">
        <v>235</v>
      </c>
      <c r="Z10" s="4">
        <v>37</v>
      </c>
      <c r="AA10" s="220"/>
      <c r="AB10" s="2">
        <f t="shared" si="2"/>
        <v>152</v>
      </c>
      <c r="AC10" s="128">
        <f>AB10/120*100</f>
        <v>126.66666666666666</v>
      </c>
      <c r="AD10" s="2"/>
      <c r="AE10" s="220"/>
      <c r="AF10" s="2">
        <v>0</v>
      </c>
      <c r="AG10" s="2">
        <v>0</v>
      </c>
      <c r="AH10" s="2">
        <v>0</v>
      </c>
      <c r="AI10" s="4">
        <v>1</v>
      </c>
      <c r="AJ10" s="4"/>
      <c r="AK10" s="4">
        <v>981</v>
      </c>
      <c r="AL10" s="218" t="s">
        <v>451</v>
      </c>
      <c r="AM10" s="4">
        <v>10</v>
      </c>
      <c r="AN10" s="4">
        <v>4</v>
      </c>
      <c r="AO10" s="218" t="s">
        <v>540</v>
      </c>
      <c r="AP10" s="4">
        <f t="shared" si="1"/>
        <v>1148</v>
      </c>
      <c r="AQ10" s="133">
        <f>AP10/120*100</f>
        <v>956.6666666666666</v>
      </c>
      <c r="AR10" s="127"/>
      <c r="AS10" s="127">
        <v>12750000</v>
      </c>
      <c r="AT10" s="127">
        <v>11750000</v>
      </c>
      <c r="AU10" s="185">
        <v>0.9</v>
      </c>
      <c r="AV10" s="2">
        <v>3</v>
      </c>
      <c r="AW10" s="2"/>
      <c r="AX10" s="2">
        <v>1</v>
      </c>
      <c r="AY10" s="2"/>
      <c r="AZ10" s="213">
        <v>250412588</v>
      </c>
      <c r="BA10" s="213">
        <v>25400000</v>
      </c>
      <c r="BB10" s="216"/>
      <c r="BC10" s="2"/>
      <c r="BD10" s="2"/>
    </row>
    <row r="11" spans="1:56" ht="57" customHeight="1">
      <c r="A11" s="9">
        <v>7</v>
      </c>
      <c r="B11" s="268"/>
      <c r="C11" s="243"/>
      <c r="D11" s="14" t="s">
        <v>475</v>
      </c>
      <c r="E11" s="2" t="s">
        <v>9</v>
      </c>
      <c r="F11" s="14" t="s">
        <v>23</v>
      </c>
      <c r="G11" s="241"/>
      <c r="H11" s="109"/>
      <c r="I11" s="109"/>
      <c r="J11" s="109"/>
      <c r="K11" s="16">
        <v>600</v>
      </c>
      <c r="L11" s="16">
        <v>300</v>
      </c>
      <c r="M11" s="16">
        <v>300</v>
      </c>
      <c r="N11" s="16">
        <v>300</v>
      </c>
      <c r="O11" s="9">
        <v>446</v>
      </c>
      <c r="P11" s="211">
        <f t="shared" si="0"/>
        <v>1946</v>
      </c>
      <c r="Q11" s="86">
        <f>P11/3000*100</f>
        <v>64.86666666666666</v>
      </c>
      <c r="R11" s="220"/>
      <c r="S11" s="2"/>
      <c r="T11" s="2"/>
      <c r="U11" s="2"/>
      <c r="V11" s="9">
        <v>587</v>
      </c>
      <c r="W11" s="26">
        <f>2375/3000*100</f>
        <v>79.16666666666666</v>
      </c>
      <c r="X11" s="61">
        <v>0.79</v>
      </c>
      <c r="Y11" s="4" t="s">
        <v>235</v>
      </c>
      <c r="Z11" s="4">
        <v>1034</v>
      </c>
      <c r="AA11" s="220"/>
      <c r="AB11" s="2">
        <f t="shared" si="2"/>
        <v>3567</v>
      </c>
      <c r="AC11" s="128">
        <f>AB11/3000*100</f>
        <v>118.9</v>
      </c>
      <c r="AD11" s="2"/>
      <c r="AE11" s="220"/>
      <c r="AF11" s="2"/>
      <c r="AG11" s="2"/>
      <c r="AH11" s="2"/>
      <c r="AI11" s="4">
        <v>100</v>
      </c>
      <c r="AJ11" s="4"/>
      <c r="AK11" s="4">
        <v>1104</v>
      </c>
      <c r="AL11" s="219"/>
      <c r="AM11" s="4">
        <v>63</v>
      </c>
      <c r="AN11" s="4">
        <v>105</v>
      </c>
      <c r="AO11" s="219"/>
      <c r="AP11" s="4">
        <f t="shared" si="1"/>
        <v>4939</v>
      </c>
      <c r="AQ11" s="133">
        <f>AP11/3000*100</f>
        <v>164.63333333333335</v>
      </c>
      <c r="AR11" s="127"/>
      <c r="AS11" s="127"/>
      <c r="AT11" s="127"/>
      <c r="AU11" s="127"/>
      <c r="AV11" s="2">
        <v>157</v>
      </c>
      <c r="AW11" s="2"/>
      <c r="AX11" s="2">
        <v>157</v>
      </c>
      <c r="AY11" s="2"/>
      <c r="AZ11" s="214"/>
      <c r="BA11" s="214"/>
      <c r="BB11" s="217"/>
      <c r="BC11" s="2"/>
      <c r="BD11" s="2"/>
    </row>
    <row r="12" spans="1:56" ht="56.25" customHeight="1">
      <c r="A12" s="9">
        <v>8</v>
      </c>
      <c r="B12" s="268"/>
      <c r="C12" s="243"/>
      <c r="D12" s="14" t="s">
        <v>24</v>
      </c>
      <c r="E12" s="2" t="s">
        <v>9</v>
      </c>
      <c r="F12" s="14" t="s">
        <v>476</v>
      </c>
      <c r="G12" s="241"/>
      <c r="H12" s="109"/>
      <c r="I12" s="109"/>
      <c r="J12" s="109"/>
      <c r="K12" s="17">
        <v>180</v>
      </c>
      <c r="L12" s="16">
        <v>90</v>
      </c>
      <c r="M12" s="16">
        <v>90</v>
      </c>
      <c r="N12" s="16">
        <v>90</v>
      </c>
      <c r="O12" s="9">
        <v>238</v>
      </c>
      <c r="P12" s="211">
        <f t="shared" si="0"/>
        <v>688</v>
      </c>
      <c r="Q12" s="86">
        <f>P12/900*100</f>
        <v>76.44444444444444</v>
      </c>
      <c r="R12" s="220"/>
      <c r="S12" s="2"/>
      <c r="T12" s="2"/>
      <c r="U12" s="2"/>
      <c r="V12" s="9">
        <v>63</v>
      </c>
      <c r="W12" s="2">
        <f>751/900*100</f>
        <v>83.44444444444444</v>
      </c>
      <c r="X12" s="61">
        <v>0.83</v>
      </c>
      <c r="Y12" s="4" t="s">
        <v>235</v>
      </c>
      <c r="Z12" s="4">
        <v>1</v>
      </c>
      <c r="AA12" s="220"/>
      <c r="AB12" s="2">
        <f t="shared" si="2"/>
        <v>752</v>
      </c>
      <c r="AC12" s="128">
        <f>AB12/900*100</f>
        <v>83.55555555555556</v>
      </c>
      <c r="AD12" s="2"/>
      <c r="AE12" s="220"/>
      <c r="AF12" s="2"/>
      <c r="AG12" s="2"/>
      <c r="AH12" s="2"/>
      <c r="AI12" s="127">
        <v>0</v>
      </c>
      <c r="AJ12" s="135"/>
      <c r="AK12" s="182">
        <v>3</v>
      </c>
      <c r="AL12" s="218" t="s">
        <v>430</v>
      </c>
      <c r="AM12" s="195">
        <v>46</v>
      </c>
      <c r="AN12" s="203">
        <v>1</v>
      </c>
      <c r="AO12" s="218" t="s">
        <v>446</v>
      </c>
      <c r="AP12" s="4">
        <f t="shared" si="1"/>
        <v>802</v>
      </c>
      <c r="AQ12" s="133">
        <f>AP12/900*100</f>
        <v>89.11111111111111</v>
      </c>
      <c r="AR12" s="218" t="s">
        <v>420</v>
      </c>
      <c r="AS12" s="127"/>
      <c r="AT12" s="127"/>
      <c r="AU12" s="127"/>
      <c r="AV12" s="2">
        <v>37</v>
      </c>
      <c r="AW12" s="2"/>
      <c r="AX12" s="2">
        <v>37</v>
      </c>
      <c r="AY12" s="2"/>
      <c r="AZ12" s="213">
        <v>2000000</v>
      </c>
      <c r="BA12" s="213">
        <v>1000000</v>
      </c>
      <c r="BB12" s="216"/>
      <c r="BC12" s="2"/>
      <c r="BD12" s="2"/>
    </row>
    <row r="13" spans="1:56" ht="75.75" customHeight="1">
      <c r="A13" s="9">
        <v>9</v>
      </c>
      <c r="B13" s="268"/>
      <c r="C13" s="243"/>
      <c r="D13" s="14" t="s">
        <v>25</v>
      </c>
      <c r="E13" s="2" t="s">
        <v>9</v>
      </c>
      <c r="F13" s="14" t="s">
        <v>26</v>
      </c>
      <c r="G13" s="241"/>
      <c r="H13" s="109"/>
      <c r="I13" s="109"/>
      <c r="J13" s="109"/>
      <c r="K13" s="17">
        <v>180</v>
      </c>
      <c r="L13" s="16">
        <v>90</v>
      </c>
      <c r="M13" s="16">
        <v>90</v>
      </c>
      <c r="N13" s="16">
        <v>90</v>
      </c>
      <c r="O13" s="2">
        <v>2</v>
      </c>
      <c r="P13" s="211">
        <f t="shared" si="0"/>
        <v>452</v>
      </c>
      <c r="Q13" s="86">
        <f>P13/900*100</f>
        <v>50.22222222222222</v>
      </c>
      <c r="R13" s="219"/>
      <c r="S13" s="2"/>
      <c r="T13" s="2"/>
      <c r="U13" s="2"/>
      <c r="V13" s="2">
        <v>42</v>
      </c>
      <c r="W13" s="2">
        <f>494/900*100</f>
        <v>54.888888888888886</v>
      </c>
      <c r="X13" s="61">
        <v>0.55</v>
      </c>
      <c r="Y13" s="2" t="s">
        <v>230</v>
      </c>
      <c r="Z13" s="2">
        <v>91</v>
      </c>
      <c r="AA13" s="219"/>
      <c r="AB13" s="2">
        <f t="shared" si="2"/>
        <v>585</v>
      </c>
      <c r="AC13" s="128">
        <f>AB13/900*100</f>
        <v>65</v>
      </c>
      <c r="AD13" s="2"/>
      <c r="AE13" s="219"/>
      <c r="AF13" s="2"/>
      <c r="AG13" s="2"/>
      <c r="AH13" s="2"/>
      <c r="AI13" s="127">
        <v>0</v>
      </c>
      <c r="AJ13" s="135"/>
      <c r="AK13" s="182">
        <v>2</v>
      </c>
      <c r="AL13" s="219"/>
      <c r="AM13" s="195">
        <v>3</v>
      </c>
      <c r="AN13" s="203"/>
      <c r="AO13" s="219"/>
      <c r="AP13" s="4">
        <f t="shared" si="1"/>
        <v>590</v>
      </c>
      <c r="AQ13" s="132">
        <f>AP13/900*100</f>
        <v>65.55555555555556</v>
      </c>
      <c r="AR13" s="219"/>
      <c r="AS13" s="127"/>
      <c r="AT13" s="127"/>
      <c r="AU13" s="127"/>
      <c r="AV13" s="2"/>
      <c r="AW13" s="2"/>
      <c r="AX13" s="2"/>
      <c r="AY13" s="2"/>
      <c r="AZ13" s="214"/>
      <c r="BA13" s="214"/>
      <c r="BB13" s="217"/>
      <c r="BC13" s="2"/>
      <c r="BD13" s="2"/>
    </row>
    <row r="14" spans="1:56" ht="36" customHeight="1">
      <c r="A14" s="9">
        <v>10</v>
      </c>
      <c r="B14" s="268"/>
      <c r="C14" s="243"/>
      <c r="D14" s="14" t="s">
        <v>27</v>
      </c>
      <c r="E14" s="2" t="s">
        <v>9</v>
      </c>
      <c r="F14" s="240" t="s">
        <v>477</v>
      </c>
      <c r="G14" s="240" t="s">
        <v>28</v>
      </c>
      <c r="H14" s="108"/>
      <c r="I14" s="108"/>
      <c r="J14" s="108"/>
      <c r="K14" s="17">
        <v>24</v>
      </c>
      <c r="L14" s="16">
        <v>12</v>
      </c>
      <c r="M14" s="16">
        <v>12</v>
      </c>
      <c r="N14" s="16">
        <v>12</v>
      </c>
      <c r="O14" s="2">
        <v>29</v>
      </c>
      <c r="P14" s="211">
        <f t="shared" si="0"/>
        <v>89</v>
      </c>
      <c r="Q14" s="86">
        <f>P14/120*100</f>
        <v>74.16666666666667</v>
      </c>
      <c r="R14" s="218" t="s">
        <v>478</v>
      </c>
      <c r="S14" s="273">
        <v>54350000</v>
      </c>
      <c r="T14" s="273">
        <v>54350000</v>
      </c>
      <c r="U14" s="216">
        <f>T14/S14*100</f>
        <v>100</v>
      </c>
      <c r="V14" s="4">
        <v>10</v>
      </c>
      <c r="W14" s="2">
        <f>98/120*100</f>
        <v>81.66666666666667</v>
      </c>
      <c r="X14" s="61">
        <v>0.82</v>
      </c>
      <c r="Y14" s="4" t="s">
        <v>235</v>
      </c>
      <c r="Z14" s="4">
        <v>68</v>
      </c>
      <c r="AA14" s="218" t="s">
        <v>478</v>
      </c>
      <c r="AB14" s="90">
        <f t="shared" si="2"/>
        <v>167</v>
      </c>
      <c r="AC14" s="128">
        <f>AB14/120*100</f>
        <v>139.16666666666666</v>
      </c>
      <c r="AD14" s="2"/>
      <c r="AE14" s="218" t="s">
        <v>479</v>
      </c>
      <c r="AF14" s="216">
        <v>533885462</v>
      </c>
      <c r="AG14" s="216">
        <v>3004988752.2</v>
      </c>
      <c r="AH14" s="230">
        <f>AG14/AF14*100</f>
        <v>562.8527027019888</v>
      </c>
      <c r="AI14" s="86">
        <v>5</v>
      </c>
      <c r="AJ14" s="86"/>
      <c r="AK14" s="86">
        <v>98</v>
      </c>
      <c r="AL14" s="221" t="s">
        <v>455</v>
      </c>
      <c r="AM14" s="86">
        <v>288</v>
      </c>
      <c r="AN14" s="86">
        <v>610</v>
      </c>
      <c r="AO14" s="221" t="s">
        <v>480</v>
      </c>
      <c r="AP14" s="4">
        <f t="shared" si="1"/>
        <v>1168</v>
      </c>
      <c r="AQ14" s="133">
        <f>AP14/120*100</f>
        <v>973.3333333333333</v>
      </c>
      <c r="AR14" s="124"/>
      <c r="AS14" s="86">
        <v>706907440</v>
      </c>
      <c r="AT14" s="86">
        <v>493807556</v>
      </c>
      <c r="AU14" s="86"/>
      <c r="AV14" s="2">
        <v>6</v>
      </c>
      <c r="AW14" s="2"/>
      <c r="AX14" s="2">
        <v>6</v>
      </c>
      <c r="AY14" s="2"/>
      <c r="AZ14" s="213">
        <v>343550150</v>
      </c>
      <c r="BA14" s="213">
        <v>180122669</v>
      </c>
      <c r="BB14" s="216"/>
      <c r="BC14" s="2"/>
      <c r="BD14" s="2"/>
    </row>
    <row r="15" spans="1:56" ht="40.5" customHeight="1">
      <c r="A15" s="9">
        <v>11</v>
      </c>
      <c r="B15" s="268"/>
      <c r="C15" s="243"/>
      <c r="D15" s="14" t="s">
        <v>29</v>
      </c>
      <c r="E15" s="2" t="s">
        <v>9</v>
      </c>
      <c r="F15" s="240"/>
      <c r="G15" s="240"/>
      <c r="H15" s="108"/>
      <c r="I15" s="108"/>
      <c r="J15" s="108"/>
      <c r="K15" s="17">
        <v>24</v>
      </c>
      <c r="L15" s="16">
        <v>12</v>
      </c>
      <c r="M15" s="16">
        <v>12</v>
      </c>
      <c r="N15" s="16">
        <v>12</v>
      </c>
      <c r="O15" s="2">
        <v>11</v>
      </c>
      <c r="P15" s="211">
        <f t="shared" si="0"/>
        <v>71</v>
      </c>
      <c r="Q15" s="86">
        <f>P15/120*100</f>
        <v>59.166666666666664</v>
      </c>
      <c r="R15" s="220"/>
      <c r="S15" s="274"/>
      <c r="T15" s="274"/>
      <c r="U15" s="226"/>
      <c r="V15" s="4">
        <v>10</v>
      </c>
      <c r="W15" s="2">
        <f>80/120*100</f>
        <v>66.66666666666666</v>
      </c>
      <c r="X15" s="61">
        <v>0.67</v>
      </c>
      <c r="Y15" s="4" t="s">
        <v>235</v>
      </c>
      <c r="Z15" s="4">
        <v>57</v>
      </c>
      <c r="AA15" s="220"/>
      <c r="AB15" s="90">
        <f t="shared" si="2"/>
        <v>138</v>
      </c>
      <c r="AC15" s="128">
        <f>AB15/120*100</f>
        <v>114.99999999999999</v>
      </c>
      <c r="AD15" s="2"/>
      <c r="AE15" s="220"/>
      <c r="AF15" s="226"/>
      <c r="AG15" s="226"/>
      <c r="AH15" s="266"/>
      <c r="AI15" s="86">
        <v>4</v>
      </c>
      <c r="AJ15" s="86"/>
      <c r="AK15" s="86">
        <v>23</v>
      </c>
      <c r="AL15" s="227"/>
      <c r="AM15" s="86">
        <v>319</v>
      </c>
      <c r="AN15" s="86">
        <v>502</v>
      </c>
      <c r="AO15" s="227"/>
      <c r="AP15" s="4">
        <f t="shared" si="1"/>
        <v>986</v>
      </c>
      <c r="AQ15" s="133">
        <f>AP15/120*100</f>
        <v>821.6666666666666</v>
      </c>
      <c r="AR15" s="126"/>
      <c r="AS15" s="86">
        <v>49000000</v>
      </c>
      <c r="AT15" s="86">
        <v>49000000</v>
      </c>
      <c r="AU15" s="86"/>
      <c r="AV15" s="2">
        <v>10</v>
      </c>
      <c r="AW15" s="2"/>
      <c r="AX15" s="2">
        <v>10</v>
      </c>
      <c r="AY15" s="2"/>
      <c r="AZ15" s="215"/>
      <c r="BA15" s="215"/>
      <c r="BB15" s="226"/>
      <c r="BC15" s="2"/>
      <c r="BD15" s="2"/>
    </row>
    <row r="16" spans="1:56" ht="93" customHeight="1">
      <c r="A16" s="9">
        <v>12</v>
      </c>
      <c r="B16" s="268"/>
      <c r="C16" s="243"/>
      <c r="D16" s="14" t="s">
        <v>30</v>
      </c>
      <c r="E16" s="2" t="s">
        <v>9</v>
      </c>
      <c r="F16" s="240"/>
      <c r="G16" s="240"/>
      <c r="H16" s="108"/>
      <c r="I16" s="108"/>
      <c r="J16" s="108"/>
      <c r="K16" s="17">
        <v>48</v>
      </c>
      <c r="L16" s="16">
        <v>24</v>
      </c>
      <c r="M16" s="16">
        <v>24</v>
      </c>
      <c r="N16" s="16">
        <v>24</v>
      </c>
      <c r="O16" s="2">
        <v>10</v>
      </c>
      <c r="P16" s="211">
        <f t="shared" si="0"/>
        <v>130</v>
      </c>
      <c r="Q16" s="86">
        <f>P16/240*100</f>
        <v>54.166666666666664</v>
      </c>
      <c r="R16" s="220"/>
      <c r="S16" s="274"/>
      <c r="T16" s="274"/>
      <c r="U16" s="226"/>
      <c r="V16" s="2">
        <v>8</v>
      </c>
      <c r="W16" s="2">
        <f>137/240*100</f>
        <v>57.08333333333333</v>
      </c>
      <c r="X16" s="61">
        <v>0.57</v>
      </c>
      <c r="Y16" s="2" t="s">
        <v>230</v>
      </c>
      <c r="Z16" s="2">
        <v>6</v>
      </c>
      <c r="AA16" s="220"/>
      <c r="AB16" s="90">
        <f t="shared" si="2"/>
        <v>144</v>
      </c>
      <c r="AC16" s="128">
        <f>AB16/240*100</f>
        <v>60</v>
      </c>
      <c r="AD16" s="2"/>
      <c r="AE16" s="220"/>
      <c r="AF16" s="226"/>
      <c r="AG16" s="226"/>
      <c r="AH16" s="266"/>
      <c r="AI16" s="86">
        <v>4</v>
      </c>
      <c r="AJ16" s="86"/>
      <c r="AK16" s="86">
        <v>7</v>
      </c>
      <c r="AL16" s="227"/>
      <c r="AM16" s="86">
        <v>127</v>
      </c>
      <c r="AN16" s="86">
        <v>9</v>
      </c>
      <c r="AO16" s="227"/>
      <c r="AP16" s="4">
        <f t="shared" si="1"/>
        <v>291</v>
      </c>
      <c r="AQ16" s="133">
        <f>AP16/240*100</f>
        <v>121.24999999999999</v>
      </c>
      <c r="AR16" s="193" t="s">
        <v>481</v>
      </c>
      <c r="AS16" s="129">
        <v>85714628</v>
      </c>
      <c r="AT16" s="129">
        <v>85714628</v>
      </c>
      <c r="AU16" s="86">
        <v>100</v>
      </c>
      <c r="AV16" s="2"/>
      <c r="AW16" s="2"/>
      <c r="AX16" s="2"/>
      <c r="AY16" s="2"/>
      <c r="AZ16" s="215"/>
      <c r="BA16" s="215"/>
      <c r="BB16" s="226"/>
      <c r="BC16" s="2"/>
      <c r="BD16" s="2"/>
    </row>
    <row r="17" spans="1:56" ht="114.75" customHeight="1">
      <c r="A17" s="9">
        <v>13</v>
      </c>
      <c r="B17" s="268"/>
      <c r="C17" s="243"/>
      <c r="D17" s="14" t="s">
        <v>31</v>
      </c>
      <c r="E17" s="2" t="s">
        <v>9</v>
      </c>
      <c r="F17" s="14" t="s">
        <v>32</v>
      </c>
      <c r="G17" s="240"/>
      <c r="H17" s="108"/>
      <c r="I17" s="108"/>
      <c r="J17" s="108"/>
      <c r="K17" s="17">
        <v>2400</v>
      </c>
      <c r="L17" s="16">
        <v>1200</v>
      </c>
      <c r="M17" s="16">
        <v>1200</v>
      </c>
      <c r="N17" s="16">
        <v>1200</v>
      </c>
      <c r="O17" s="2">
        <v>12004</v>
      </c>
      <c r="P17" s="211">
        <f t="shared" si="0"/>
        <v>18004</v>
      </c>
      <c r="Q17" s="86">
        <f>P17/12000*100</f>
        <v>150.03333333333333</v>
      </c>
      <c r="R17" s="220"/>
      <c r="S17" s="275"/>
      <c r="T17" s="275"/>
      <c r="U17" s="217"/>
      <c r="V17" s="2">
        <v>6215</v>
      </c>
      <c r="W17" s="2">
        <f>22472/12000*100</f>
        <v>187.26666666666668</v>
      </c>
      <c r="X17" s="61">
        <v>1.87</v>
      </c>
      <c r="Y17" s="2"/>
      <c r="Z17" s="2">
        <v>285533</v>
      </c>
      <c r="AA17" s="220"/>
      <c r="AB17" s="90">
        <f t="shared" si="2"/>
        <v>309752</v>
      </c>
      <c r="AC17" s="128">
        <f>AB17/12000*100</f>
        <v>2581.2666666666664</v>
      </c>
      <c r="AD17" s="2"/>
      <c r="AE17" s="220"/>
      <c r="AF17" s="217"/>
      <c r="AG17" s="217"/>
      <c r="AH17" s="231"/>
      <c r="AI17" s="86">
        <v>2934</v>
      </c>
      <c r="AJ17" s="86"/>
      <c r="AK17" s="86">
        <v>3228</v>
      </c>
      <c r="AL17" s="222"/>
      <c r="AM17" s="86">
        <v>8046</v>
      </c>
      <c r="AN17" s="86">
        <v>3816</v>
      </c>
      <c r="AO17" s="222"/>
      <c r="AP17" s="4">
        <f t="shared" si="1"/>
        <v>327776</v>
      </c>
      <c r="AQ17" s="133">
        <f>AP17/12000*100</f>
        <v>2731.4666666666667</v>
      </c>
      <c r="AR17" s="125"/>
      <c r="AS17" s="86">
        <f>SUM(AS14:AS16)</f>
        <v>841622068</v>
      </c>
      <c r="AT17" s="86">
        <f>SUM(AT14:AT16)</f>
        <v>628522184</v>
      </c>
      <c r="AU17" s="86"/>
      <c r="AV17" s="2"/>
      <c r="AW17" s="2"/>
      <c r="AX17" s="2"/>
      <c r="AY17" s="2"/>
      <c r="AZ17" s="214"/>
      <c r="BA17" s="214"/>
      <c r="BB17" s="217"/>
      <c r="BC17" s="2"/>
      <c r="BD17" s="2"/>
    </row>
    <row r="18" spans="1:56" ht="57.75" customHeight="1">
      <c r="A18" s="9">
        <v>14</v>
      </c>
      <c r="B18" s="268"/>
      <c r="C18" s="243"/>
      <c r="D18" s="14" t="s">
        <v>33</v>
      </c>
      <c r="E18" s="2" t="s">
        <v>9</v>
      </c>
      <c r="F18" s="14" t="s">
        <v>34</v>
      </c>
      <c r="G18" s="240"/>
      <c r="H18" s="108"/>
      <c r="I18" s="108"/>
      <c r="J18" s="108"/>
      <c r="K18" s="17">
        <v>24</v>
      </c>
      <c r="L18" s="16">
        <v>12</v>
      </c>
      <c r="M18" s="16">
        <v>12</v>
      </c>
      <c r="N18" s="16">
        <v>12</v>
      </c>
      <c r="O18" s="2">
        <v>18</v>
      </c>
      <c r="P18" s="211">
        <f t="shared" si="0"/>
        <v>78</v>
      </c>
      <c r="Q18" s="86">
        <f>P18/120*100</f>
        <v>65</v>
      </c>
      <c r="R18" s="220"/>
      <c r="S18" s="216">
        <v>29836036</v>
      </c>
      <c r="T18" s="216">
        <v>29836036</v>
      </c>
      <c r="U18" s="216">
        <f>T18/S18*100</f>
        <v>100</v>
      </c>
      <c r="V18" s="2">
        <v>6</v>
      </c>
      <c r="W18" s="2">
        <f>84/120*100</f>
        <v>70</v>
      </c>
      <c r="X18" s="61">
        <v>0.7</v>
      </c>
      <c r="Y18" s="4" t="s">
        <v>235</v>
      </c>
      <c r="Z18" s="66">
        <v>8</v>
      </c>
      <c r="AA18" s="220"/>
      <c r="AB18" s="2">
        <f t="shared" si="2"/>
        <v>92</v>
      </c>
      <c r="AC18" s="128">
        <f>AB18/120*100</f>
        <v>76.66666666666667</v>
      </c>
      <c r="AD18" s="2"/>
      <c r="AE18" s="220"/>
      <c r="AF18" s="216">
        <v>10300533</v>
      </c>
      <c r="AG18" s="216">
        <v>5000000</v>
      </c>
      <c r="AH18" s="230">
        <f>AG18/AF18*100</f>
        <v>48.54117743227462</v>
      </c>
      <c r="AI18" s="86">
        <v>3</v>
      </c>
      <c r="AJ18" s="86"/>
      <c r="AK18" s="86">
        <v>68</v>
      </c>
      <c r="AL18" s="221" t="s">
        <v>435</v>
      </c>
      <c r="AM18" s="86">
        <v>27</v>
      </c>
      <c r="AN18" s="86">
        <v>3</v>
      </c>
      <c r="AO18" s="221" t="s">
        <v>482</v>
      </c>
      <c r="AP18" s="4">
        <f t="shared" si="1"/>
        <v>193</v>
      </c>
      <c r="AQ18" s="133">
        <f>AP18/120*100</f>
        <v>160.83333333333334</v>
      </c>
      <c r="AR18" s="230"/>
      <c r="AS18" s="230">
        <v>270303898</v>
      </c>
      <c r="AT18" s="230">
        <v>99144000</v>
      </c>
      <c r="AU18" s="230"/>
      <c r="AV18" s="2">
        <v>9</v>
      </c>
      <c r="AW18" s="2"/>
      <c r="AX18" s="2">
        <v>9</v>
      </c>
      <c r="AY18" s="2"/>
      <c r="AZ18" s="213">
        <v>1065547038</v>
      </c>
      <c r="BA18" s="213">
        <v>18214400</v>
      </c>
      <c r="BB18" s="216"/>
      <c r="BC18" s="2"/>
      <c r="BD18" s="2"/>
    </row>
    <row r="19" spans="1:56" ht="65.25" customHeight="1">
      <c r="A19" s="9">
        <v>15</v>
      </c>
      <c r="B19" s="268"/>
      <c r="C19" s="243"/>
      <c r="D19" s="14" t="s">
        <v>35</v>
      </c>
      <c r="E19" s="2" t="s">
        <v>9</v>
      </c>
      <c r="F19" s="14" t="s">
        <v>483</v>
      </c>
      <c r="G19" s="240"/>
      <c r="H19" s="108"/>
      <c r="I19" s="108"/>
      <c r="J19" s="108"/>
      <c r="K19" s="17">
        <v>1200</v>
      </c>
      <c r="L19" s="16">
        <v>600</v>
      </c>
      <c r="M19" s="16">
        <v>600</v>
      </c>
      <c r="N19" s="16">
        <v>600</v>
      </c>
      <c r="O19" s="4">
        <v>1412</v>
      </c>
      <c r="P19" s="211">
        <f t="shared" si="0"/>
        <v>4412</v>
      </c>
      <c r="Q19" s="86">
        <f>P19/6000*100</f>
        <v>73.53333333333333</v>
      </c>
      <c r="R19" s="220"/>
      <c r="S19" s="217"/>
      <c r="T19" s="217"/>
      <c r="U19" s="217"/>
      <c r="V19" s="2">
        <v>202</v>
      </c>
      <c r="W19" s="2">
        <f>4614/6000*100</f>
        <v>76.9</v>
      </c>
      <c r="X19" s="61">
        <v>0.77</v>
      </c>
      <c r="Y19" s="4" t="s">
        <v>235</v>
      </c>
      <c r="Z19" s="67">
        <v>310</v>
      </c>
      <c r="AA19" s="220"/>
      <c r="AB19" s="2">
        <f t="shared" si="2"/>
        <v>4924</v>
      </c>
      <c r="AC19" s="128">
        <f>AB19/6000*100</f>
        <v>82.06666666666666</v>
      </c>
      <c r="AD19" s="2"/>
      <c r="AE19" s="220"/>
      <c r="AF19" s="217"/>
      <c r="AG19" s="217"/>
      <c r="AH19" s="231"/>
      <c r="AI19" s="86">
        <v>9334</v>
      </c>
      <c r="AJ19" s="86"/>
      <c r="AK19" s="86">
        <v>423</v>
      </c>
      <c r="AL19" s="222"/>
      <c r="AM19" s="86">
        <v>1270</v>
      </c>
      <c r="AN19" s="86">
        <v>1084</v>
      </c>
      <c r="AO19" s="222"/>
      <c r="AP19" s="4">
        <f t="shared" si="1"/>
        <v>17035</v>
      </c>
      <c r="AQ19" s="133">
        <f>AP19/6000*100</f>
        <v>283.9166666666667</v>
      </c>
      <c r="AR19" s="231"/>
      <c r="AS19" s="231"/>
      <c r="AT19" s="231"/>
      <c r="AU19" s="231"/>
      <c r="AV19" s="2">
        <v>346</v>
      </c>
      <c r="AW19" s="2"/>
      <c r="AX19" s="2">
        <v>346</v>
      </c>
      <c r="AY19" s="2"/>
      <c r="AZ19" s="214"/>
      <c r="BA19" s="214"/>
      <c r="BB19" s="217"/>
      <c r="BC19" s="2"/>
      <c r="BD19" s="2"/>
    </row>
    <row r="20" spans="1:56" ht="59.25" customHeight="1">
      <c r="A20" s="9">
        <v>16</v>
      </c>
      <c r="B20" s="268"/>
      <c r="C20" s="243"/>
      <c r="D20" s="14" t="s">
        <v>36</v>
      </c>
      <c r="E20" s="2" t="s">
        <v>9</v>
      </c>
      <c r="F20" s="14" t="s">
        <v>37</v>
      </c>
      <c r="G20" s="240"/>
      <c r="H20" s="108"/>
      <c r="I20" s="108"/>
      <c r="J20" s="108"/>
      <c r="K20" s="16">
        <v>0</v>
      </c>
      <c r="L20" s="16">
        <v>0</v>
      </c>
      <c r="M20" s="16">
        <v>0</v>
      </c>
      <c r="N20" s="14">
        <v>0</v>
      </c>
      <c r="O20" s="2">
        <v>5</v>
      </c>
      <c r="P20" s="211">
        <f t="shared" si="0"/>
        <v>5</v>
      </c>
      <c r="Q20" s="86">
        <f>P20/20*100</f>
        <v>25</v>
      </c>
      <c r="R20" s="220"/>
      <c r="S20" s="2"/>
      <c r="T20" s="2"/>
      <c r="U20" s="2"/>
      <c r="V20" s="4">
        <v>5</v>
      </c>
      <c r="W20" s="2">
        <f>3/20*100</f>
        <v>15</v>
      </c>
      <c r="X20" s="61">
        <v>0.1</v>
      </c>
      <c r="Y20" s="2" t="s">
        <v>230</v>
      </c>
      <c r="Z20" s="2">
        <v>6</v>
      </c>
      <c r="AA20" s="220"/>
      <c r="AB20" s="2">
        <f t="shared" si="2"/>
        <v>16</v>
      </c>
      <c r="AC20" s="128">
        <f>AB20/20*100</f>
        <v>80</v>
      </c>
      <c r="AD20" s="4"/>
      <c r="AE20" s="220"/>
      <c r="AF20" s="2"/>
      <c r="AG20" s="2"/>
      <c r="AH20" s="2"/>
      <c r="AI20" s="127">
        <v>0</v>
      </c>
      <c r="AJ20" s="135">
        <v>2</v>
      </c>
      <c r="AK20" s="182">
        <v>2</v>
      </c>
      <c r="AL20" s="218" t="s">
        <v>484</v>
      </c>
      <c r="AM20" s="195"/>
      <c r="AN20" s="203">
        <v>1</v>
      </c>
      <c r="AO20" s="218" t="s">
        <v>462</v>
      </c>
      <c r="AP20" s="4">
        <f t="shared" si="1"/>
        <v>21</v>
      </c>
      <c r="AQ20" s="133">
        <f>AP20/20*100</f>
        <v>105</v>
      </c>
      <c r="AR20" s="218" t="s">
        <v>485</v>
      </c>
      <c r="AS20" s="127"/>
      <c r="AT20" s="127"/>
      <c r="AU20" s="127"/>
      <c r="AV20" s="2">
        <v>2</v>
      </c>
      <c r="AW20" s="2"/>
      <c r="AX20" s="2">
        <v>2</v>
      </c>
      <c r="AY20" s="2"/>
      <c r="AZ20" s="205"/>
      <c r="BA20" s="205"/>
      <c r="BB20" s="195"/>
      <c r="BC20" s="2"/>
      <c r="BD20" s="4"/>
    </row>
    <row r="21" spans="1:57" ht="65.25" customHeight="1">
      <c r="A21" s="9">
        <v>17</v>
      </c>
      <c r="B21" s="268"/>
      <c r="C21" s="243"/>
      <c r="D21" s="14" t="s">
        <v>38</v>
      </c>
      <c r="E21" s="2" t="s">
        <v>8</v>
      </c>
      <c r="F21" s="14" t="s">
        <v>39</v>
      </c>
      <c r="G21" s="240"/>
      <c r="H21" s="108"/>
      <c r="I21" s="108"/>
      <c r="J21" s="108"/>
      <c r="K21" s="16">
        <v>1</v>
      </c>
      <c r="L21" s="16">
        <v>1</v>
      </c>
      <c r="M21" s="16">
        <v>1</v>
      </c>
      <c r="N21" s="14">
        <v>1</v>
      </c>
      <c r="O21" s="2">
        <v>6</v>
      </c>
      <c r="P21" s="211">
        <f t="shared" si="0"/>
        <v>10</v>
      </c>
      <c r="Q21" s="86">
        <v>10</v>
      </c>
      <c r="R21" s="220"/>
      <c r="S21" s="2"/>
      <c r="T21" s="2"/>
      <c r="U21" s="2"/>
      <c r="V21" s="2">
        <v>2</v>
      </c>
      <c r="W21" s="2">
        <v>0</v>
      </c>
      <c r="X21" s="61">
        <v>0</v>
      </c>
      <c r="Y21" s="2" t="s">
        <v>230</v>
      </c>
      <c r="Z21" s="2">
        <v>6</v>
      </c>
      <c r="AA21" s="220"/>
      <c r="AB21" s="2">
        <f t="shared" si="2"/>
        <v>18</v>
      </c>
      <c r="AC21" s="128">
        <v>0</v>
      </c>
      <c r="AD21" s="2" t="s">
        <v>486</v>
      </c>
      <c r="AE21" s="220"/>
      <c r="AF21" s="2"/>
      <c r="AG21" s="2"/>
      <c r="AH21" s="2"/>
      <c r="AI21" s="127">
        <v>0</v>
      </c>
      <c r="AJ21" s="135">
        <v>3</v>
      </c>
      <c r="AK21" s="182">
        <v>2</v>
      </c>
      <c r="AL21" s="220"/>
      <c r="AM21" s="195"/>
      <c r="AN21" s="203">
        <v>1</v>
      </c>
      <c r="AO21" s="220"/>
      <c r="AP21" s="4">
        <f t="shared" si="1"/>
        <v>24</v>
      </c>
      <c r="AQ21" s="132">
        <v>65</v>
      </c>
      <c r="AR21" s="220"/>
      <c r="AS21" s="127"/>
      <c r="AT21" s="127"/>
      <c r="AU21" s="127"/>
      <c r="AV21" s="2"/>
      <c r="AW21" s="2"/>
      <c r="AX21" s="2"/>
      <c r="AY21" s="2"/>
      <c r="AZ21" s="205"/>
      <c r="BA21" s="205"/>
      <c r="BB21" s="195"/>
      <c r="BC21" s="2"/>
      <c r="BD21" s="2"/>
      <c r="BE21" s="207"/>
    </row>
    <row r="22" spans="1:56" ht="82.5" customHeight="1">
      <c r="A22" s="9">
        <v>18</v>
      </c>
      <c r="B22" s="268"/>
      <c r="C22" s="243"/>
      <c r="D22" s="14" t="s">
        <v>40</v>
      </c>
      <c r="E22" s="2" t="s">
        <v>9</v>
      </c>
      <c r="F22" s="14" t="s">
        <v>41</v>
      </c>
      <c r="G22" s="240"/>
      <c r="H22" s="108"/>
      <c r="I22" s="108"/>
      <c r="J22" s="108"/>
      <c r="K22" s="16">
        <v>0</v>
      </c>
      <c r="L22" s="16">
        <v>0</v>
      </c>
      <c r="M22" s="16">
        <v>0</v>
      </c>
      <c r="N22" s="14">
        <v>0</v>
      </c>
      <c r="O22" s="2">
        <v>229</v>
      </c>
      <c r="P22" s="211">
        <f t="shared" si="0"/>
        <v>229</v>
      </c>
      <c r="Q22" s="86">
        <f>P22/1000*100</f>
        <v>22.900000000000002</v>
      </c>
      <c r="R22" s="220"/>
      <c r="S22" s="2"/>
      <c r="T22" s="2"/>
      <c r="U22" s="2"/>
      <c r="V22" s="2">
        <v>117</v>
      </c>
      <c r="W22" s="2">
        <f>40/1000*100</f>
        <v>4</v>
      </c>
      <c r="X22" s="61">
        <v>0.04</v>
      </c>
      <c r="Y22" s="2" t="s">
        <v>230</v>
      </c>
      <c r="Z22" s="2">
        <v>208</v>
      </c>
      <c r="AA22" s="220"/>
      <c r="AB22" s="2">
        <f t="shared" si="2"/>
        <v>554</v>
      </c>
      <c r="AC22" s="128">
        <f>AB22/1000*100</f>
        <v>55.400000000000006</v>
      </c>
      <c r="AD22" s="2"/>
      <c r="AE22" s="220"/>
      <c r="AF22" s="2"/>
      <c r="AG22" s="2"/>
      <c r="AH22" s="2"/>
      <c r="AI22" s="127">
        <v>0</v>
      </c>
      <c r="AJ22" s="135">
        <v>40</v>
      </c>
      <c r="AK22" s="182">
        <v>92</v>
      </c>
      <c r="AL22" s="219"/>
      <c r="AM22" s="195"/>
      <c r="AN22" s="203">
        <v>20</v>
      </c>
      <c r="AO22" s="219"/>
      <c r="AP22" s="4">
        <f t="shared" si="1"/>
        <v>706</v>
      </c>
      <c r="AQ22" s="134">
        <f>AP22/1000*100</f>
        <v>70.6</v>
      </c>
      <c r="AR22" s="219"/>
      <c r="AS22" s="127"/>
      <c r="AT22" s="127"/>
      <c r="AU22" s="127"/>
      <c r="AV22" s="2"/>
      <c r="AW22" s="2"/>
      <c r="AX22" s="2"/>
      <c r="AY22" s="2"/>
      <c r="AZ22" s="205"/>
      <c r="BA22" s="205"/>
      <c r="BB22" s="195"/>
      <c r="BC22" s="2"/>
      <c r="BD22" s="2"/>
    </row>
    <row r="23" spans="1:56" ht="87" customHeight="1">
      <c r="A23" s="9">
        <v>19</v>
      </c>
      <c r="B23" s="268"/>
      <c r="C23" s="243"/>
      <c r="D23" s="14" t="s">
        <v>42</v>
      </c>
      <c r="E23" s="2" t="s">
        <v>9</v>
      </c>
      <c r="F23" s="14" t="s">
        <v>43</v>
      </c>
      <c r="G23" s="240"/>
      <c r="H23" s="108"/>
      <c r="I23" s="108"/>
      <c r="J23" s="108"/>
      <c r="K23" s="17">
        <v>24</v>
      </c>
      <c r="L23" s="16">
        <v>12</v>
      </c>
      <c r="M23" s="16">
        <v>12</v>
      </c>
      <c r="N23" s="16">
        <v>12</v>
      </c>
      <c r="O23" s="2">
        <v>6</v>
      </c>
      <c r="P23" s="211">
        <f t="shared" si="0"/>
        <v>66</v>
      </c>
      <c r="Q23" s="86">
        <f>P23/120*100</f>
        <v>55.00000000000001</v>
      </c>
      <c r="R23" s="220"/>
      <c r="S23" s="232">
        <v>7500000</v>
      </c>
      <c r="T23" s="216">
        <v>7500000</v>
      </c>
      <c r="U23" s="216"/>
      <c r="V23" s="2">
        <v>3</v>
      </c>
      <c r="W23" s="2">
        <f>69/120*100</f>
        <v>57.49999999999999</v>
      </c>
      <c r="X23" s="61">
        <v>0.57</v>
      </c>
      <c r="Y23" s="2" t="s">
        <v>230</v>
      </c>
      <c r="Z23" s="204">
        <v>18</v>
      </c>
      <c r="AA23" s="220"/>
      <c r="AB23" s="90">
        <f t="shared" si="2"/>
        <v>87</v>
      </c>
      <c r="AC23" s="128">
        <f>AB23/120*100</f>
        <v>72.5</v>
      </c>
      <c r="AD23" s="2"/>
      <c r="AE23" s="220"/>
      <c r="AF23" s="216">
        <v>89000000</v>
      </c>
      <c r="AG23" s="216">
        <v>11733333</v>
      </c>
      <c r="AH23" s="216"/>
      <c r="AI23" s="127">
        <v>0</v>
      </c>
      <c r="AJ23" s="135"/>
      <c r="AK23" s="182">
        <v>5</v>
      </c>
      <c r="AL23" s="218" t="s">
        <v>431</v>
      </c>
      <c r="AM23" s="195">
        <v>3</v>
      </c>
      <c r="AN23" s="203">
        <v>5</v>
      </c>
      <c r="AO23" s="218" t="s">
        <v>461</v>
      </c>
      <c r="AP23" s="4">
        <f t="shared" si="1"/>
        <v>100</v>
      </c>
      <c r="AQ23" s="133">
        <f>AP23/120*100</f>
        <v>83.33333333333334</v>
      </c>
      <c r="AR23" s="216"/>
      <c r="AS23" s="216">
        <v>40000000</v>
      </c>
      <c r="AT23" s="216">
        <v>40000000</v>
      </c>
      <c r="AU23" s="122"/>
      <c r="AV23" s="2"/>
      <c r="AW23" s="2"/>
      <c r="AX23" s="2"/>
      <c r="AY23" s="2"/>
      <c r="AZ23" s="213">
        <v>120000000</v>
      </c>
      <c r="BA23" s="213">
        <v>90000000</v>
      </c>
      <c r="BB23" s="216"/>
      <c r="BC23" s="2"/>
      <c r="BD23" s="2"/>
    </row>
    <row r="24" spans="1:56" ht="83.25" customHeight="1">
      <c r="A24" s="9">
        <v>20</v>
      </c>
      <c r="B24" s="268"/>
      <c r="C24" s="244"/>
      <c r="D24" s="14" t="s">
        <v>44</v>
      </c>
      <c r="E24" s="2" t="s">
        <v>9</v>
      </c>
      <c r="F24" s="14" t="s">
        <v>45</v>
      </c>
      <c r="G24" s="240"/>
      <c r="H24" s="108"/>
      <c r="I24" s="108"/>
      <c r="J24" s="108"/>
      <c r="K24" s="17">
        <v>1200</v>
      </c>
      <c r="L24" s="16">
        <v>600</v>
      </c>
      <c r="M24" s="16">
        <v>600</v>
      </c>
      <c r="N24" s="16">
        <v>600</v>
      </c>
      <c r="O24" s="2">
        <v>12209</v>
      </c>
      <c r="P24" s="211">
        <f t="shared" si="0"/>
        <v>15209</v>
      </c>
      <c r="Q24" s="86">
        <f>P24/6000*100</f>
        <v>253.48333333333332</v>
      </c>
      <c r="R24" s="219"/>
      <c r="S24" s="233"/>
      <c r="T24" s="217"/>
      <c r="U24" s="217"/>
      <c r="V24" s="2">
        <v>11901</v>
      </c>
      <c r="W24" s="2">
        <f>27110/6000*100</f>
        <v>451.83333333333337</v>
      </c>
      <c r="X24" s="61">
        <v>4.52</v>
      </c>
      <c r="Y24" s="2"/>
      <c r="Z24" s="69">
        <v>12509</v>
      </c>
      <c r="AA24" s="219"/>
      <c r="AB24" s="90">
        <f t="shared" si="2"/>
        <v>39619</v>
      </c>
      <c r="AC24" s="128">
        <f>AB24/6000*100</f>
        <v>660.3166666666666</v>
      </c>
      <c r="AD24" s="2"/>
      <c r="AE24" s="219"/>
      <c r="AF24" s="217"/>
      <c r="AG24" s="217"/>
      <c r="AH24" s="217"/>
      <c r="AI24" s="127">
        <v>0</v>
      </c>
      <c r="AJ24" s="135"/>
      <c r="AK24" s="182">
        <v>218</v>
      </c>
      <c r="AL24" s="219"/>
      <c r="AM24" s="195">
        <v>95</v>
      </c>
      <c r="AN24" s="203">
        <v>3977</v>
      </c>
      <c r="AO24" s="219"/>
      <c r="AP24" s="4">
        <f t="shared" si="1"/>
        <v>43909</v>
      </c>
      <c r="AQ24" s="133">
        <f>AP24/6000*100</f>
        <v>731.8166666666666</v>
      </c>
      <c r="AR24" s="217"/>
      <c r="AS24" s="217"/>
      <c r="AT24" s="217"/>
      <c r="AU24" s="123"/>
      <c r="AV24" s="2"/>
      <c r="AW24" s="2"/>
      <c r="AX24" s="2"/>
      <c r="AY24" s="2"/>
      <c r="AZ24" s="214"/>
      <c r="BA24" s="214"/>
      <c r="BB24" s="217"/>
      <c r="BC24" s="2"/>
      <c r="BD24" s="2"/>
    </row>
    <row r="25" spans="1:56" ht="32.25" customHeight="1">
      <c r="A25" s="9">
        <v>21</v>
      </c>
      <c r="B25" s="268"/>
      <c r="C25" s="242" t="s">
        <v>207</v>
      </c>
      <c r="D25" s="14" t="s">
        <v>46</v>
      </c>
      <c r="E25" s="2" t="s">
        <v>9</v>
      </c>
      <c r="F25" s="14"/>
      <c r="G25" s="241" t="s">
        <v>366</v>
      </c>
      <c r="H25" s="109"/>
      <c r="I25" s="109"/>
      <c r="J25" s="109"/>
      <c r="K25" s="16"/>
      <c r="L25" s="16"/>
      <c r="M25" s="17"/>
      <c r="N25" s="17"/>
      <c r="O25" s="2">
        <v>2</v>
      </c>
      <c r="P25" s="211">
        <f t="shared" si="0"/>
        <v>2</v>
      </c>
      <c r="Q25" s="86">
        <f>P25/1*100</f>
        <v>200</v>
      </c>
      <c r="R25" s="218" t="s">
        <v>487</v>
      </c>
      <c r="S25" s="2"/>
      <c r="T25" s="2"/>
      <c r="U25" s="2"/>
      <c r="V25" s="4">
        <v>1</v>
      </c>
      <c r="W25" s="2">
        <f>3/1*100</f>
        <v>300</v>
      </c>
      <c r="X25" s="61">
        <v>3</v>
      </c>
      <c r="Y25" s="2"/>
      <c r="Z25" s="2">
        <v>0</v>
      </c>
      <c r="AA25" s="218" t="s">
        <v>487</v>
      </c>
      <c r="AB25" s="2">
        <f t="shared" si="2"/>
        <v>3</v>
      </c>
      <c r="AC25" s="128">
        <f>AB25/1*100</f>
        <v>300</v>
      </c>
      <c r="AD25" s="2"/>
      <c r="AE25" s="218" t="s">
        <v>487</v>
      </c>
      <c r="AF25" s="2"/>
      <c r="AG25" s="2"/>
      <c r="AH25" s="2"/>
      <c r="AI25" s="127">
        <v>0</v>
      </c>
      <c r="AJ25" s="135"/>
      <c r="AK25" s="182">
        <v>3</v>
      </c>
      <c r="AL25" s="218" t="s">
        <v>456</v>
      </c>
      <c r="AM25" s="195"/>
      <c r="AN25" s="203"/>
      <c r="AO25" s="218" t="s">
        <v>488</v>
      </c>
      <c r="AP25" s="4">
        <f t="shared" si="1"/>
        <v>6</v>
      </c>
      <c r="AQ25" s="133">
        <f>AP25/1*100</f>
        <v>600</v>
      </c>
      <c r="AR25" s="127"/>
      <c r="AS25" s="127"/>
      <c r="AT25" s="127"/>
      <c r="AU25" s="127"/>
      <c r="AV25" s="2"/>
      <c r="AW25" s="2"/>
      <c r="AX25" s="2"/>
      <c r="AY25" s="2"/>
      <c r="AZ25" s="213">
        <v>50240000</v>
      </c>
      <c r="BA25" s="213">
        <v>7333000</v>
      </c>
      <c r="BB25" s="216"/>
      <c r="BC25" s="2"/>
      <c r="BD25" s="2"/>
    </row>
    <row r="26" spans="1:56" ht="107.25" customHeight="1">
      <c r="A26" s="9">
        <v>22</v>
      </c>
      <c r="B26" s="268"/>
      <c r="C26" s="243"/>
      <c r="D26" s="14" t="s">
        <v>47</v>
      </c>
      <c r="E26" s="2" t="s">
        <v>9</v>
      </c>
      <c r="F26" s="14" t="s">
        <v>489</v>
      </c>
      <c r="G26" s="241"/>
      <c r="H26" s="109"/>
      <c r="I26" s="109"/>
      <c r="J26" s="109"/>
      <c r="K26" s="17">
        <v>10000</v>
      </c>
      <c r="L26" s="16">
        <v>5000</v>
      </c>
      <c r="M26" s="16">
        <v>5000</v>
      </c>
      <c r="N26" s="16">
        <v>5000</v>
      </c>
      <c r="O26" s="2">
        <v>1289</v>
      </c>
      <c r="P26" s="211">
        <f t="shared" si="0"/>
        <v>26289</v>
      </c>
      <c r="Q26" s="86">
        <f>P26/50000*100</f>
        <v>52.578</v>
      </c>
      <c r="R26" s="220"/>
      <c r="S26" s="2"/>
      <c r="T26" s="2"/>
      <c r="U26" s="2"/>
      <c r="V26" s="2">
        <v>1855</v>
      </c>
      <c r="W26" s="2">
        <f>28014/50000*100</f>
        <v>56.028</v>
      </c>
      <c r="X26" s="61">
        <v>0.56</v>
      </c>
      <c r="Y26" s="2" t="s">
        <v>230</v>
      </c>
      <c r="Z26" s="2">
        <v>2951</v>
      </c>
      <c r="AA26" s="220"/>
      <c r="AB26" s="2">
        <f t="shared" si="2"/>
        <v>31095</v>
      </c>
      <c r="AC26" s="128">
        <f>AB26/50000*100</f>
        <v>62.19</v>
      </c>
      <c r="AD26" s="2"/>
      <c r="AE26" s="220"/>
      <c r="AF26" s="2"/>
      <c r="AG26" s="2"/>
      <c r="AH26" s="2"/>
      <c r="AI26" s="127">
        <v>0</v>
      </c>
      <c r="AJ26" s="135"/>
      <c r="AK26" s="182">
        <v>8502</v>
      </c>
      <c r="AL26" s="219"/>
      <c r="AM26" s="195">
        <v>333</v>
      </c>
      <c r="AN26" s="203">
        <v>15</v>
      </c>
      <c r="AO26" s="219"/>
      <c r="AP26" s="4">
        <f t="shared" si="1"/>
        <v>39945</v>
      </c>
      <c r="AQ26" s="133">
        <f>AP26/50000*100</f>
        <v>79.89</v>
      </c>
      <c r="AR26" s="4" t="s">
        <v>490</v>
      </c>
      <c r="AS26" s="127">
        <v>100073996</v>
      </c>
      <c r="AT26" s="127">
        <v>89463996</v>
      </c>
      <c r="AU26" s="127"/>
      <c r="AV26" s="2"/>
      <c r="AW26" s="2"/>
      <c r="AX26" s="2"/>
      <c r="AY26" s="2"/>
      <c r="AZ26" s="214"/>
      <c r="BA26" s="214"/>
      <c r="BB26" s="217"/>
      <c r="BC26" s="2"/>
      <c r="BD26" s="2"/>
    </row>
    <row r="27" spans="1:56" ht="92.25" customHeight="1">
      <c r="A27" s="9">
        <v>23</v>
      </c>
      <c r="B27" s="268"/>
      <c r="C27" s="243"/>
      <c r="D27" s="14" t="s">
        <v>48</v>
      </c>
      <c r="E27" s="2" t="s">
        <v>9</v>
      </c>
      <c r="F27" s="14" t="s">
        <v>49</v>
      </c>
      <c r="G27" s="241"/>
      <c r="H27" s="109"/>
      <c r="I27" s="109"/>
      <c r="J27" s="109"/>
      <c r="K27" s="17">
        <v>24</v>
      </c>
      <c r="L27" s="16">
        <v>12</v>
      </c>
      <c r="M27" s="16">
        <v>12</v>
      </c>
      <c r="N27" s="16">
        <v>12</v>
      </c>
      <c r="O27" s="2">
        <v>33</v>
      </c>
      <c r="P27" s="211">
        <f t="shared" si="0"/>
        <v>93</v>
      </c>
      <c r="Q27" s="86">
        <f>P27/120*100</f>
        <v>77.5</v>
      </c>
      <c r="R27" s="220"/>
      <c r="S27" s="2"/>
      <c r="T27" s="2"/>
      <c r="U27" s="2"/>
      <c r="V27" s="2">
        <v>33</v>
      </c>
      <c r="W27" s="2">
        <f>125/120*100</f>
        <v>104.16666666666667</v>
      </c>
      <c r="X27" s="61">
        <v>1.04</v>
      </c>
      <c r="Y27" s="4"/>
      <c r="Z27" s="4">
        <v>16</v>
      </c>
      <c r="AA27" s="220"/>
      <c r="AB27" s="2">
        <f t="shared" si="2"/>
        <v>142</v>
      </c>
      <c r="AC27" s="128">
        <f>AB27/120*100</f>
        <v>118.33333333333333</v>
      </c>
      <c r="AD27" s="2"/>
      <c r="AE27" s="220"/>
      <c r="AF27" s="2"/>
      <c r="AG27" s="2"/>
      <c r="AH27" s="2"/>
      <c r="AI27" s="127">
        <v>1</v>
      </c>
      <c r="AJ27" s="135"/>
      <c r="AK27" s="182">
        <v>17</v>
      </c>
      <c r="AL27" s="218" t="s">
        <v>463</v>
      </c>
      <c r="AM27" s="195">
        <v>16</v>
      </c>
      <c r="AN27" s="203">
        <v>1</v>
      </c>
      <c r="AO27" s="218" t="s">
        <v>488</v>
      </c>
      <c r="AP27" s="4">
        <f t="shared" si="1"/>
        <v>177</v>
      </c>
      <c r="AQ27" s="133">
        <f>AP27/120*100</f>
        <v>147.5</v>
      </c>
      <c r="AR27" s="127"/>
      <c r="AS27" s="216">
        <v>26000000</v>
      </c>
      <c r="AT27" s="216">
        <v>26000000</v>
      </c>
      <c r="AU27" s="127"/>
      <c r="AV27" s="2"/>
      <c r="AW27" s="2"/>
      <c r="AX27" s="2"/>
      <c r="AY27" s="2"/>
      <c r="AZ27" s="213">
        <v>26182433</v>
      </c>
      <c r="BA27" s="213">
        <v>21182433</v>
      </c>
      <c r="BB27" s="216"/>
      <c r="BC27" s="2"/>
      <c r="BD27" s="2"/>
    </row>
    <row r="28" spans="1:56" ht="107.25" customHeight="1">
      <c r="A28" s="9">
        <v>24</v>
      </c>
      <c r="B28" s="268"/>
      <c r="C28" s="243"/>
      <c r="D28" s="14" t="s">
        <v>50</v>
      </c>
      <c r="E28" s="2" t="s">
        <v>9</v>
      </c>
      <c r="F28" s="14" t="s">
        <v>489</v>
      </c>
      <c r="G28" s="241"/>
      <c r="H28" s="109"/>
      <c r="I28" s="109"/>
      <c r="J28" s="109"/>
      <c r="K28" s="17">
        <v>1200</v>
      </c>
      <c r="L28" s="16">
        <v>600</v>
      </c>
      <c r="M28" s="16">
        <v>600</v>
      </c>
      <c r="N28" s="16">
        <v>600</v>
      </c>
      <c r="O28" s="2">
        <v>1274</v>
      </c>
      <c r="P28" s="211">
        <f t="shared" si="0"/>
        <v>4274</v>
      </c>
      <c r="Q28" s="86">
        <f>P28/6000*100</f>
        <v>71.23333333333333</v>
      </c>
      <c r="R28" s="220"/>
      <c r="S28" s="2"/>
      <c r="T28" s="2"/>
      <c r="U28" s="2"/>
      <c r="V28" s="2">
        <v>371</v>
      </c>
      <c r="W28" s="2">
        <f>4645/6000*100</f>
        <v>77.41666666666667</v>
      </c>
      <c r="X28" s="61">
        <v>0.77</v>
      </c>
      <c r="Y28" s="4" t="s">
        <v>235</v>
      </c>
      <c r="Z28" s="4">
        <v>15</v>
      </c>
      <c r="AA28" s="220"/>
      <c r="AB28" s="2">
        <f t="shared" si="2"/>
        <v>4660</v>
      </c>
      <c r="AC28" s="128">
        <f>AB28/6000*100</f>
        <v>77.66666666666666</v>
      </c>
      <c r="AD28" s="2"/>
      <c r="AE28" s="220"/>
      <c r="AF28" s="2"/>
      <c r="AG28" s="2"/>
      <c r="AH28" s="2"/>
      <c r="AI28" s="127">
        <v>0</v>
      </c>
      <c r="AJ28" s="135"/>
      <c r="AK28" s="182">
        <v>2264</v>
      </c>
      <c r="AL28" s="219"/>
      <c r="AM28" s="195">
        <v>145</v>
      </c>
      <c r="AN28" s="203">
        <v>42</v>
      </c>
      <c r="AO28" s="219"/>
      <c r="AP28" s="4">
        <f t="shared" si="1"/>
        <v>7111</v>
      </c>
      <c r="AQ28" s="133">
        <f>AP28/6000*100</f>
        <v>118.51666666666667</v>
      </c>
      <c r="AR28" s="127"/>
      <c r="AS28" s="217"/>
      <c r="AT28" s="217"/>
      <c r="AU28" s="127"/>
      <c r="AV28" s="2">
        <v>359</v>
      </c>
      <c r="AW28" s="2"/>
      <c r="AX28" s="2">
        <v>359</v>
      </c>
      <c r="AY28" s="2"/>
      <c r="AZ28" s="214"/>
      <c r="BA28" s="214"/>
      <c r="BB28" s="217"/>
      <c r="BC28" s="2"/>
      <c r="BD28" s="2"/>
    </row>
    <row r="29" spans="1:57" ht="81.75" customHeight="1">
      <c r="A29" s="9">
        <v>25</v>
      </c>
      <c r="B29" s="268"/>
      <c r="C29" s="243"/>
      <c r="D29" s="14" t="s">
        <v>51</v>
      </c>
      <c r="E29" s="2" t="s">
        <v>9</v>
      </c>
      <c r="F29" s="14" t="s">
        <v>491</v>
      </c>
      <c r="G29" s="241"/>
      <c r="H29" s="109"/>
      <c r="I29" s="109"/>
      <c r="J29" s="109"/>
      <c r="K29" s="17">
        <v>24</v>
      </c>
      <c r="L29" s="16">
        <v>12</v>
      </c>
      <c r="M29" s="16">
        <v>12</v>
      </c>
      <c r="N29" s="16">
        <v>12</v>
      </c>
      <c r="O29" s="2">
        <v>15</v>
      </c>
      <c r="P29" s="211">
        <f t="shared" si="0"/>
        <v>75</v>
      </c>
      <c r="Q29" s="86">
        <f>P29/120*100</f>
        <v>62.5</v>
      </c>
      <c r="R29" s="220"/>
      <c r="S29" s="2">
        <v>7299999</v>
      </c>
      <c r="T29" s="2">
        <v>7299999</v>
      </c>
      <c r="U29" s="2">
        <f>T29/S29*100</f>
        <v>100</v>
      </c>
      <c r="V29" s="4">
        <v>10</v>
      </c>
      <c r="W29" s="2">
        <f>85/120*100</f>
        <v>70.83333333333334</v>
      </c>
      <c r="X29" s="61">
        <v>0.71</v>
      </c>
      <c r="Y29" s="4" t="s">
        <v>235</v>
      </c>
      <c r="Z29" s="4">
        <v>3</v>
      </c>
      <c r="AA29" s="220"/>
      <c r="AB29" s="2">
        <f t="shared" si="2"/>
        <v>88</v>
      </c>
      <c r="AC29" s="128">
        <f>AB29/120*100</f>
        <v>73.33333333333333</v>
      </c>
      <c r="AD29" s="2"/>
      <c r="AE29" s="220"/>
      <c r="AF29" s="216">
        <v>15000000</v>
      </c>
      <c r="AG29" s="216">
        <v>7200000</v>
      </c>
      <c r="AH29" s="216">
        <f>AG29/AF29*100</f>
        <v>48</v>
      </c>
      <c r="AI29" s="127">
        <v>0</v>
      </c>
      <c r="AJ29" s="135"/>
      <c r="AK29" s="182">
        <v>6</v>
      </c>
      <c r="AL29" s="218" t="s">
        <v>457</v>
      </c>
      <c r="AM29" s="195">
        <v>2</v>
      </c>
      <c r="AN29" s="203"/>
      <c r="AO29" s="218" t="s">
        <v>447</v>
      </c>
      <c r="AP29" s="4">
        <f t="shared" si="1"/>
        <v>96</v>
      </c>
      <c r="AQ29" s="133">
        <f>AP29/120*100</f>
        <v>80</v>
      </c>
      <c r="AR29" s="122"/>
      <c r="AS29" s="216">
        <v>2000000</v>
      </c>
      <c r="AT29" s="216">
        <v>2000000</v>
      </c>
      <c r="AU29" s="122"/>
      <c r="AV29" s="2">
        <v>15</v>
      </c>
      <c r="AW29" s="2"/>
      <c r="AX29" s="2">
        <v>10</v>
      </c>
      <c r="AY29" s="2"/>
      <c r="AZ29" s="213">
        <v>20000000</v>
      </c>
      <c r="BA29" s="213">
        <v>15000000</v>
      </c>
      <c r="BB29" s="216"/>
      <c r="BC29" s="2"/>
      <c r="BD29" s="2"/>
      <c r="BE29" s="206" t="s">
        <v>538</v>
      </c>
    </row>
    <row r="30" spans="1:56" ht="100.5" customHeight="1">
      <c r="A30" s="9">
        <v>26</v>
      </c>
      <c r="B30" s="268"/>
      <c r="C30" s="244"/>
      <c r="D30" s="14" t="s">
        <v>52</v>
      </c>
      <c r="E30" s="2" t="s">
        <v>9</v>
      </c>
      <c r="F30" s="14" t="s">
        <v>492</v>
      </c>
      <c r="G30" s="241"/>
      <c r="H30" s="109"/>
      <c r="I30" s="109"/>
      <c r="J30" s="109"/>
      <c r="K30" s="17">
        <v>10000</v>
      </c>
      <c r="L30" s="16">
        <v>5000</v>
      </c>
      <c r="M30" s="16">
        <v>5000</v>
      </c>
      <c r="N30" s="16">
        <v>5000</v>
      </c>
      <c r="O30" s="2">
        <v>15546</v>
      </c>
      <c r="P30" s="211">
        <f t="shared" si="0"/>
        <v>40546</v>
      </c>
      <c r="Q30" s="86">
        <f>P30/50000*100</f>
        <v>81.092</v>
      </c>
      <c r="R30" s="219"/>
      <c r="S30" s="2"/>
      <c r="T30" s="2"/>
      <c r="U30" s="2"/>
      <c r="V30" s="2">
        <v>8934</v>
      </c>
      <c r="W30" s="2">
        <f>49480/50000*100</f>
        <v>98.96000000000001</v>
      </c>
      <c r="X30" s="61">
        <v>0.99</v>
      </c>
      <c r="Y30" s="4" t="s">
        <v>235</v>
      </c>
      <c r="Z30" s="4">
        <v>140</v>
      </c>
      <c r="AA30" s="219"/>
      <c r="AB30" s="2">
        <f t="shared" si="2"/>
        <v>49620</v>
      </c>
      <c r="AC30" s="128">
        <f>AB30/50000*100</f>
        <v>99.24</v>
      </c>
      <c r="AD30" s="2"/>
      <c r="AE30" s="219"/>
      <c r="AF30" s="217"/>
      <c r="AG30" s="217"/>
      <c r="AH30" s="217"/>
      <c r="AI30" s="127">
        <v>0</v>
      </c>
      <c r="AJ30" s="135"/>
      <c r="AK30" s="182">
        <v>2555</v>
      </c>
      <c r="AL30" s="219"/>
      <c r="AM30" s="195">
        <v>70</v>
      </c>
      <c r="AN30" s="203"/>
      <c r="AO30" s="219"/>
      <c r="AP30" s="4">
        <f t="shared" si="1"/>
        <v>52245</v>
      </c>
      <c r="AQ30" s="133">
        <f>AP30/50000*100</f>
        <v>104.49</v>
      </c>
      <c r="AR30" s="123"/>
      <c r="AS30" s="217"/>
      <c r="AT30" s="217"/>
      <c r="AU30" s="123"/>
      <c r="AV30" s="2">
        <v>130</v>
      </c>
      <c r="AW30" s="2"/>
      <c r="AX30" s="2">
        <v>130</v>
      </c>
      <c r="AY30" s="2"/>
      <c r="AZ30" s="214"/>
      <c r="BA30" s="214"/>
      <c r="BB30" s="217"/>
      <c r="BC30" s="2"/>
      <c r="BD30" s="2"/>
    </row>
    <row r="31" spans="1:56" ht="78.75" customHeight="1">
      <c r="A31" s="9">
        <v>27</v>
      </c>
      <c r="B31" s="268"/>
      <c r="C31" s="242" t="s">
        <v>208</v>
      </c>
      <c r="D31" s="14" t="s">
        <v>53</v>
      </c>
      <c r="E31" s="2" t="s">
        <v>9</v>
      </c>
      <c r="F31" s="14" t="s">
        <v>54</v>
      </c>
      <c r="G31" s="240" t="s">
        <v>55</v>
      </c>
      <c r="H31" s="108"/>
      <c r="I31" s="108"/>
      <c r="J31" s="108"/>
      <c r="K31" s="15">
        <v>2</v>
      </c>
      <c r="L31" s="14">
        <v>1</v>
      </c>
      <c r="M31" s="14">
        <v>1</v>
      </c>
      <c r="N31" s="14">
        <v>1</v>
      </c>
      <c r="O31" s="2">
        <v>2</v>
      </c>
      <c r="P31" s="211">
        <f t="shared" si="0"/>
        <v>7</v>
      </c>
      <c r="Q31" s="86">
        <f>P31/12*100</f>
        <v>58.333333333333336</v>
      </c>
      <c r="R31" s="218" t="s">
        <v>493</v>
      </c>
      <c r="S31" s="2"/>
      <c r="T31" s="2"/>
      <c r="U31" s="2"/>
      <c r="V31" s="4">
        <v>4</v>
      </c>
      <c r="W31" s="2">
        <f>11/12*100</f>
        <v>91.66666666666666</v>
      </c>
      <c r="X31" s="61">
        <v>0.92</v>
      </c>
      <c r="Y31" s="4" t="s">
        <v>235</v>
      </c>
      <c r="Z31" s="4">
        <v>0</v>
      </c>
      <c r="AA31" s="218" t="s">
        <v>493</v>
      </c>
      <c r="AB31" s="2">
        <v>4</v>
      </c>
      <c r="AC31" s="128">
        <f>AB31/12*100</f>
        <v>33.33333333333333</v>
      </c>
      <c r="AD31" s="2"/>
      <c r="AE31" s="218" t="s">
        <v>493</v>
      </c>
      <c r="AF31" s="2"/>
      <c r="AG31" s="2"/>
      <c r="AH31" s="2"/>
      <c r="AI31" s="127">
        <v>1</v>
      </c>
      <c r="AJ31" s="135"/>
      <c r="AK31" s="182">
        <v>4</v>
      </c>
      <c r="AL31" s="218" t="s">
        <v>458</v>
      </c>
      <c r="AM31" s="195">
        <v>2</v>
      </c>
      <c r="AN31" s="203">
        <v>4</v>
      </c>
      <c r="AO31" s="218" t="s">
        <v>494</v>
      </c>
      <c r="AP31" s="4">
        <f t="shared" si="1"/>
        <v>15</v>
      </c>
      <c r="AQ31" s="133">
        <f>AP31/12*100</f>
        <v>125</v>
      </c>
      <c r="AR31" s="127"/>
      <c r="AS31" s="127"/>
      <c r="AT31" s="127"/>
      <c r="AU31" s="127"/>
      <c r="AV31" s="2"/>
      <c r="AW31" s="2"/>
      <c r="AX31" s="2"/>
      <c r="AY31" s="2"/>
      <c r="AZ31" s="205"/>
      <c r="BA31" s="205"/>
      <c r="BB31" s="195"/>
      <c r="BC31" s="2"/>
      <c r="BD31" s="2"/>
    </row>
    <row r="32" spans="1:56" ht="100.5">
      <c r="A32" s="9">
        <v>28</v>
      </c>
      <c r="B32" s="268"/>
      <c r="C32" s="243"/>
      <c r="D32" s="14" t="s">
        <v>56</v>
      </c>
      <c r="E32" s="2" t="s">
        <v>9</v>
      </c>
      <c r="F32" s="14" t="s">
        <v>57</v>
      </c>
      <c r="G32" s="240"/>
      <c r="H32" s="108"/>
      <c r="I32" s="108"/>
      <c r="J32" s="108"/>
      <c r="K32" s="15">
        <v>1200</v>
      </c>
      <c r="L32" s="14">
        <v>600</v>
      </c>
      <c r="M32" s="14">
        <v>600</v>
      </c>
      <c r="N32" s="14">
        <v>600</v>
      </c>
      <c r="O32" s="2">
        <v>40</v>
      </c>
      <c r="P32" s="211">
        <f t="shared" si="0"/>
        <v>3040</v>
      </c>
      <c r="Q32" s="86">
        <f>P32/6000*100</f>
        <v>50.66666666666667</v>
      </c>
      <c r="R32" s="220"/>
      <c r="S32" s="2"/>
      <c r="T32" s="2"/>
      <c r="U32" s="2"/>
      <c r="V32" s="2">
        <v>20</v>
      </c>
      <c r="W32" s="2">
        <f>3040/6000*100</f>
        <v>50.66666666666667</v>
      </c>
      <c r="X32" s="61">
        <v>0.51</v>
      </c>
      <c r="Y32" s="2" t="s">
        <v>230</v>
      </c>
      <c r="Z32" s="2">
        <v>20</v>
      </c>
      <c r="AA32" s="220"/>
      <c r="AB32" s="2">
        <f t="shared" si="2"/>
        <v>3080</v>
      </c>
      <c r="AC32" s="128">
        <f>AB32/6000*100</f>
        <v>51.33333333333333</v>
      </c>
      <c r="AD32" s="4" t="s">
        <v>495</v>
      </c>
      <c r="AE32" s="220"/>
      <c r="AF32" s="2"/>
      <c r="AG32" s="2"/>
      <c r="AH32" s="2"/>
      <c r="AI32" s="127">
        <v>2</v>
      </c>
      <c r="AJ32" s="135"/>
      <c r="AK32" s="182">
        <v>26</v>
      </c>
      <c r="AL32" s="219"/>
      <c r="AM32" s="195">
        <v>2</v>
      </c>
      <c r="AN32" s="203"/>
      <c r="AO32" s="219"/>
      <c r="AP32" s="4">
        <f t="shared" si="1"/>
        <v>3110</v>
      </c>
      <c r="AQ32" s="131">
        <f>AP32/6000*100</f>
        <v>51.83333333333333</v>
      </c>
      <c r="AR32" s="4" t="s">
        <v>496</v>
      </c>
      <c r="AS32" s="127"/>
      <c r="AT32" s="127"/>
      <c r="AU32" s="127"/>
      <c r="AV32" s="2"/>
      <c r="AW32" s="2"/>
      <c r="AX32" s="2"/>
      <c r="AY32" s="2"/>
      <c r="AZ32" s="205"/>
      <c r="BA32" s="205"/>
      <c r="BB32" s="195"/>
      <c r="BC32" s="2"/>
      <c r="BD32" s="2"/>
    </row>
    <row r="33" spans="1:56" ht="96.75" customHeight="1">
      <c r="A33" s="9">
        <v>29</v>
      </c>
      <c r="B33" s="268"/>
      <c r="C33" s="243"/>
      <c r="D33" s="14" t="s">
        <v>58</v>
      </c>
      <c r="E33" s="2"/>
      <c r="F33" s="14" t="s">
        <v>59</v>
      </c>
      <c r="G33" s="240"/>
      <c r="H33" s="108"/>
      <c r="I33" s="108"/>
      <c r="J33" s="108"/>
      <c r="K33" s="15">
        <v>1</v>
      </c>
      <c r="L33" s="14">
        <v>1</v>
      </c>
      <c r="M33" s="15">
        <v>1</v>
      </c>
      <c r="N33" s="15">
        <v>1</v>
      </c>
      <c r="O33" s="2">
        <v>35</v>
      </c>
      <c r="P33" s="211">
        <f t="shared" si="0"/>
        <v>39</v>
      </c>
      <c r="Q33" s="86">
        <f>P33/1*100</f>
        <v>3900</v>
      </c>
      <c r="R33" s="220"/>
      <c r="S33" s="232">
        <v>0</v>
      </c>
      <c r="T33" s="216">
        <v>0</v>
      </c>
      <c r="U33" s="216">
        <v>0</v>
      </c>
      <c r="V33" s="4">
        <v>8</v>
      </c>
      <c r="W33" s="2">
        <f>37/1*100</f>
        <v>3700</v>
      </c>
      <c r="X33" s="61">
        <v>1</v>
      </c>
      <c r="Y33" s="4" t="s">
        <v>497</v>
      </c>
      <c r="Z33" s="70">
        <v>3</v>
      </c>
      <c r="AA33" s="220"/>
      <c r="AB33" s="2">
        <f t="shared" si="2"/>
        <v>50</v>
      </c>
      <c r="AC33" s="128">
        <v>100</v>
      </c>
      <c r="AD33" s="216"/>
      <c r="AE33" s="220"/>
      <c r="AF33" s="216">
        <v>60000000</v>
      </c>
      <c r="AG33" s="216">
        <v>0</v>
      </c>
      <c r="AH33" s="216"/>
      <c r="AI33" s="127">
        <v>0</v>
      </c>
      <c r="AJ33" s="135"/>
      <c r="AK33" s="182">
        <v>1</v>
      </c>
      <c r="AL33" s="218" t="s">
        <v>459</v>
      </c>
      <c r="AM33" s="195">
        <v>1</v>
      </c>
      <c r="AN33" s="203"/>
      <c r="AO33" s="218" t="s">
        <v>498</v>
      </c>
      <c r="AP33" s="4">
        <f t="shared" si="1"/>
        <v>52</v>
      </c>
      <c r="AQ33" s="133">
        <v>100</v>
      </c>
      <c r="AR33" s="122"/>
      <c r="AS33" s="122"/>
      <c r="AT33" s="122"/>
      <c r="AU33" s="122"/>
      <c r="AV33" s="2"/>
      <c r="AW33" s="2"/>
      <c r="AX33" s="2"/>
      <c r="AY33" s="2"/>
      <c r="AZ33" s="205"/>
      <c r="BA33" s="205"/>
      <c r="BB33" s="195"/>
      <c r="BC33" s="2"/>
      <c r="BD33" s="2"/>
    </row>
    <row r="34" spans="1:56" ht="137.25" customHeight="1" thickBot="1">
      <c r="A34" s="9">
        <v>30</v>
      </c>
      <c r="B34" s="269"/>
      <c r="C34" s="244"/>
      <c r="D34" s="14" t="s">
        <v>60</v>
      </c>
      <c r="E34" s="2" t="s">
        <v>8</v>
      </c>
      <c r="F34" s="14" t="s">
        <v>499</v>
      </c>
      <c r="G34" s="240"/>
      <c r="H34" s="28"/>
      <c r="I34" s="28"/>
      <c r="J34" s="28"/>
      <c r="K34" s="191">
        <v>0</v>
      </c>
      <c r="L34" s="22">
        <v>0</v>
      </c>
      <c r="M34" s="18">
        <v>0</v>
      </c>
      <c r="N34" s="18">
        <v>0</v>
      </c>
      <c r="O34" s="2">
        <v>12</v>
      </c>
      <c r="P34" s="211">
        <f t="shared" si="0"/>
        <v>12</v>
      </c>
      <c r="Q34" s="86">
        <v>100</v>
      </c>
      <c r="R34" s="219"/>
      <c r="S34" s="233"/>
      <c r="T34" s="217"/>
      <c r="U34" s="217"/>
      <c r="V34" s="4">
        <v>2</v>
      </c>
      <c r="W34" s="2">
        <v>100</v>
      </c>
      <c r="X34" s="61">
        <v>1</v>
      </c>
      <c r="Y34" s="4" t="s">
        <v>500</v>
      </c>
      <c r="Z34" s="71">
        <v>3</v>
      </c>
      <c r="AA34" s="219"/>
      <c r="AB34" s="10">
        <v>1</v>
      </c>
      <c r="AC34" s="128">
        <v>100</v>
      </c>
      <c r="AD34" s="217"/>
      <c r="AE34" s="219"/>
      <c r="AF34" s="217"/>
      <c r="AG34" s="217"/>
      <c r="AH34" s="217"/>
      <c r="AI34" s="127">
        <v>0</v>
      </c>
      <c r="AJ34" s="135"/>
      <c r="AK34" s="182">
        <v>12</v>
      </c>
      <c r="AL34" s="219"/>
      <c r="AM34" s="195">
        <v>4</v>
      </c>
      <c r="AN34" s="203">
        <v>4</v>
      </c>
      <c r="AO34" s="219"/>
      <c r="AP34" s="4">
        <f t="shared" si="1"/>
        <v>21</v>
      </c>
      <c r="AQ34" s="133">
        <v>100</v>
      </c>
      <c r="AR34" s="123"/>
      <c r="AS34" s="123"/>
      <c r="AT34" s="123"/>
      <c r="AU34" s="123"/>
      <c r="AV34" s="2"/>
      <c r="AW34" s="2"/>
      <c r="AX34" s="2"/>
      <c r="AY34" s="2"/>
      <c r="AZ34" s="205"/>
      <c r="BA34" s="205">
        <v>28478488</v>
      </c>
      <c r="BB34" s="195"/>
      <c r="BC34" s="2"/>
      <c r="BD34" s="2"/>
    </row>
    <row r="35" spans="1:56" ht="84.75" customHeight="1">
      <c r="A35" s="9">
        <v>31</v>
      </c>
      <c r="B35" s="242" t="s">
        <v>209</v>
      </c>
      <c r="C35" s="242" t="s">
        <v>210</v>
      </c>
      <c r="D35" s="14" t="s">
        <v>61</v>
      </c>
      <c r="E35" s="2" t="s">
        <v>9</v>
      </c>
      <c r="F35" s="14" t="s">
        <v>62</v>
      </c>
      <c r="G35" s="241" t="s">
        <v>63</v>
      </c>
      <c r="H35" s="119"/>
      <c r="I35" s="187"/>
      <c r="J35" s="187"/>
      <c r="K35" s="187"/>
      <c r="L35" s="23"/>
      <c r="M35" s="24"/>
      <c r="N35" s="24"/>
      <c r="O35" s="2">
        <v>3</v>
      </c>
      <c r="P35" s="211">
        <f t="shared" si="0"/>
        <v>3</v>
      </c>
      <c r="Q35" s="86">
        <f>P35/1*100</f>
        <v>300</v>
      </c>
      <c r="R35" s="218" t="s">
        <v>441</v>
      </c>
      <c r="S35" s="2">
        <v>0</v>
      </c>
      <c r="T35" s="2">
        <v>0</v>
      </c>
      <c r="U35" s="2"/>
      <c r="V35" s="2">
        <v>3</v>
      </c>
      <c r="W35" s="2">
        <f>6/1*100</f>
        <v>600</v>
      </c>
      <c r="X35" s="61">
        <v>6</v>
      </c>
      <c r="Y35" s="2"/>
      <c r="Z35" s="2">
        <v>0</v>
      </c>
      <c r="AA35" s="218" t="s">
        <v>441</v>
      </c>
      <c r="AB35" s="2">
        <f t="shared" si="2"/>
        <v>6</v>
      </c>
      <c r="AC35" s="128">
        <v>100</v>
      </c>
      <c r="AD35" s="2"/>
      <c r="AE35" s="218" t="s">
        <v>388</v>
      </c>
      <c r="AF35" s="2">
        <v>20000000</v>
      </c>
      <c r="AG35" s="2">
        <v>0</v>
      </c>
      <c r="AH35" s="2"/>
      <c r="AI35" s="127">
        <v>0</v>
      </c>
      <c r="AJ35" s="135"/>
      <c r="AK35" s="182">
        <v>1</v>
      </c>
      <c r="AL35" s="218" t="s">
        <v>433</v>
      </c>
      <c r="AM35" s="195"/>
      <c r="AN35" s="203">
        <v>2</v>
      </c>
      <c r="AO35" s="218" t="s">
        <v>541</v>
      </c>
      <c r="AP35" s="4">
        <f t="shared" si="1"/>
        <v>9</v>
      </c>
      <c r="AQ35" s="133">
        <v>100</v>
      </c>
      <c r="AR35" s="127"/>
      <c r="AS35" s="216">
        <v>15000000</v>
      </c>
      <c r="AT35" s="216">
        <v>15000000</v>
      </c>
      <c r="AU35" s="127"/>
      <c r="AV35" s="2"/>
      <c r="AW35" s="2"/>
      <c r="AX35" s="2"/>
      <c r="AY35" s="2"/>
      <c r="AZ35" s="205"/>
      <c r="BA35" s="205"/>
      <c r="BB35" s="195"/>
      <c r="BC35" s="2"/>
      <c r="BD35" s="2"/>
    </row>
    <row r="36" spans="1:56" ht="48.75" customHeight="1">
      <c r="A36" s="9">
        <v>32</v>
      </c>
      <c r="B36" s="243"/>
      <c r="C36" s="243"/>
      <c r="D36" s="14" t="s">
        <v>64</v>
      </c>
      <c r="E36" s="2" t="s">
        <v>9</v>
      </c>
      <c r="F36" s="14">
        <v>3</v>
      </c>
      <c r="G36" s="241"/>
      <c r="H36" s="109"/>
      <c r="I36" s="109"/>
      <c r="J36" s="109"/>
      <c r="K36" s="15">
        <v>2400</v>
      </c>
      <c r="L36" s="14">
        <v>1200</v>
      </c>
      <c r="M36" s="14">
        <v>1200</v>
      </c>
      <c r="N36" s="14">
        <v>1200</v>
      </c>
      <c r="O36" s="2">
        <v>371</v>
      </c>
      <c r="P36" s="211">
        <f t="shared" si="0"/>
        <v>6371</v>
      </c>
      <c r="Q36" s="86">
        <f>P36/12000*100</f>
        <v>53.09166666666667</v>
      </c>
      <c r="R36" s="220"/>
      <c r="S36" s="2"/>
      <c r="T36" s="2"/>
      <c r="U36" s="2"/>
      <c r="V36" s="2">
        <v>344</v>
      </c>
      <c r="W36" s="2">
        <f>6715/12000*100</f>
        <v>55.95833333333333</v>
      </c>
      <c r="X36" s="61">
        <v>0.56</v>
      </c>
      <c r="Y36" s="2" t="s">
        <v>230</v>
      </c>
      <c r="Z36" s="2">
        <v>344</v>
      </c>
      <c r="AA36" s="220"/>
      <c r="AB36" s="2">
        <f t="shared" si="2"/>
        <v>7059</v>
      </c>
      <c r="AC36" s="128">
        <f>AB36/12000*100</f>
        <v>58.825</v>
      </c>
      <c r="AD36" s="2"/>
      <c r="AE36" s="220"/>
      <c r="AF36" s="2"/>
      <c r="AG36" s="2"/>
      <c r="AH36" s="2"/>
      <c r="AI36" s="127">
        <v>0</v>
      </c>
      <c r="AJ36" s="135"/>
      <c r="AK36" s="182">
        <v>75</v>
      </c>
      <c r="AL36" s="219"/>
      <c r="AM36" s="195">
        <v>36</v>
      </c>
      <c r="AN36" s="203">
        <v>30</v>
      </c>
      <c r="AO36" s="219"/>
      <c r="AP36" s="4">
        <f t="shared" si="1"/>
        <v>7200</v>
      </c>
      <c r="AQ36" s="132">
        <f>AP36/12000*100</f>
        <v>60</v>
      </c>
      <c r="AR36" s="4" t="s">
        <v>501</v>
      </c>
      <c r="AS36" s="217"/>
      <c r="AT36" s="217"/>
      <c r="AU36" s="127"/>
      <c r="AV36" s="2"/>
      <c r="AW36" s="2"/>
      <c r="AX36" s="2"/>
      <c r="AY36" s="2"/>
      <c r="AZ36" s="205"/>
      <c r="BA36" s="205"/>
      <c r="BB36" s="195"/>
      <c r="BC36" s="2"/>
      <c r="BD36" s="2"/>
    </row>
    <row r="37" spans="1:56" ht="81" customHeight="1">
      <c r="A37" s="9">
        <v>33</v>
      </c>
      <c r="B37" s="243"/>
      <c r="C37" s="243"/>
      <c r="D37" s="14" t="s">
        <v>65</v>
      </c>
      <c r="E37" s="2" t="s">
        <v>9</v>
      </c>
      <c r="F37" s="14" t="s">
        <v>66</v>
      </c>
      <c r="G37" s="241"/>
      <c r="H37" s="109"/>
      <c r="I37" s="109"/>
      <c r="J37" s="109"/>
      <c r="K37" s="15">
        <v>48</v>
      </c>
      <c r="L37" s="14">
        <v>24</v>
      </c>
      <c r="M37" s="14">
        <v>24</v>
      </c>
      <c r="N37" s="14">
        <v>24</v>
      </c>
      <c r="O37" s="2">
        <v>3</v>
      </c>
      <c r="P37" s="211">
        <f t="shared" si="0"/>
        <v>123</v>
      </c>
      <c r="Q37" s="86">
        <f>P37/120*100</f>
        <v>102.49999999999999</v>
      </c>
      <c r="R37" s="220"/>
      <c r="S37" s="2"/>
      <c r="T37" s="2"/>
      <c r="U37" s="2"/>
      <c r="V37" s="2">
        <v>1</v>
      </c>
      <c r="W37" s="2">
        <f>122/120*100</f>
        <v>101.66666666666666</v>
      </c>
      <c r="X37" s="61">
        <v>1.02</v>
      </c>
      <c r="Y37" s="2"/>
      <c r="Z37" s="2">
        <v>7</v>
      </c>
      <c r="AA37" s="220"/>
      <c r="AB37" s="2">
        <f t="shared" si="2"/>
        <v>131</v>
      </c>
      <c r="AC37" s="128">
        <f>AB37/120*100</f>
        <v>109.16666666666666</v>
      </c>
      <c r="AD37" s="2"/>
      <c r="AE37" s="220"/>
      <c r="AF37" s="2"/>
      <c r="AG37" s="2"/>
      <c r="AH37" s="2"/>
      <c r="AI37" s="127">
        <v>0</v>
      </c>
      <c r="AJ37" s="135">
        <v>1</v>
      </c>
      <c r="AK37" s="182">
        <v>4</v>
      </c>
      <c r="AL37" s="218" t="s">
        <v>428</v>
      </c>
      <c r="AM37" s="195">
        <v>2</v>
      </c>
      <c r="AN37" s="203">
        <v>2</v>
      </c>
      <c r="AO37" s="218" t="s">
        <v>502</v>
      </c>
      <c r="AP37" s="4">
        <f t="shared" si="1"/>
        <v>140</v>
      </c>
      <c r="AQ37" s="133">
        <f>AP37/120*100</f>
        <v>116.66666666666667</v>
      </c>
      <c r="AR37" s="127"/>
      <c r="AS37" s="216">
        <v>60000000</v>
      </c>
      <c r="AT37" s="216">
        <v>60000000</v>
      </c>
      <c r="AU37" s="127"/>
      <c r="AV37" s="2"/>
      <c r="AW37" s="2"/>
      <c r="AX37" s="2"/>
      <c r="AY37" s="2"/>
      <c r="AZ37" s="213">
        <v>40000000</v>
      </c>
      <c r="BA37" s="213">
        <v>30000000</v>
      </c>
      <c r="BB37" s="216"/>
      <c r="BC37" s="2"/>
      <c r="BD37" s="2"/>
    </row>
    <row r="38" spans="1:56" ht="109.5" customHeight="1">
      <c r="A38" s="9">
        <v>34</v>
      </c>
      <c r="B38" s="243"/>
      <c r="C38" s="243"/>
      <c r="D38" s="14" t="s">
        <v>67</v>
      </c>
      <c r="E38" s="2" t="s">
        <v>9</v>
      </c>
      <c r="F38" s="14" t="s">
        <v>68</v>
      </c>
      <c r="G38" s="241"/>
      <c r="H38" s="109"/>
      <c r="I38" s="109"/>
      <c r="J38" s="109"/>
      <c r="K38" s="15">
        <v>2400</v>
      </c>
      <c r="L38" s="15">
        <v>1200</v>
      </c>
      <c r="M38" s="15">
        <v>1200</v>
      </c>
      <c r="N38" s="15">
        <v>1200</v>
      </c>
      <c r="O38" s="2">
        <v>1106</v>
      </c>
      <c r="P38" s="211">
        <f t="shared" si="0"/>
        <v>7106</v>
      </c>
      <c r="Q38" s="86">
        <f>P38/12000*100</f>
        <v>59.21666666666666</v>
      </c>
      <c r="R38" s="220"/>
      <c r="S38" s="2"/>
      <c r="T38" s="2"/>
      <c r="U38" s="2"/>
      <c r="V38" s="2">
        <v>30</v>
      </c>
      <c r="W38" s="2">
        <f>6070/12000*100</f>
        <v>50.583333333333336</v>
      </c>
      <c r="X38" s="61">
        <v>0.5</v>
      </c>
      <c r="Y38" s="2" t="s">
        <v>230</v>
      </c>
      <c r="Z38" s="2">
        <v>5200</v>
      </c>
      <c r="AA38" s="220"/>
      <c r="AB38" s="2">
        <f t="shared" si="2"/>
        <v>12336</v>
      </c>
      <c r="AC38" s="128">
        <f>AB38/12000*100</f>
        <v>102.8</v>
      </c>
      <c r="AD38" s="2"/>
      <c r="AE38" s="220"/>
      <c r="AF38" s="2"/>
      <c r="AG38" s="2"/>
      <c r="AH38" s="2"/>
      <c r="AI38" s="127">
        <v>0</v>
      </c>
      <c r="AJ38" s="135">
        <v>180</v>
      </c>
      <c r="AK38" s="182">
        <v>85</v>
      </c>
      <c r="AL38" s="219"/>
      <c r="AM38" s="195">
        <v>225</v>
      </c>
      <c r="AN38" s="203">
        <v>200</v>
      </c>
      <c r="AO38" s="219"/>
      <c r="AP38" s="4">
        <f t="shared" si="1"/>
        <v>13026</v>
      </c>
      <c r="AQ38" s="133">
        <f>AP38/12000*100</f>
        <v>108.55</v>
      </c>
      <c r="AR38" s="127"/>
      <c r="AS38" s="217"/>
      <c r="AT38" s="217"/>
      <c r="AU38" s="127"/>
      <c r="AV38" s="2"/>
      <c r="AW38" s="2"/>
      <c r="AX38" s="2"/>
      <c r="AY38" s="2"/>
      <c r="AZ38" s="214"/>
      <c r="BA38" s="214"/>
      <c r="BB38" s="217"/>
      <c r="BC38" s="2"/>
      <c r="BD38" s="2"/>
    </row>
    <row r="39" spans="1:56" ht="86.25" customHeight="1">
      <c r="A39" s="9">
        <v>35</v>
      </c>
      <c r="B39" s="243"/>
      <c r="C39" s="243"/>
      <c r="D39" s="14" t="s">
        <v>69</v>
      </c>
      <c r="E39" s="2" t="s">
        <v>9</v>
      </c>
      <c r="F39" s="14" t="s">
        <v>70</v>
      </c>
      <c r="G39" s="241"/>
      <c r="H39" s="109"/>
      <c r="I39" s="109"/>
      <c r="J39" s="109"/>
      <c r="K39" s="15">
        <v>24</v>
      </c>
      <c r="L39" s="15">
        <v>12</v>
      </c>
      <c r="M39" s="15">
        <v>12</v>
      </c>
      <c r="N39" s="15">
        <v>12</v>
      </c>
      <c r="O39" s="2">
        <v>1</v>
      </c>
      <c r="P39" s="211">
        <f t="shared" si="0"/>
        <v>61</v>
      </c>
      <c r="Q39" s="86">
        <f>P39/120*100</f>
        <v>50.83333333333333</v>
      </c>
      <c r="R39" s="220"/>
      <c r="S39" s="2"/>
      <c r="T39" s="2"/>
      <c r="U39" s="2"/>
      <c r="V39" s="2">
        <v>1</v>
      </c>
      <c r="W39" s="2">
        <f>62/120*100</f>
        <v>51.66666666666667</v>
      </c>
      <c r="X39" s="61">
        <v>0.52</v>
      </c>
      <c r="Y39" s="2" t="s">
        <v>230</v>
      </c>
      <c r="Z39" s="2">
        <v>0</v>
      </c>
      <c r="AA39" s="220"/>
      <c r="AB39" s="2">
        <f t="shared" si="2"/>
        <v>62</v>
      </c>
      <c r="AC39" s="128">
        <f>AB39/120*100</f>
        <v>51.66666666666667</v>
      </c>
      <c r="AD39" s="2"/>
      <c r="AE39" s="220"/>
      <c r="AF39" s="2"/>
      <c r="AG39" s="2"/>
      <c r="AH39" s="2"/>
      <c r="AI39" s="127">
        <v>0</v>
      </c>
      <c r="AJ39" s="135"/>
      <c r="AK39" s="182">
        <v>2</v>
      </c>
      <c r="AL39" s="218" t="s">
        <v>434</v>
      </c>
      <c r="AM39" s="195">
        <v>2</v>
      </c>
      <c r="AN39" s="203">
        <v>1</v>
      </c>
      <c r="AO39" s="218" t="s">
        <v>449</v>
      </c>
      <c r="AP39" s="4">
        <f t="shared" si="1"/>
        <v>67</v>
      </c>
      <c r="AQ39" s="131">
        <f>AP39/120*100</f>
        <v>55.833333333333336</v>
      </c>
      <c r="AR39" s="218" t="s">
        <v>503</v>
      </c>
      <c r="AS39" s="216">
        <v>8000000</v>
      </c>
      <c r="AT39" s="216">
        <v>8000000</v>
      </c>
      <c r="AU39" s="127"/>
      <c r="AV39" s="2"/>
      <c r="AW39" s="2"/>
      <c r="AX39" s="2"/>
      <c r="AY39" s="2"/>
      <c r="AZ39" s="213">
        <v>6090000</v>
      </c>
      <c r="BA39" s="213">
        <v>5090000</v>
      </c>
      <c r="BB39" s="216"/>
      <c r="BC39" s="2"/>
      <c r="BD39" s="2"/>
    </row>
    <row r="40" spans="1:56" ht="93" customHeight="1">
      <c r="A40" s="9">
        <v>36</v>
      </c>
      <c r="B40" s="243"/>
      <c r="C40" s="243"/>
      <c r="D40" s="14" t="s">
        <v>71</v>
      </c>
      <c r="E40" s="2" t="s">
        <v>9</v>
      </c>
      <c r="F40" s="14" t="s">
        <v>72</v>
      </c>
      <c r="G40" s="241"/>
      <c r="H40" s="109"/>
      <c r="I40" s="109"/>
      <c r="J40" s="109"/>
      <c r="K40" s="15">
        <v>1200</v>
      </c>
      <c r="L40" s="15">
        <v>600</v>
      </c>
      <c r="M40" s="15">
        <v>600</v>
      </c>
      <c r="N40" s="15">
        <v>600</v>
      </c>
      <c r="O40" s="2">
        <v>35</v>
      </c>
      <c r="P40" s="211">
        <f t="shared" si="0"/>
        <v>3035</v>
      </c>
      <c r="Q40" s="86">
        <f>P40/6000*100</f>
        <v>50.583333333333336</v>
      </c>
      <c r="R40" s="220"/>
      <c r="S40" s="2"/>
      <c r="T40" s="2"/>
      <c r="U40" s="2"/>
      <c r="V40" s="2">
        <v>30</v>
      </c>
      <c r="W40" s="2">
        <f>3065/6000*100</f>
        <v>51.083333333333336</v>
      </c>
      <c r="X40" s="61">
        <v>0.51</v>
      </c>
      <c r="Y40" s="2" t="s">
        <v>230</v>
      </c>
      <c r="Z40" s="2">
        <v>0</v>
      </c>
      <c r="AA40" s="220"/>
      <c r="AB40" s="2">
        <f t="shared" si="2"/>
        <v>3065</v>
      </c>
      <c r="AC40" s="128">
        <f>AB40/6000*100</f>
        <v>51.083333333333336</v>
      </c>
      <c r="AD40" s="2"/>
      <c r="AE40" s="220"/>
      <c r="AF40" s="2"/>
      <c r="AG40" s="2"/>
      <c r="AH40" s="2"/>
      <c r="AI40" s="127">
        <v>0</v>
      </c>
      <c r="AJ40" s="135"/>
      <c r="AK40" s="182">
        <v>33</v>
      </c>
      <c r="AL40" s="220"/>
      <c r="AM40" s="195">
        <v>35</v>
      </c>
      <c r="AN40" s="203">
        <v>60</v>
      </c>
      <c r="AO40" s="220"/>
      <c r="AP40" s="4">
        <f t="shared" si="1"/>
        <v>3193</v>
      </c>
      <c r="AQ40" s="131">
        <f>AP40/6000*100</f>
        <v>53.21666666666667</v>
      </c>
      <c r="AR40" s="220"/>
      <c r="AS40" s="226"/>
      <c r="AT40" s="226"/>
      <c r="AU40" s="127"/>
      <c r="AV40" s="2"/>
      <c r="AW40" s="2"/>
      <c r="AX40" s="2"/>
      <c r="AY40" s="2"/>
      <c r="AZ40" s="214"/>
      <c r="BA40" s="214"/>
      <c r="BB40" s="217"/>
      <c r="BC40" s="2"/>
      <c r="BD40" s="2"/>
    </row>
    <row r="41" spans="1:56" ht="84" customHeight="1">
      <c r="A41" s="9">
        <v>37</v>
      </c>
      <c r="B41" s="243"/>
      <c r="C41" s="244"/>
      <c r="D41" s="14" t="s">
        <v>73</v>
      </c>
      <c r="E41" s="2" t="s">
        <v>9</v>
      </c>
      <c r="F41" s="14" t="s">
        <v>74</v>
      </c>
      <c r="G41" s="241"/>
      <c r="H41" s="109"/>
      <c r="I41" s="109"/>
      <c r="J41" s="109"/>
      <c r="K41" s="15">
        <v>200</v>
      </c>
      <c r="L41" s="15">
        <v>100</v>
      </c>
      <c r="M41" s="15">
        <v>100</v>
      </c>
      <c r="N41" s="15">
        <v>100</v>
      </c>
      <c r="O41" s="2">
        <v>0</v>
      </c>
      <c r="P41" s="211">
        <f t="shared" si="0"/>
        <v>500</v>
      </c>
      <c r="Q41" s="86">
        <f>P41/1000*100</f>
        <v>50</v>
      </c>
      <c r="R41" s="219"/>
      <c r="S41" s="2"/>
      <c r="T41" s="2"/>
      <c r="U41" s="2"/>
      <c r="V41" s="2">
        <v>30</v>
      </c>
      <c r="W41" s="2">
        <f>530/1000*100</f>
        <v>53</v>
      </c>
      <c r="X41" s="61">
        <v>0.53</v>
      </c>
      <c r="Y41" s="2" t="s">
        <v>230</v>
      </c>
      <c r="Z41" s="2">
        <v>0</v>
      </c>
      <c r="AA41" s="219"/>
      <c r="AB41" s="2">
        <f t="shared" si="2"/>
        <v>530</v>
      </c>
      <c r="AC41" s="128">
        <f>AB41/1000*100</f>
        <v>53</v>
      </c>
      <c r="AD41" s="2"/>
      <c r="AE41" s="219"/>
      <c r="AF41" s="2"/>
      <c r="AG41" s="2"/>
      <c r="AH41" s="2"/>
      <c r="AI41" s="127">
        <v>0</v>
      </c>
      <c r="AJ41" s="135"/>
      <c r="AK41" s="182">
        <v>8</v>
      </c>
      <c r="AL41" s="219"/>
      <c r="AM41" s="195">
        <v>30</v>
      </c>
      <c r="AN41" s="203">
        <v>30</v>
      </c>
      <c r="AO41" s="219"/>
      <c r="AP41" s="4">
        <f t="shared" si="1"/>
        <v>598</v>
      </c>
      <c r="AQ41" s="132">
        <f>AP41/1000*100</f>
        <v>59.8</v>
      </c>
      <c r="AR41" s="219"/>
      <c r="AS41" s="217"/>
      <c r="AT41" s="217"/>
      <c r="AU41" s="127"/>
      <c r="AV41" s="2"/>
      <c r="AW41" s="2"/>
      <c r="AX41" s="2"/>
      <c r="AY41" s="2"/>
      <c r="AZ41" s="205">
        <v>30000000</v>
      </c>
      <c r="BA41" s="205">
        <v>16000000</v>
      </c>
      <c r="BB41" s="195"/>
      <c r="BC41" s="2"/>
      <c r="BD41" s="2"/>
    </row>
    <row r="42" spans="1:56" ht="93" customHeight="1">
      <c r="A42" s="9">
        <v>38</v>
      </c>
      <c r="B42" s="243"/>
      <c r="C42" s="242" t="s">
        <v>215</v>
      </c>
      <c r="D42" s="14" t="s">
        <v>75</v>
      </c>
      <c r="E42" s="2" t="s">
        <v>9</v>
      </c>
      <c r="F42" s="14" t="s">
        <v>76</v>
      </c>
      <c r="G42" s="241" t="s">
        <v>77</v>
      </c>
      <c r="H42" s="109"/>
      <c r="I42" s="109"/>
      <c r="J42" s="109"/>
      <c r="K42" s="15">
        <v>1</v>
      </c>
      <c r="L42" s="15">
        <v>1</v>
      </c>
      <c r="M42" s="15">
        <v>1</v>
      </c>
      <c r="N42" s="15">
        <v>1</v>
      </c>
      <c r="O42" s="2">
        <v>200</v>
      </c>
      <c r="P42" s="211">
        <f>O42+N42+M42+L42+K42</f>
        <v>204</v>
      </c>
      <c r="Q42" s="86">
        <f>P42/1*100</f>
        <v>20400</v>
      </c>
      <c r="R42" s="218" t="s">
        <v>438</v>
      </c>
      <c r="S42" s="2"/>
      <c r="T42" s="2"/>
      <c r="U42" s="2"/>
      <c r="V42" s="4">
        <v>57</v>
      </c>
      <c r="W42" s="2"/>
      <c r="X42" s="61">
        <v>1</v>
      </c>
      <c r="Y42" s="4" t="s">
        <v>504</v>
      </c>
      <c r="Z42" s="4">
        <v>0</v>
      </c>
      <c r="AA42" s="218" t="s">
        <v>438</v>
      </c>
      <c r="AB42" s="2">
        <f t="shared" si="2"/>
        <v>261</v>
      </c>
      <c r="AC42" s="128">
        <v>100</v>
      </c>
      <c r="AD42" s="2"/>
      <c r="AE42" s="216"/>
      <c r="AF42" s="2"/>
      <c r="AG42" s="2"/>
      <c r="AH42" s="2"/>
      <c r="AI42" s="127">
        <v>0</v>
      </c>
      <c r="AJ42" s="135"/>
      <c r="AK42" s="182"/>
      <c r="AL42" s="4"/>
      <c r="AM42" s="195"/>
      <c r="AN42" s="203"/>
      <c r="AO42" s="4"/>
      <c r="AP42" s="4">
        <f t="shared" si="1"/>
        <v>261</v>
      </c>
      <c r="AQ42" s="133">
        <v>100</v>
      </c>
      <c r="AR42" s="127"/>
      <c r="AS42" s="127"/>
      <c r="AT42" s="127"/>
      <c r="AU42" s="127"/>
      <c r="AV42" s="2"/>
      <c r="AW42" s="2"/>
      <c r="AX42" s="2"/>
      <c r="AY42" s="2"/>
      <c r="AZ42" s="205"/>
      <c r="BA42" s="205"/>
      <c r="BB42" s="195"/>
      <c r="BC42" s="2"/>
      <c r="BD42" s="2"/>
    </row>
    <row r="43" spans="1:56" ht="113.25" customHeight="1">
      <c r="A43" s="9">
        <v>39</v>
      </c>
      <c r="B43" s="243"/>
      <c r="C43" s="243"/>
      <c r="D43" s="14" t="s">
        <v>78</v>
      </c>
      <c r="E43" s="2" t="s">
        <v>9</v>
      </c>
      <c r="F43" s="14" t="s">
        <v>79</v>
      </c>
      <c r="G43" s="241"/>
      <c r="H43" s="109"/>
      <c r="I43" s="109"/>
      <c r="J43" s="109"/>
      <c r="K43" s="15">
        <v>6</v>
      </c>
      <c r="L43" s="15">
        <v>3</v>
      </c>
      <c r="M43" s="15">
        <v>3</v>
      </c>
      <c r="N43" s="15">
        <v>3</v>
      </c>
      <c r="O43" s="2">
        <v>82</v>
      </c>
      <c r="P43" s="211">
        <f aca="true" t="shared" si="3" ref="P43:P106">O43+N43+M43+L43+K43</f>
        <v>97</v>
      </c>
      <c r="Q43" s="86">
        <f>P43/30*100</f>
        <v>323.3333333333333</v>
      </c>
      <c r="R43" s="219"/>
      <c r="S43" s="2"/>
      <c r="T43" s="2"/>
      <c r="U43" s="2"/>
      <c r="V43" s="2">
        <v>63</v>
      </c>
      <c r="W43" s="2">
        <f>63/30*200</f>
        <v>420</v>
      </c>
      <c r="X43" s="61">
        <v>4.2</v>
      </c>
      <c r="Y43" s="2"/>
      <c r="Z43" s="2">
        <v>37</v>
      </c>
      <c r="AA43" s="219"/>
      <c r="AB43" s="2">
        <f t="shared" si="2"/>
        <v>197</v>
      </c>
      <c r="AC43" s="128">
        <f>AB43/30*100</f>
        <v>656.6666666666666</v>
      </c>
      <c r="AD43" s="2"/>
      <c r="AE43" s="226"/>
      <c r="AF43" s="2"/>
      <c r="AG43" s="2"/>
      <c r="AH43" s="2"/>
      <c r="AI43" s="127">
        <v>0</v>
      </c>
      <c r="AJ43" s="135"/>
      <c r="AK43" s="182"/>
      <c r="AL43" s="4"/>
      <c r="AM43" s="195"/>
      <c r="AN43" s="203"/>
      <c r="AO43" s="4"/>
      <c r="AP43" s="4">
        <f t="shared" si="1"/>
        <v>197</v>
      </c>
      <c r="AQ43" s="133">
        <f>AP43/30*100</f>
        <v>656.6666666666666</v>
      </c>
      <c r="AR43" s="127"/>
      <c r="AS43" s="127"/>
      <c r="AT43" s="127"/>
      <c r="AU43" s="127"/>
      <c r="AV43" s="2"/>
      <c r="AW43" s="2"/>
      <c r="AX43" s="2"/>
      <c r="AY43" s="2"/>
      <c r="AZ43" s="205"/>
      <c r="BA43" s="205"/>
      <c r="BB43" s="195"/>
      <c r="BC43" s="2"/>
      <c r="BD43" s="2"/>
    </row>
    <row r="44" spans="1:57" ht="91.5" customHeight="1">
      <c r="A44" s="9">
        <v>40</v>
      </c>
      <c r="B44" s="243"/>
      <c r="C44" s="243"/>
      <c r="D44" s="14" t="s">
        <v>80</v>
      </c>
      <c r="E44" s="2" t="s">
        <v>9</v>
      </c>
      <c r="F44" s="14" t="s">
        <v>81</v>
      </c>
      <c r="G44" s="241"/>
      <c r="H44" s="109"/>
      <c r="I44" s="109"/>
      <c r="J44" s="109"/>
      <c r="K44" s="16">
        <v>0</v>
      </c>
      <c r="L44" s="16">
        <v>0</v>
      </c>
      <c r="M44" s="78">
        <v>0</v>
      </c>
      <c r="N44" s="16">
        <v>0</v>
      </c>
      <c r="O44" s="2">
        <v>5</v>
      </c>
      <c r="P44" s="211">
        <f t="shared" si="3"/>
        <v>5</v>
      </c>
      <c r="Q44" s="86">
        <f>P44/120*100</f>
        <v>4.166666666666666</v>
      </c>
      <c r="R44" s="201" t="s">
        <v>505</v>
      </c>
      <c r="S44" s="2"/>
      <c r="T44" s="2"/>
      <c r="U44" s="2"/>
      <c r="V44" s="4">
        <v>4</v>
      </c>
      <c r="W44" s="2">
        <f>6/120*100</f>
        <v>5</v>
      </c>
      <c r="X44" s="61">
        <v>0.05</v>
      </c>
      <c r="Y44" s="2" t="s">
        <v>230</v>
      </c>
      <c r="Z44" s="2">
        <v>3</v>
      </c>
      <c r="AA44" s="200" t="s">
        <v>505</v>
      </c>
      <c r="AB44" s="2">
        <f t="shared" si="2"/>
        <v>12</v>
      </c>
      <c r="AC44" s="128">
        <f>AB44/120*100</f>
        <v>10</v>
      </c>
      <c r="AD44" s="4" t="s">
        <v>506</v>
      </c>
      <c r="AE44" s="226"/>
      <c r="AF44" s="2"/>
      <c r="AG44" s="2"/>
      <c r="AH44" s="2"/>
      <c r="AI44" s="127">
        <v>0</v>
      </c>
      <c r="AJ44" s="135">
        <v>2</v>
      </c>
      <c r="AK44" s="182"/>
      <c r="AL44" s="218" t="s">
        <v>439</v>
      </c>
      <c r="AM44" s="195"/>
      <c r="AN44" s="203"/>
      <c r="AO44" s="218"/>
      <c r="AP44" s="4">
        <f t="shared" si="1"/>
        <v>14</v>
      </c>
      <c r="AQ44" s="130">
        <f>AP44/120*100</f>
        <v>11.666666666666666</v>
      </c>
      <c r="AR44" s="218" t="s">
        <v>507</v>
      </c>
      <c r="AS44" s="127"/>
      <c r="AT44" s="127"/>
      <c r="AU44" s="127"/>
      <c r="AV44" s="2"/>
      <c r="AW44" s="2"/>
      <c r="AX44" s="2"/>
      <c r="AY44" s="2"/>
      <c r="AZ44" s="205"/>
      <c r="BA44" s="205"/>
      <c r="BB44" s="195"/>
      <c r="BC44" s="2"/>
      <c r="BD44" s="2"/>
      <c r="BE44" s="93"/>
    </row>
    <row r="45" spans="1:56" ht="113.25" customHeight="1">
      <c r="A45" s="9">
        <v>41</v>
      </c>
      <c r="B45" s="243"/>
      <c r="C45" s="243"/>
      <c r="D45" s="14" t="s">
        <v>508</v>
      </c>
      <c r="E45" s="2" t="s">
        <v>9</v>
      </c>
      <c r="F45" s="14" t="s">
        <v>83</v>
      </c>
      <c r="G45" s="241"/>
      <c r="H45" s="109"/>
      <c r="I45" s="109"/>
      <c r="J45" s="109"/>
      <c r="K45" s="16">
        <v>0</v>
      </c>
      <c r="L45" s="16">
        <v>0</v>
      </c>
      <c r="M45" s="78">
        <v>0</v>
      </c>
      <c r="N45" s="16">
        <v>0</v>
      </c>
      <c r="O45" s="2">
        <v>174</v>
      </c>
      <c r="P45" s="211">
        <f t="shared" si="3"/>
        <v>174</v>
      </c>
      <c r="Q45" s="86">
        <f>P45/6000*100</f>
        <v>2.9000000000000004</v>
      </c>
      <c r="R45" s="4" t="s">
        <v>238</v>
      </c>
      <c r="S45" s="2"/>
      <c r="T45" s="2"/>
      <c r="U45" s="2"/>
      <c r="V45" s="4">
        <v>30</v>
      </c>
      <c r="W45" s="2">
        <f>72/6000*100</f>
        <v>1.2</v>
      </c>
      <c r="X45" s="61">
        <v>0.01</v>
      </c>
      <c r="Y45" s="2" t="s">
        <v>230</v>
      </c>
      <c r="Z45" s="2">
        <v>347</v>
      </c>
      <c r="AA45" s="200" t="s">
        <v>238</v>
      </c>
      <c r="AB45" s="2">
        <f t="shared" si="2"/>
        <v>551</v>
      </c>
      <c r="AC45" s="128">
        <f>AB45/6000*100</f>
        <v>9.183333333333334</v>
      </c>
      <c r="AD45" s="2"/>
      <c r="AE45" s="226"/>
      <c r="AF45" s="2"/>
      <c r="AG45" s="2"/>
      <c r="AH45" s="2"/>
      <c r="AI45" s="127">
        <v>0</v>
      </c>
      <c r="AJ45" s="135">
        <v>134</v>
      </c>
      <c r="AK45" s="182"/>
      <c r="AL45" s="219"/>
      <c r="AM45" s="195"/>
      <c r="AN45" s="203"/>
      <c r="AO45" s="219"/>
      <c r="AP45" s="4">
        <f t="shared" si="1"/>
        <v>685</v>
      </c>
      <c r="AQ45" s="130">
        <f>AP45/6000*100</f>
        <v>11.416666666666666</v>
      </c>
      <c r="AR45" s="219"/>
      <c r="AS45" s="127"/>
      <c r="AT45" s="127"/>
      <c r="AU45" s="127"/>
      <c r="AV45" s="2"/>
      <c r="AW45" s="2"/>
      <c r="AX45" s="2"/>
      <c r="AY45" s="2"/>
      <c r="AZ45" s="205"/>
      <c r="BA45" s="205"/>
      <c r="BB45" s="195"/>
      <c r="BC45" s="2"/>
      <c r="BD45" s="2"/>
    </row>
    <row r="46" spans="1:56" ht="150" customHeight="1">
      <c r="A46" s="9">
        <v>42</v>
      </c>
      <c r="B46" s="243"/>
      <c r="C46" s="243"/>
      <c r="D46" s="14" t="s">
        <v>84</v>
      </c>
      <c r="E46" s="2" t="s">
        <v>9</v>
      </c>
      <c r="F46" s="14" t="s">
        <v>85</v>
      </c>
      <c r="G46" s="241"/>
      <c r="H46" s="109"/>
      <c r="I46" s="109"/>
      <c r="J46" s="109"/>
      <c r="K46" s="16">
        <v>0</v>
      </c>
      <c r="L46" s="16">
        <v>0</v>
      </c>
      <c r="M46" s="78">
        <v>0</v>
      </c>
      <c r="N46" s="16">
        <v>0</v>
      </c>
      <c r="O46" s="2">
        <v>2</v>
      </c>
      <c r="P46" s="211">
        <f t="shared" si="3"/>
        <v>2</v>
      </c>
      <c r="Q46" s="86">
        <f>P46/10*100</f>
        <v>20</v>
      </c>
      <c r="R46" s="4"/>
      <c r="S46" s="2"/>
      <c r="T46" s="2"/>
      <c r="U46" s="2"/>
      <c r="V46" s="4">
        <v>2</v>
      </c>
      <c r="W46" s="2">
        <f>4/10*100</f>
        <v>40</v>
      </c>
      <c r="X46" s="61">
        <v>0.4</v>
      </c>
      <c r="Y46" s="2" t="s">
        <v>230</v>
      </c>
      <c r="Z46" s="2">
        <v>0</v>
      </c>
      <c r="AA46" s="200"/>
      <c r="AB46" s="2">
        <f t="shared" si="2"/>
        <v>4</v>
      </c>
      <c r="AC46" s="128">
        <f>AB46/10*100</f>
        <v>40</v>
      </c>
      <c r="AD46" s="2"/>
      <c r="AE46" s="226"/>
      <c r="AF46" s="2"/>
      <c r="AG46" s="2"/>
      <c r="AH46" s="2"/>
      <c r="AI46" s="127">
        <v>0</v>
      </c>
      <c r="AJ46" s="135"/>
      <c r="AK46" s="182"/>
      <c r="AL46" s="4"/>
      <c r="AM46" s="195"/>
      <c r="AN46" s="203"/>
      <c r="AO46" s="4"/>
      <c r="AP46" s="4">
        <f t="shared" si="1"/>
        <v>4</v>
      </c>
      <c r="AQ46" s="131">
        <f>AP46/10*100</f>
        <v>40</v>
      </c>
      <c r="AR46" s="4" t="s">
        <v>417</v>
      </c>
      <c r="AS46" s="127"/>
      <c r="AT46" s="127"/>
      <c r="AU46" s="127"/>
      <c r="AV46" s="2"/>
      <c r="AW46" s="2"/>
      <c r="AX46" s="2"/>
      <c r="AY46" s="2"/>
      <c r="AZ46" s="205"/>
      <c r="BA46" s="205"/>
      <c r="BB46" s="195"/>
      <c r="BC46" s="2"/>
      <c r="BD46" s="2"/>
    </row>
    <row r="47" spans="1:56" ht="156.75" customHeight="1">
      <c r="A47" s="9">
        <v>43</v>
      </c>
      <c r="B47" s="243"/>
      <c r="C47" s="243"/>
      <c r="D47" s="14" t="s">
        <v>86</v>
      </c>
      <c r="E47" s="2" t="s">
        <v>8</v>
      </c>
      <c r="F47" s="14" t="s">
        <v>87</v>
      </c>
      <c r="G47" s="241"/>
      <c r="H47" s="109"/>
      <c r="I47" s="109"/>
      <c r="J47" s="109"/>
      <c r="K47" s="14"/>
      <c r="L47" s="14"/>
      <c r="M47" s="78"/>
      <c r="N47" s="87">
        <v>1</v>
      </c>
      <c r="O47" s="87">
        <v>1</v>
      </c>
      <c r="P47" s="211">
        <f t="shared" si="3"/>
        <v>2</v>
      </c>
      <c r="Q47" s="86">
        <v>100</v>
      </c>
      <c r="R47" s="87"/>
      <c r="S47" s="2"/>
      <c r="T47" s="2"/>
      <c r="U47" s="2"/>
      <c r="V47" s="10">
        <v>1</v>
      </c>
      <c r="W47" s="27">
        <v>100</v>
      </c>
      <c r="X47" s="61">
        <v>1</v>
      </c>
      <c r="Y47" s="2"/>
      <c r="Z47" s="2">
        <v>0</v>
      </c>
      <c r="AA47" s="200"/>
      <c r="AB47" s="10">
        <v>1</v>
      </c>
      <c r="AC47" s="128">
        <v>100</v>
      </c>
      <c r="AD47" s="2"/>
      <c r="AE47" s="226"/>
      <c r="AF47" s="2"/>
      <c r="AG47" s="2"/>
      <c r="AH47" s="2"/>
      <c r="AI47" s="127">
        <v>0</v>
      </c>
      <c r="AJ47" s="135"/>
      <c r="AK47" s="182"/>
      <c r="AL47" s="4"/>
      <c r="AM47" s="195"/>
      <c r="AN47" s="203"/>
      <c r="AO47" s="4"/>
      <c r="AP47" s="4">
        <f t="shared" si="1"/>
        <v>1</v>
      </c>
      <c r="AQ47" s="133">
        <v>100</v>
      </c>
      <c r="AR47" s="127"/>
      <c r="AS47" s="127"/>
      <c r="AT47" s="127"/>
      <c r="AU47" s="127"/>
      <c r="AV47" s="2"/>
      <c r="AW47" s="2"/>
      <c r="AX47" s="2"/>
      <c r="AY47" s="2"/>
      <c r="AZ47" s="205"/>
      <c r="BA47" s="205"/>
      <c r="BB47" s="195"/>
      <c r="BC47" s="2"/>
      <c r="BD47" s="2"/>
    </row>
    <row r="48" spans="1:56" ht="90" customHeight="1">
      <c r="A48" s="9">
        <v>44</v>
      </c>
      <c r="B48" s="243"/>
      <c r="C48" s="243"/>
      <c r="D48" s="14" t="s">
        <v>88</v>
      </c>
      <c r="E48" s="2" t="s">
        <v>9</v>
      </c>
      <c r="F48" s="14" t="s">
        <v>89</v>
      </c>
      <c r="G48" s="241"/>
      <c r="H48" s="109"/>
      <c r="I48" s="109"/>
      <c r="J48" s="109"/>
      <c r="K48" s="88">
        <v>1</v>
      </c>
      <c r="L48" s="14">
        <v>1</v>
      </c>
      <c r="M48" s="15">
        <v>1</v>
      </c>
      <c r="N48" s="15">
        <v>1</v>
      </c>
      <c r="O48" s="2">
        <v>1</v>
      </c>
      <c r="P48" s="211">
        <f t="shared" si="3"/>
        <v>5</v>
      </c>
      <c r="Q48" s="86">
        <f>P48/1*100</f>
        <v>500</v>
      </c>
      <c r="R48" s="218" t="s">
        <v>442</v>
      </c>
      <c r="S48" s="216">
        <v>8167000</v>
      </c>
      <c r="T48" s="216">
        <v>8167000</v>
      </c>
      <c r="U48" s="228">
        <v>1</v>
      </c>
      <c r="V48" s="2">
        <v>12</v>
      </c>
      <c r="W48" s="27">
        <v>100</v>
      </c>
      <c r="X48" s="61">
        <v>1</v>
      </c>
      <c r="Y48" s="2"/>
      <c r="Z48" s="79">
        <v>0</v>
      </c>
      <c r="AA48" s="216"/>
      <c r="AB48" s="10">
        <v>1</v>
      </c>
      <c r="AC48" s="128">
        <v>100</v>
      </c>
      <c r="AD48" s="10"/>
      <c r="AE48" s="226"/>
      <c r="AF48" s="216">
        <v>20000000</v>
      </c>
      <c r="AG48" s="216">
        <v>0</v>
      </c>
      <c r="AH48" s="216"/>
      <c r="AI48" s="127">
        <v>0</v>
      </c>
      <c r="AJ48" s="135"/>
      <c r="AK48" s="182"/>
      <c r="AL48" s="4"/>
      <c r="AM48" s="195"/>
      <c r="AN48" s="203"/>
      <c r="AO48" s="4"/>
      <c r="AP48" s="4">
        <f t="shared" si="1"/>
        <v>1</v>
      </c>
      <c r="AQ48" s="133">
        <v>100</v>
      </c>
      <c r="AR48" s="122"/>
      <c r="AS48" s="122"/>
      <c r="AT48" s="122"/>
      <c r="AU48" s="122"/>
      <c r="AV48" s="2"/>
      <c r="AW48" s="2"/>
      <c r="AX48" s="2"/>
      <c r="AY48" s="2"/>
      <c r="AZ48" s="205"/>
      <c r="BA48" s="205"/>
      <c r="BB48" s="195"/>
      <c r="BC48" s="2"/>
      <c r="BD48" s="2"/>
    </row>
    <row r="49" spans="1:56" ht="94.5" customHeight="1">
      <c r="A49" s="9">
        <v>45</v>
      </c>
      <c r="B49" s="243"/>
      <c r="C49" s="244"/>
      <c r="D49" s="14" t="s">
        <v>90</v>
      </c>
      <c r="E49" s="2" t="s">
        <v>8</v>
      </c>
      <c r="F49" s="14" t="s">
        <v>91</v>
      </c>
      <c r="G49" s="241"/>
      <c r="H49" s="109"/>
      <c r="I49" s="109"/>
      <c r="J49" s="109"/>
      <c r="K49" s="87">
        <v>1</v>
      </c>
      <c r="L49" s="89">
        <v>1</v>
      </c>
      <c r="M49" s="89">
        <v>1</v>
      </c>
      <c r="N49" s="89">
        <v>1</v>
      </c>
      <c r="O49" s="10">
        <v>1</v>
      </c>
      <c r="P49" s="211">
        <f t="shared" si="3"/>
        <v>5</v>
      </c>
      <c r="Q49" s="86">
        <v>100</v>
      </c>
      <c r="R49" s="219"/>
      <c r="S49" s="217"/>
      <c r="T49" s="217"/>
      <c r="U49" s="237"/>
      <c r="V49" s="2">
        <v>1016</v>
      </c>
      <c r="W49" s="27">
        <v>100</v>
      </c>
      <c r="X49" s="61">
        <v>1</v>
      </c>
      <c r="Y49" s="2"/>
      <c r="Z49" s="80">
        <v>0</v>
      </c>
      <c r="AA49" s="217"/>
      <c r="AB49" s="10">
        <v>1</v>
      </c>
      <c r="AC49" s="128">
        <v>100</v>
      </c>
      <c r="AD49" s="10"/>
      <c r="AE49" s="217"/>
      <c r="AF49" s="217"/>
      <c r="AG49" s="217"/>
      <c r="AH49" s="217"/>
      <c r="AI49" s="127">
        <v>0</v>
      </c>
      <c r="AJ49" s="135"/>
      <c r="AK49" s="182"/>
      <c r="AL49" s="4"/>
      <c r="AM49" s="195"/>
      <c r="AN49" s="203"/>
      <c r="AO49" s="4"/>
      <c r="AP49" s="4">
        <f t="shared" si="1"/>
        <v>1</v>
      </c>
      <c r="AQ49" s="133">
        <v>100</v>
      </c>
      <c r="AR49" s="123"/>
      <c r="AS49" s="123"/>
      <c r="AT49" s="123"/>
      <c r="AU49" s="123"/>
      <c r="AV49" s="2"/>
      <c r="AW49" s="2"/>
      <c r="AX49" s="2"/>
      <c r="AY49" s="2"/>
      <c r="AZ49" s="205"/>
      <c r="BA49" s="205"/>
      <c r="BB49" s="195"/>
      <c r="BC49" s="2"/>
      <c r="BD49" s="2"/>
    </row>
    <row r="50" spans="1:56" ht="89.25" customHeight="1">
      <c r="A50" s="9">
        <v>46</v>
      </c>
      <c r="B50" s="243"/>
      <c r="C50" s="242" t="s">
        <v>211</v>
      </c>
      <c r="D50" s="14" t="s">
        <v>92</v>
      </c>
      <c r="E50" s="2" t="s">
        <v>9</v>
      </c>
      <c r="F50" s="14" t="s">
        <v>93</v>
      </c>
      <c r="G50" s="240" t="s">
        <v>94</v>
      </c>
      <c r="H50" s="108"/>
      <c r="I50" s="108"/>
      <c r="J50" s="108"/>
      <c r="K50" s="15">
        <v>1</v>
      </c>
      <c r="L50" s="14">
        <v>0</v>
      </c>
      <c r="M50" s="15">
        <v>2</v>
      </c>
      <c r="N50" s="15">
        <v>2</v>
      </c>
      <c r="O50" s="2">
        <v>15</v>
      </c>
      <c r="P50" s="211">
        <f t="shared" si="3"/>
        <v>20</v>
      </c>
      <c r="Q50" s="86">
        <f>P50/12*100</f>
        <v>166.66666666666669</v>
      </c>
      <c r="R50" s="218" t="s">
        <v>389</v>
      </c>
      <c r="S50" s="232">
        <v>42350000</v>
      </c>
      <c r="T50" s="216">
        <v>40350000</v>
      </c>
      <c r="U50" s="230">
        <f>T50/S50*100</f>
        <v>95.27744982290437</v>
      </c>
      <c r="V50" s="2">
        <v>7</v>
      </c>
      <c r="W50" s="2">
        <f>26/12*100</f>
        <v>216.66666666666666</v>
      </c>
      <c r="X50" s="61">
        <v>2.16</v>
      </c>
      <c r="Y50" s="2"/>
      <c r="Z50" s="2">
        <v>2</v>
      </c>
      <c r="AA50" s="218" t="s">
        <v>389</v>
      </c>
      <c r="AB50" s="90">
        <f t="shared" si="2"/>
        <v>29</v>
      </c>
      <c r="AC50" s="128">
        <f>AB50/12*100</f>
        <v>241.66666666666666</v>
      </c>
      <c r="AD50" s="2"/>
      <c r="AE50" s="218" t="s">
        <v>389</v>
      </c>
      <c r="AF50" s="216">
        <v>46903537</v>
      </c>
      <c r="AG50" s="216">
        <v>5000000</v>
      </c>
      <c r="AH50" s="230">
        <f>AG50/AF50*100</f>
        <v>10.660176864699991</v>
      </c>
      <c r="AI50" s="86">
        <v>1</v>
      </c>
      <c r="AJ50" s="86"/>
      <c r="AK50" s="86">
        <v>7</v>
      </c>
      <c r="AL50" s="221" t="s">
        <v>509</v>
      </c>
      <c r="AM50" s="86">
        <v>9</v>
      </c>
      <c r="AN50" s="86">
        <v>3</v>
      </c>
      <c r="AO50" s="221" t="s">
        <v>510</v>
      </c>
      <c r="AP50" s="4">
        <f t="shared" si="1"/>
        <v>49</v>
      </c>
      <c r="AQ50" s="133">
        <f>AP50/12*100</f>
        <v>408.3333333333333</v>
      </c>
      <c r="AR50" s="124"/>
      <c r="AS50" s="230">
        <v>216160058</v>
      </c>
      <c r="AT50" s="230">
        <v>170487000</v>
      </c>
      <c r="AU50" s="124"/>
      <c r="AV50" s="2"/>
      <c r="AW50" s="2"/>
      <c r="AX50" s="2"/>
      <c r="AY50" s="2"/>
      <c r="AZ50" s="213">
        <v>195116660</v>
      </c>
      <c r="BA50" s="213">
        <v>23894660</v>
      </c>
      <c r="BB50" s="216"/>
      <c r="BC50" s="2"/>
      <c r="BD50" s="2"/>
    </row>
    <row r="51" spans="1:56" ht="103.5" customHeight="1">
      <c r="A51" s="9">
        <v>47</v>
      </c>
      <c r="B51" s="243"/>
      <c r="C51" s="243"/>
      <c r="D51" s="14" t="s">
        <v>95</v>
      </c>
      <c r="E51" s="2" t="s">
        <v>9</v>
      </c>
      <c r="F51" s="14" t="s">
        <v>96</v>
      </c>
      <c r="G51" s="240"/>
      <c r="H51" s="108"/>
      <c r="I51" s="108"/>
      <c r="J51" s="108"/>
      <c r="K51" s="15">
        <v>4000</v>
      </c>
      <c r="L51" s="14">
        <v>2000</v>
      </c>
      <c r="M51" s="14">
        <v>2000</v>
      </c>
      <c r="N51" s="14">
        <v>2000</v>
      </c>
      <c r="O51" s="2">
        <v>6761</v>
      </c>
      <c r="P51" s="211">
        <f t="shared" si="3"/>
        <v>16761</v>
      </c>
      <c r="Q51" s="86">
        <f>P51/20000*100</f>
        <v>83.80499999999999</v>
      </c>
      <c r="R51" s="220"/>
      <c r="S51" s="233"/>
      <c r="T51" s="217"/>
      <c r="U51" s="231"/>
      <c r="V51" s="2">
        <v>3140</v>
      </c>
      <c r="W51" s="86">
        <f>19701/20000*100</f>
        <v>98.505</v>
      </c>
      <c r="X51" s="61">
        <v>0.98</v>
      </c>
      <c r="Y51" s="4" t="s">
        <v>235</v>
      </c>
      <c r="Z51" s="4">
        <v>550</v>
      </c>
      <c r="AA51" s="220"/>
      <c r="AB51" s="90">
        <f t="shared" si="2"/>
        <v>20451</v>
      </c>
      <c r="AC51" s="128">
        <f>AB51/20000*100</f>
        <v>102.25500000000001</v>
      </c>
      <c r="AD51" s="2"/>
      <c r="AE51" s="220"/>
      <c r="AF51" s="217"/>
      <c r="AG51" s="217"/>
      <c r="AH51" s="231"/>
      <c r="AI51" s="86">
        <v>0</v>
      </c>
      <c r="AJ51" s="86"/>
      <c r="AK51" s="86">
        <v>21497</v>
      </c>
      <c r="AL51" s="222"/>
      <c r="AM51" s="86">
        <v>1142</v>
      </c>
      <c r="AN51" s="86">
        <v>480</v>
      </c>
      <c r="AO51" s="222"/>
      <c r="AP51" s="4">
        <f t="shared" si="1"/>
        <v>43570</v>
      </c>
      <c r="AQ51" s="133">
        <f>AP51/20000*100</f>
        <v>217.85000000000002</v>
      </c>
      <c r="AR51" s="125"/>
      <c r="AS51" s="231"/>
      <c r="AT51" s="231"/>
      <c r="AU51" s="125"/>
      <c r="AV51" s="2"/>
      <c r="AW51" s="2"/>
      <c r="AX51" s="2"/>
      <c r="AY51" s="2"/>
      <c r="AZ51" s="214"/>
      <c r="BA51" s="214"/>
      <c r="BB51" s="217"/>
      <c r="BC51" s="2"/>
      <c r="BD51" s="2"/>
    </row>
    <row r="52" spans="1:56" ht="92.25" customHeight="1">
      <c r="A52" s="9">
        <v>48</v>
      </c>
      <c r="B52" s="243"/>
      <c r="C52" s="243"/>
      <c r="D52" s="14" t="s">
        <v>376</v>
      </c>
      <c r="E52" s="2" t="s">
        <v>9</v>
      </c>
      <c r="F52" s="14" t="s">
        <v>511</v>
      </c>
      <c r="G52" s="240"/>
      <c r="H52" s="108"/>
      <c r="I52" s="108"/>
      <c r="J52" s="108"/>
      <c r="K52" s="15">
        <v>2</v>
      </c>
      <c r="L52" s="14">
        <v>2</v>
      </c>
      <c r="M52" s="14">
        <v>1</v>
      </c>
      <c r="N52" s="14">
        <v>1</v>
      </c>
      <c r="O52" s="2">
        <v>13</v>
      </c>
      <c r="P52" s="211">
        <f t="shared" si="3"/>
        <v>19</v>
      </c>
      <c r="Q52" s="86">
        <f>P52/12*100</f>
        <v>158.33333333333331</v>
      </c>
      <c r="R52" s="220"/>
      <c r="S52" s="232">
        <v>18000000</v>
      </c>
      <c r="T52" s="216">
        <v>18000000</v>
      </c>
      <c r="U52" s="230">
        <f>T52/S52*100</f>
        <v>100</v>
      </c>
      <c r="V52" s="2">
        <v>7</v>
      </c>
      <c r="W52" s="86">
        <f>26/12*100</f>
        <v>216.66666666666666</v>
      </c>
      <c r="X52" s="61">
        <v>2.17</v>
      </c>
      <c r="Y52" s="2"/>
      <c r="Z52" s="68">
        <v>5</v>
      </c>
      <c r="AA52" s="220"/>
      <c r="AB52" s="90">
        <f t="shared" si="2"/>
        <v>31</v>
      </c>
      <c r="AC52" s="128">
        <f>AB52/12*100</f>
        <v>258.33333333333337</v>
      </c>
      <c r="AD52" s="10"/>
      <c r="AE52" s="220"/>
      <c r="AF52" s="216">
        <v>1000000</v>
      </c>
      <c r="AG52" s="216">
        <v>0</v>
      </c>
      <c r="AH52" s="216">
        <v>0</v>
      </c>
      <c r="AI52" s="127">
        <v>0</v>
      </c>
      <c r="AJ52" s="135"/>
      <c r="AK52" s="182">
        <v>9</v>
      </c>
      <c r="AL52" s="218" t="s">
        <v>436</v>
      </c>
      <c r="AM52" s="195">
        <v>33</v>
      </c>
      <c r="AN52" s="203"/>
      <c r="AO52" s="218" t="s">
        <v>512</v>
      </c>
      <c r="AP52" s="4">
        <f t="shared" si="1"/>
        <v>73</v>
      </c>
      <c r="AQ52" s="133">
        <f>AP52/12*100</f>
        <v>608.3333333333333</v>
      </c>
      <c r="AR52" s="122"/>
      <c r="AS52" s="216">
        <v>6957000</v>
      </c>
      <c r="AT52" s="216">
        <v>5957400</v>
      </c>
      <c r="AU52" s="186"/>
      <c r="AV52" s="2"/>
      <c r="AW52" s="2"/>
      <c r="AX52" s="2"/>
      <c r="AY52" s="2"/>
      <c r="AZ52" s="213">
        <v>8550000</v>
      </c>
      <c r="BA52" s="213">
        <v>25675000</v>
      </c>
      <c r="BB52" s="216"/>
      <c r="BC52" s="2"/>
      <c r="BD52" s="2"/>
    </row>
    <row r="53" spans="1:56" ht="118.5" customHeight="1">
      <c r="A53" s="9">
        <v>49</v>
      </c>
      <c r="B53" s="243"/>
      <c r="C53" s="243"/>
      <c r="D53" s="14" t="s">
        <v>97</v>
      </c>
      <c r="E53" s="2" t="s">
        <v>9</v>
      </c>
      <c r="F53" s="14" t="s">
        <v>513</v>
      </c>
      <c r="G53" s="240"/>
      <c r="H53" s="108"/>
      <c r="I53" s="108"/>
      <c r="J53" s="108"/>
      <c r="K53" s="15">
        <v>5000</v>
      </c>
      <c r="L53" s="15">
        <v>5000</v>
      </c>
      <c r="M53" s="15">
        <v>5000</v>
      </c>
      <c r="N53" s="15">
        <v>5000</v>
      </c>
      <c r="O53" s="2">
        <v>242</v>
      </c>
      <c r="P53" s="211">
        <f t="shared" si="3"/>
        <v>20242</v>
      </c>
      <c r="Q53" s="86">
        <f>P53/50000*100</f>
        <v>40.483999999999995</v>
      </c>
      <c r="R53" s="220"/>
      <c r="S53" s="233"/>
      <c r="T53" s="217"/>
      <c r="U53" s="231"/>
      <c r="V53" s="2">
        <v>75</v>
      </c>
      <c r="W53" s="86">
        <f>20317/50000*100</f>
        <v>40.634</v>
      </c>
      <c r="X53" s="61">
        <v>0.41</v>
      </c>
      <c r="Y53" s="2" t="s">
        <v>230</v>
      </c>
      <c r="Z53" s="69">
        <v>30335</v>
      </c>
      <c r="AA53" s="220"/>
      <c r="AB53" s="90">
        <f t="shared" si="2"/>
        <v>50652</v>
      </c>
      <c r="AC53" s="128">
        <f>AB53/50000*100</f>
        <v>101.30399999999999</v>
      </c>
      <c r="AD53" s="10"/>
      <c r="AE53" s="220"/>
      <c r="AF53" s="217"/>
      <c r="AG53" s="217"/>
      <c r="AH53" s="217"/>
      <c r="AI53" s="127">
        <v>0</v>
      </c>
      <c r="AJ53" s="135"/>
      <c r="AK53" s="182">
        <v>5696</v>
      </c>
      <c r="AL53" s="219"/>
      <c r="AM53" s="195">
        <v>375</v>
      </c>
      <c r="AN53" s="203"/>
      <c r="AO53" s="219"/>
      <c r="AP53" s="4">
        <f t="shared" si="1"/>
        <v>56723</v>
      </c>
      <c r="AQ53" s="133">
        <f>AP53/50000*100</f>
        <v>113.446</v>
      </c>
      <c r="AR53" s="123"/>
      <c r="AS53" s="217"/>
      <c r="AT53" s="217"/>
      <c r="AU53" s="123"/>
      <c r="AV53" s="2"/>
      <c r="AW53" s="2"/>
      <c r="AX53" s="2"/>
      <c r="AY53" s="2"/>
      <c r="AZ53" s="214"/>
      <c r="BA53" s="214"/>
      <c r="BB53" s="217"/>
      <c r="BC53" s="2"/>
      <c r="BD53" s="2"/>
    </row>
    <row r="54" spans="1:56" ht="75.75" customHeight="1">
      <c r="A54" s="9">
        <v>50</v>
      </c>
      <c r="B54" s="243"/>
      <c r="C54" s="243"/>
      <c r="D54" s="14" t="s">
        <v>98</v>
      </c>
      <c r="E54" s="2" t="s">
        <v>9</v>
      </c>
      <c r="F54" s="14" t="s">
        <v>99</v>
      </c>
      <c r="G54" s="240"/>
      <c r="H54" s="108"/>
      <c r="I54" s="108"/>
      <c r="J54" s="108"/>
      <c r="K54" s="15">
        <v>3</v>
      </c>
      <c r="L54" s="15">
        <v>3</v>
      </c>
      <c r="M54" s="15">
        <v>3</v>
      </c>
      <c r="N54" s="15">
        <v>3</v>
      </c>
      <c r="O54" s="2">
        <v>12</v>
      </c>
      <c r="P54" s="211">
        <f t="shared" si="3"/>
        <v>24</v>
      </c>
      <c r="Q54" s="86">
        <f>P54/60*100</f>
        <v>40</v>
      </c>
      <c r="R54" s="220"/>
      <c r="S54" s="2"/>
      <c r="T54" s="2"/>
      <c r="U54" s="2"/>
      <c r="V54" s="2">
        <v>4</v>
      </c>
      <c r="W54" s="86">
        <f>28/60*100</f>
        <v>46.666666666666664</v>
      </c>
      <c r="X54" s="61">
        <v>0.47</v>
      </c>
      <c r="Y54" s="2" t="s">
        <v>230</v>
      </c>
      <c r="Z54" s="2">
        <v>4</v>
      </c>
      <c r="AA54" s="220"/>
      <c r="AB54" s="2">
        <f t="shared" si="2"/>
        <v>32</v>
      </c>
      <c r="AC54" s="128">
        <f>AB54/60*100</f>
        <v>53.333333333333336</v>
      </c>
      <c r="AD54" s="2" t="s">
        <v>439</v>
      </c>
      <c r="AE54" s="220"/>
      <c r="AF54" s="216">
        <v>3000000</v>
      </c>
      <c r="AG54" s="216">
        <v>2000000</v>
      </c>
      <c r="AH54" s="230">
        <f>AG54/AF54*100</f>
        <v>66.66666666666666</v>
      </c>
      <c r="AI54" s="86">
        <v>1</v>
      </c>
      <c r="AJ54" s="86"/>
      <c r="AK54" s="86"/>
      <c r="AL54" s="221"/>
      <c r="AM54" s="86"/>
      <c r="AN54" s="86"/>
      <c r="AO54" s="221"/>
      <c r="AP54" s="4">
        <f t="shared" si="1"/>
        <v>33</v>
      </c>
      <c r="AQ54" s="131">
        <f>AP54/60*100</f>
        <v>55.00000000000001</v>
      </c>
      <c r="AR54" s="192" t="s">
        <v>421</v>
      </c>
      <c r="AS54" s="230">
        <v>215246556</v>
      </c>
      <c r="AT54" s="230">
        <v>106800000</v>
      </c>
      <c r="AU54" s="230">
        <v>0</v>
      </c>
      <c r="AV54" s="2"/>
      <c r="AW54" s="2"/>
      <c r="AX54" s="2"/>
      <c r="AY54" s="2"/>
      <c r="AZ54" s="205"/>
      <c r="BA54" s="205"/>
      <c r="BB54" s="195"/>
      <c r="BC54" s="2"/>
      <c r="BD54" s="2"/>
    </row>
    <row r="55" spans="1:56" ht="99.75" customHeight="1">
      <c r="A55" s="9">
        <v>51</v>
      </c>
      <c r="B55" s="243"/>
      <c r="C55" s="243"/>
      <c r="D55" s="14" t="s">
        <v>100</v>
      </c>
      <c r="E55" s="2"/>
      <c r="F55" s="14" t="s">
        <v>101</v>
      </c>
      <c r="G55" s="240"/>
      <c r="H55" s="108"/>
      <c r="I55" s="108"/>
      <c r="J55" s="108"/>
      <c r="K55" s="15">
        <v>600</v>
      </c>
      <c r="L55" s="15">
        <v>300</v>
      </c>
      <c r="M55" s="15">
        <v>300</v>
      </c>
      <c r="N55" s="15">
        <v>300</v>
      </c>
      <c r="O55" s="2">
        <v>365</v>
      </c>
      <c r="P55" s="211">
        <f t="shared" si="3"/>
        <v>1865</v>
      </c>
      <c r="Q55" s="86">
        <f>P55/3000*100</f>
        <v>62.16666666666667</v>
      </c>
      <c r="R55" s="220"/>
      <c r="S55" s="2"/>
      <c r="T55" s="2"/>
      <c r="U55" s="2"/>
      <c r="V55" s="2">
        <v>250</v>
      </c>
      <c r="W55" s="2">
        <f>2115/3000*100</f>
        <v>70.5</v>
      </c>
      <c r="X55" s="61">
        <v>0.7</v>
      </c>
      <c r="Y55" s="4" t="s">
        <v>235</v>
      </c>
      <c r="Z55" s="4">
        <v>2695</v>
      </c>
      <c r="AA55" s="220"/>
      <c r="AB55" s="2">
        <f t="shared" si="2"/>
        <v>4810</v>
      </c>
      <c r="AC55" s="128">
        <f>AB55/3000*100</f>
        <v>160.33333333333331</v>
      </c>
      <c r="AD55" s="2"/>
      <c r="AE55" s="220"/>
      <c r="AF55" s="217"/>
      <c r="AG55" s="217"/>
      <c r="AH55" s="231"/>
      <c r="AI55" s="86">
        <v>0</v>
      </c>
      <c r="AJ55" s="86"/>
      <c r="AK55" s="86"/>
      <c r="AL55" s="222"/>
      <c r="AM55" s="86">
        <v>100</v>
      </c>
      <c r="AN55" s="86"/>
      <c r="AO55" s="222"/>
      <c r="AP55" s="4">
        <f t="shared" si="1"/>
        <v>4910</v>
      </c>
      <c r="AQ55" s="133">
        <f>AP55/3000*100</f>
        <v>163.66666666666669</v>
      </c>
      <c r="AR55" s="125"/>
      <c r="AS55" s="266"/>
      <c r="AT55" s="266"/>
      <c r="AU55" s="266"/>
      <c r="AV55" s="2">
        <v>221</v>
      </c>
      <c r="AW55" s="2"/>
      <c r="AX55" s="2">
        <v>221</v>
      </c>
      <c r="AY55" s="2"/>
      <c r="AZ55" s="205">
        <v>880000</v>
      </c>
      <c r="BA55" s="205">
        <v>400000</v>
      </c>
      <c r="BB55" s="195"/>
      <c r="BC55" s="2"/>
      <c r="BD55" s="2"/>
    </row>
    <row r="56" spans="1:56" ht="104.25" customHeight="1">
      <c r="A56" s="9">
        <v>52</v>
      </c>
      <c r="B56" s="243"/>
      <c r="C56" s="243"/>
      <c r="D56" s="14" t="s">
        <v>102</v>
      </c>
      <c r="E56" s="2"/>
      <c r="F56" s="14" t="s">
        <v>103</v>
      </c>
      <c r="G56" s="240"/>
      <c r="H56" s="108"/>
      <c r="I56" s="108"/>
      <c r="J56" s="108"/>
      <c r="K56" s="15">
        <v>12</v>
      </c>
      <c r="L56" s="15">
        <v>6</v>
      </c>
      <c r="M56" s="15">
        <v>6</v>
      </c>
      <c r="N56" s="15">
        <v>6</v>
      </c>
      <c r="O56" s="2">
        <v>18</v>
      </c>
      <c r="P56" s="211">
        <f t="shared" si="3"/>
        <v>48</v>
      </c>
      <c r="Q56" s="86">
        <f>P56/60*100</f>
        <v>80</v>
      </c>
      <c r="R56" s="220"/>
      <c r="S56" s="9">
        <v>15000000</v>
      </c>
      <c r="T56" s="9">
        <v>15000000</v>
      </c>
      <c r="U56" s="2">
        <f>T56/S56*100</f>
        <v>100</v>
      </c>
      <c r="V56" s="2">
        <v>4</v>
      </c>
      <c r="W56" s="2">
        <f>51/60*100</f>
        <v>85</v>
      </c>
      <c r="X56" s="61">
        <v>0.85</v>
      </c>
      <c r="Y56" s="4" t="s">
        <v>235</v>
      </c>
      <c r="Z56" s="4">
        <v>16</v>
      </c>
      <c r="AA56" s="220"/>
      <c r="AB56" s="2">
        <f t="shared" si="2"/>
        <v>68</v>
      </c>
      <c r="AC56" s="128">
        <f>AB56/60*100</f>
        <v>113.33333333333333</v>
      </c>
      <c r="AD56" s="2"/>
      <c r="AE56" s="220"/>
      <c r="AF56" s="216">
        <v>6000000</v>
      </c>
      <c r="AG56" s="216">
        <v>0</v>
      </c>
      <c r="AH56" s="216">
        <f>AG56/AF56*100</f>
        <v>0</v>
      </c>
      <c r="AI56" s="127">
        <v>1</v>
      </c>
      <c r="AJ56" s="135"/>
      <c r="AK56" s="182">
        <v>10</v>
      </c>
      <c r="AL56" s="218" t="s">
        <v>514</v>
      </c>
      <c r="AM56" s="195">
        <v>6</v>
      </c>
      <c r="AN56" s="203">
        <v>9</v>
      </c>
      <c r="AO56" s="218" t="s">
        <v>542</v>
      </c>
      <c r="AP56" s="4">
        <f t="shared" si="1"/>
        <v>94</v>
      </c>
      <c r="AQ56" s="133">
        <f>AP56/60*100</f>
        <v>156.66666666666666</v>
      </c>
      <c r="AR56" s="122"/>
      <c r="AS56" s="266"/>
      <c r="AT56" s="266"/>
      <c r="AU56" s="266"/>
      <c r="AV56" s="2">
        <v>3</v>
      </c>
      <c r="AW56" s="2"/>
      <c r="AX56" s="2">
        <v>3</v>
      </c>
      <c r="AY56" s="2"/>
      <c r="AZ56" s="213">
        <v>11582160</v>
      </c>
      <c r="BA56" s="213">
        <v>8500000</v>
      </c>
      <c r="BB56" s="216"/>
      <c r="BC56" s="2"/>
      <c r="BD56" s="2"/>
    </row>
    <row r="57" spans="1:56" ht="129" customHeight="1">
      <c r="A57" s="9">
        <v>53</v>
      </c>
      <c r="B57" s="243"/>
      <c r="C57" s="243"/>
      <c r="D57" s="14" t="s">
        <v>104</v>
      </c>
      <c r="E57" s="2"/>
      <c r="F57" s="14" t="s">
        <v>105</v>
      </c>
      <c r="G57" s="240"/>
      <c r="H57" s="108"/>
      <c r="I57" s="108"/>
      <c r="J57" s="108"/>
      <c r="K57" s="15">
        <v>600</v>
      </c>
      <c r="L57" s="15">
        <v>300</v>
      </c>
      <c r="M57" s="15">
        <v>300</v>
      </c>
      <c r="N57" s="15">
        <v>300</v>
      </c>
      <c r="O57" s="2">
        <v>46938</v>
      </c>
      <c r="P57" s="211">
        <f t="shared" si="3"/>
        <v>48438</v>
      </c>
      <c r="Q57" s="86">
        <f>P57/3000*100</f>
        <v>1614.6000000000001</v>
      </c>
      <c r="R57" s="220"/>
      <c r="S57" s="2"/>
      <c r="T57" s="2"/>
      <c r="U57" s="2"/>
      <c r="V57" s="2">
        <v>13194</v>
      </c>
      <c r="W57" s="2">
        <f>61632/3000*100</f>
        <v>2054.4</v>
      </c>
      <c r="X57" s="61">
        <v>20.54</v>
      </c>
      <c r="Y57" s="2"/>
      <c r="Z57" s="2">
        <v>11407</v>
      </c>
      <c r="AA57" s="220"/>
      <c r="AB57" s="2">
        <f t="shared" si="2"/>
        <v>73039</v>
      </c>
      <c r="AC57" s="128">
        <f>AB57/3000*100</f>
        <v>2434.633333333333</v>
      </c>
      <c r="AD57" s="2"/>
      <c r="AE57" s="220"/>
      <c r="AF57" s="217"/>
      <c r="AG57" s="217"/>
      <c r="AH57" s="217"/>
      <c r="AI57" s="127">
        <v>0</v>
      </c>
      <c r="AJ57" s="135"/>
      <c r="AK57" s="182">
        <v>7524</v>
      </c>
      <c r="AL57" s="219"/>
      <c r="AM57" s="195">
        <v>293</v>
      </c>
      <c r="AN57" s="203">
        <v>8</v>
      </c>
      <c r="AO57" s="219"/>
      <c r="AP57" s="4">
        <f t="shared" si="1"/>
        <v>80864</v>
      </c>
      <c r="AQ57" s="133">
        <f>AP57/3000*100</f>
        <v>2695.4666666666667</v>
      </c>
      <c r="AR57" s="123"/>
      <c r="AS57" s="266"/>
      <c r="AT57" s="266"/>
      <c r="AU57" s="266"/>
      <c r="AV57" s="2"/>
      <c r="AW57" s="2"/>
      <c r="AX57" s="2"/>
      <c r="AY57" s="2"/>
      <c r="AZ57" s="214"/>
      <c r="BA57" s="214"/>
      <c r="BB57" s="217"/>
      <c r="BC57" s="2"/>
      <c r="BD57" s="2"/>
    </row>
    <row r="58" spans="1:56" ht="111" customHeight="1">
      <c r="A58" s="9">
        <v>54</v>
      </c>
      <c r="B58" s="243"/>
      <c r="C58" s="243"/>
      <c r="D58" s="14" t="s">
        <v>106</v>
      </c>
      <c r="E58" s="2"/>
      <c r="F58" s="14" t="s">
        <v>107</v>
      </c>
      <c r="G58" s="240"/>
      <c r="H58" s="108"/>
      <c r="I58" s="108"/>
      <c r="J58" s="108"/>
      <c r="K58" s="15">
        <v>24</v>
      </c>
      <c r="L58" s="15">
        <v>12</v>
      </c>
      <c r="M58" s="15">
        <v>12</v>
      </c>
      <c r="N58" s="15">
        <v>12</v>
      </c>
      <c r="O58" s="2">
        <v>18</v>
      </c>
      <c r="P58" s="211">
        <f t="shared" si="3"/>
        <v>78</v>
      </c>
      <c r="Q58" s="86">
        <f>P58/120*100</f>
        <v>65</v>
      </c>
      <c r="R58" s="220"/>
      <c r="S58" s="232">
        <v>37970000</v>
      </c>
      <c r="T58" s="216">
        <v>37970000</v>
      </c>
      <c r="U58" s="216">
        <f>T58/S58*100</f>
        <v>100</v>
      </c>
      <c r="V58" s="2">
        <v>9</v>
      </c>
      <c r="W58" s="2">
        <f>87/120*100</f>
        <v>72.5</v>
      </c>
      <c r="X58" s="61">
        <v>0.72</v>
      </c>
      <c r="Y58" s="4" t="s">
        <v>235</v>
      </c>
      <c r="Z58" s="4">
        <v>7</v>
      </c>
      <c r="AA58" s="220"/>
      <c r="AB58" s="90">
        <f t="shared" si="2"/>
        <v>94</v>
      </c>
      <c r="AC58" s="128">
        <f>AB58/12*100</f>
        <v>783.3333333333333</v>
      </c>
      <c r="AD58" s="2"/>
      <c r="AE58" s="220"/>
      <c r="AF58" s="216">
        <v>72903537</v>
      </c>
      <c r="AG58" s="216">
        <v>15000000</v>
      </c>
      <c r="AH58" s="216">
        <f>AG58/AF58*100</f>
        <v>20.575133412251315</v>
      </c>
      <c r="AI58" s="127">
        <v>1</v>
      </c>
      <c r="AJ58" s="135"/>
      <c r="AK58" s="182">
        <v>38</v>
      </c>
      <c r="AL58" s="218" t="s">
        <v>445</v>
      </c>
      <c r="AM58" s="195">
        <v>5</v>
      </c>
      <c r="AN58" s="203">
        <v>10</v>
      </c>
      <c r="AO58" s="218" t="s">
        <v>543</v>
      </c>
      <c r="AP58" s="4">
        <f t="shared" si="1"/>
        <v>148</v>
      </c>
      <c r="AQ58" s="133">
        <f>AP58/12*100</f>
        <v>1233.3333333333335</v>
      </c>
      <c r="AR58" s="122"/>
      <c r="AS58" s="266"/>
      <c r="AT58" s="266"/>
      <c r="AU58" s="266"/>
      <c r="AV58" s="2">
        <v>10</v>
      </c>
      <c r="AW58" s="2"/>
      <c r="AX58" s="2">
        <v>10</v>
      </c>
      <c r="AY58" s="2"/>
      <c r="AZ58" s="213">
        <v>53882160</v>
      </c>
      <c r="BA58" s="213">
        <v>11800000</v>
      </c>
      <c r="BB58" s="216"/>
      <c r="BC58" s="2"/>
      <c r="BD58" s="2"/>
    </row>
    <row r="59" spans="1:56" ht="129.75" customHeight="1" thickBot="1">
      <c r="A59" s="9">
        <v>55</v>
      </c>
      <c r="B59" s="244"/>
      <c r="C59" s="244"/>
      <c r="D59" s="14" t="s">
        <v>108</v>
      </c>
      <c r="E59" s="2"/>
      <c r="F59" s="14" t="s">
        <v>109</v>
      </c>
      <c r="G59" s="240"/>
      <c r="H59" s="28"/>
      <c r="I59" s="28"/>
      <c r="J59" s="28"/>
      <c r="K59" s="18">
        <v>1200</v>
      </c>
      <c r="L59" s="18">
        <v>600</v>
      </c>
      <c r="M59" s="18">
        <v>600</v>
      </c>
      <c r="N59" s="18">
        <v>600</v>
      </c>
      <c r="O59" s="2">
        <v>3184</v>
      </c>
      <c r="P59" s="211">
        <f t="shared" si="3"/>
        <v>6184</v>
      </c>
      <c r="Q59" s="86">
        <f>P59/6000*100</f>
        <v>103.06666666666666</v>
      </c>
      <c r="R59" s="219"/>
      <c r="S59" s="233"/>
      <c r="T59" s="217"/>
      <c r="U59" s="217"/>
      <c r="V59" s="2">
        <v>3095</v>
      </c>
      <c r="W59" s="2">
        <f>9272/6000*100</f>
        <v>154.53333333333333</v>
      </c>
      <c r="X59" s="61">
        <v>1.54</v>
      </c>
      <c r="Y59" s="2"/>
      <c r="Z59" s="69">
        <v>5560</v>
      </c>
      <c r="AA59" s="219"/>
      <c r="AB59" s="90">
        <f t="shared" si="2"/>
        <v>14839</v>
      </c>
      <c r="AC59" s="128">
        <f>AB59/6000*100</f>
        <v>247.31666666666666</v>
      </c>
      <c r="AD59" s="2"/>
      <c r="AE59" s="219"/>
      <c r="AF59" s="217"/>
      <c r="AG59" s="217"/>
      <c r="AH59" s="217"/>
      <c r="AI59" s="127">
        <v>0</v>
      </c>
      <c r="AJ59" s="135"/>
      <c r="AK59" s="182">
        <v>4776</v>
      </c>
      <c r="AL59" s="219"/>
      <c r="AM59" s="195">
        <v>1059</v>
      </c>
      <c r="AN59" s="203">
        <v>158</v>
      </c>
      <c r="AO59" s="219"/>
      <c r="AP59" s="4">
        <f t="shared" si="1"/>
        <v>20832</v>
      </c>
      <c r="AQ59" s="133">
        <f>AP59/6000*100</f>
        <v>347.2</v>
      </c>
      <c r="AR59" s="123"/>
      <c r="AS59" s="231"/>
      <c r="AT59" s="231"/>
      <c r="AU59" s="231"/>
      <c r="AV59" s="2"/>
      <c r="AW59" s="2"/>
      <c r="AX59" s="2"/>
      <c r="AY59" s="2"/>
      <c r="AZ59" s="214"/>
      <c r="BA59" s="214"/>
      <c r="BB59" s="217"/>
      <c r="BC59" s="2"/>
      <c r="BD59" s="2"/>
    </row>
    <row r="60" spans="1:56" ht="91.5" customHeight="1">
      <c r="A60" s="9">
        <v>56</v>
      </c>
      <c r="B60" s="242" t="s">
        <v>219</v>
      </c>
      <c r="C60" s="242" t="s">
        <v>218</v>
      </c>
      <c r="D60" s="14" t="s">
        <v>232</v>
      </c>
      <c r="E60" s="2"/>
      <c r="F60" s="14" t="s">
        <v>110</v>
      </c>
      <c r="G60" s="241" t="s">
        <v>111</v>
      </c>
      <c r="H60" s="114"/>
      <c r="I60" s="114"/>
      <c r="J60" s="114"/>
      <c r="K60" s="24">
        <v>0</v>
      </c>
      <c r="L60" s="23">
        <v>0</v>
      </c>
      <c r="M60" s="24">
        <v>0</v>
      </c>
      <c r="N60" s="24">
        <v>0</v>
      </c>
      <c r="O60" s="4">
        <v>4</v>
      </c>
      <c r="P60" s="211">
        <f t="shared" si="3"/>
        <v>4</v>
      </c>
      <c r="Q60" s="86">
        <f>P60/1*100</f>
        <v>400</v>
      </c>
      <c r="R60" s="218" t="s">
        <v>515</v>
      </c>
      <c r="S60" s="2"/>
      <c r="T60" s="2"/>
      <c r="U60" s="11"/>
      <c r="V60" s="2">
        <v>1</v>
      </c>
      <c r="W60" s="2">
        <v>100</v>
      </c>
      <c r="X60" s="61">
        <v>1</v>
      </c>
      <c r="Y60" s="2"/>
      <c r="Z60" s="2">
        <v>0</v>
      </c>
      <c r="AA60" s="218" t="s">
        <v>515</v>
      </c>
      <c r="AB60" s="2">
        <v>100</v>
      </c>
      <c r="AC60" s="128">
        <v>100</v>
      </c>
      <c r="AD60" s="2"/>
      <c r="AE60" s="218" t="s">
        <v>515</v>
      </c>
      <c r="AF60" s="2"/>
      <c r="AG60" s="2"/>
      <c r="AH60" s="2"/>
      <c r="AI60" s="127">
        <v>0</v>
      </c>
      <c r="AJ60" s="135"/>
      <c r="AK60" s="182"/>
      <c r="AL60" s="218" t="s">
        <v>457</v>
      </c>
      <c r="AM60" s="195"/>
      <c r="AN60" s="203"/>
      <c r="AO60" s="218" t="s">
        <v>449</v>
      </c>
      <c r="AP60" s="4">
        <f t="shared" si="1"/>
        <v>100</v>
      </c>
      <c r="AQ60" s="133">
        <v>100</v>
      </c>
      <c r="AR60" s="127"/>
      <c r="AS60" s="216">
        <v>60000000</v>
      </c>
      <c r="AT60" s="216">
        <v>60000000</v>
      </c>
      <c r="AU60" s="127"/>
      <c r="AV60" s="2"/>
      <c r="AW60" s="2"/>
      <c r="AX60" s="2"/>
      <c r="AY60" s="2"/>
      <c r="AZ60" s="205"/>
      <c r="BA60" s="205"/>
      <c r="BB60" s="195"/>
      <c r="BC60" s="2"/>
      <c r="BD60" s="2"/>
    </row>
    <row r="61" spans="1:56" ht="63" customHeight="1">
      <c r="A61" s="9">
        <v>57</v>
      </c>
      <c r="B61" s="243"/>
      <c r="C61" s="243"/>
      <c r="D61" s="14" t="s">
        <v>112</v>
      </c>
      <c r="E61" s="2"/>
      <c r="F61" s="14"/>
      <c r="G61" s="241"/>
      <c r="H61" s="109"/>
      <c r="I61" s="109"/>
      <c r="J61" s="109"/>
      <c r="K61" s="15">
        <v>4</v>
      </c>
      <c r="L61" s="15">
        <v>1</v>
      </c>
      <c r="M61" s="15">
        <v>1</v>
      </c>
      <c r="N61" s="15">
        <v>1</v>
      </c>
      <c r="O61" s="4"/>
      <c r="P61" s="211">
        <f t="shared" si="3"/>
        <v>7</v>
      </c>
      <c r="Q61" s="86">
        <f>P61/12*100</f>
        <v>58.333333333333336</v>
      </c>
      <c r="R61" s="220"/>
      <c r="S61" s="2"/>
      <c r="T61" s="2"/>
      <c r="U61" s="2"/>
      <c r="V61" s="2">
        <v>0</v>
      </c>
      <c r="W61" s="2">
        <f>7/12*100</f>
        <v>58.333333333333336</v>
      </c>
      <c r="X61" s="61">
        <v>0.58</v>
      </c>
      <c r="Y61" s="2" t="s">
        <v>230</v>
      </c>
      <c r="Z61" s="2">
        <v>0</v>
      </c>
      <c r="AA61" s="220"/>
      <c r="AB61" s="2">
        <f t="shared" si="2"/>
        <v>7</v>
      </c>
      <c r="AC61" s="128">
        <f>AB61/12*100</f>
        <v>58.333333333333336</v>
      </c>
      <c r="AD61" s="2"/>
      <c r="AE61" s="220"/>
      <c r="AF61" s="2"/>
      <c r="AG61" s="2"/>
      <c r="AH61" s="2"/>
      <c r="AI61" s="127">
        <v>0</v>
      </c>
      <c r="AJ61" s="135"/>
      <c r="AK61" s="182">
        <v>3</v>
      </c>
      <c r="AL61" s="220"/>
      <c r="AM61" s="195">
        <v>1</v>
      </c>
      <c r="AN61" s="203"/>
      <c r="AO61" s="220"/>
      <c r="AP61" s="4">
        <f t="shared" si="1"/>
        <v>11</v>
      </c>
      <c r="AQ61" s="133">
        <f>AP61/12*100</f>
        <v>91.66666666666666</v>
      </c>
      <c r="AR61" s="4" t="s">
        <v>516</v>
      </c>
      <c r="AS61" s="226"/>
      <c r="AT61" s="226"/>
      <c r="AU61" s="127"/>
      <c r="AV61" s="2"/>
      <c r="AW61" s="2"/>
      <c r="AX61" s="2"/>
      <c r="AY61" s="2"/>
      <c r="AZ61" s="205"/>
      <c r="BA61" s="205"/>
      <c r="BB61" s="195"/>
      <c r="BC61" s="2"/>
      <c r="BD61" s="2"/>
    </row>
    <row r="62" spans="1:56" ht="79.5" customHeight="1">
      <c r="A62" s="9">
        <v>58</v>
      </c>
      <c r="B62" s="243"/>
      <c r="C62" s="243"/>
      <c r="D62" s="14" t="s">
        <v>517</v>
      </c>
      <c r="E62" s="2"/>
      <c r="F62" s="14" t="s">
        <v>518</v>
      </c>
      <c r="G62" s="241"/>
      <c r="H62" s="109"/>
      <c r="I62" s="109"/>
      <c r="J62" s="109"/>
      <c r="K62" s="15">
        <v>6</v>
      </c>
      <c r="L62" s="15">
        <v>3</v>
      </c>
      <c r="M62" s="15">
        <v>3</v>
      </c>
      <c r="N62" s="15">
        <v>3</v>
      </c>
      <c r="O62" s="4">
        <v>17</v>
      </c>
      <c r="P62" s="211">
        <f t="shared" si="3"/>
        <v>32</v>
      </c>
      <c r="Q62" s="86">
        <f>P62/30*100</f>
        <v>106.66666666666667</v>
      </c>
      <c r="R62" s="220"/>
      <c r="S62" s="2"/>
      <c r="T62" s="2"/>
      <c r="U62" s="2"/>
      <c r="V62" s="2">
        <v>15</v>
      </c>
      <c r="W62" s="2">
        <f>39/30*100</f>
        <v>130</v>
      </c>
      <c r="X62" s="61">
        <v>1.3</v>
      </c>
      <c r="Y62" s="2"/>
      <c r="Z62" s="2">
        <v>8</v>
      </c>
      <c r="AA62" s="220"/>
      <c r="AB62" s="2">
        <f t="shared" si="2"/>
        <v>55</v>
      </c>
      <c r="AC62" s="128">
        <f>AB62/30*100</f>
        <v>183.33333333333331</v>
      </c>
      <c r="AD62" s="2"/>
      <c r="AE62" s="220"/>
      <c r="AF62" s="2"/>
      <c r="AG62" s="2"/>
      <c r="AH62" s="2"/>
      <c r="AI62" s="127">
        <v>0</v>
      </c>
      <c r="AJ62" s="135"/>
      <c r="AK62" s="182">
        <v>4</v>
      </c>
      <c r="AL62" s="220"/>
      <c r="AM62" s="195">
        <v>1</v>
      </c>
      <c r="AN62" s="203"/>
      <c r="AO62" s="220"/>
      <c r="AP62" s="4">
        <f t="shared" si="1"/>
        <v>60</v>
      </c>
      <c r="AQ62" s="133">
        <f>AP62/30*100</f>
        <v>200</v>
      </c>
      <c r="AR62" s="127"/>
      <c r="AS62" s="226"/>
      <c r="AT62" s="226"/>
      <c r="AU62" s="127"/>
      <c r="AV62" s="2"/>
      <c r="AW62" s="2"/>
      <c r="AX62" s="2"/>
      <c r="AY62" s="2"/>
      <c r="AZ62" s="205"/>
      <c r="BA62" s="205"/>
      <c r="BB62" s="195"/>
      <c r="BC62" s="2"/>
      <c r="BD62" s="2"/>
    </row>
    <row r="63" spans="1:56" ht="59.25" customHeight="1">
      <c r="A63" s="9">
        <v>59</v>
      </c>
      <c r="B63" s="243"/>
      <c r="C63" s="243"/>
      <c r="D63" s="14" t="s">
        <v>114</v>
      </c>
      <c r="E63" s="2"/>
      <c r="F63" s="14"/>
      <c r="G63" s="241"/>
      <c r="H63" s="109"/>
      <c r="I63" s="109"/>
      <c r="J63" s="109"/>
      <c r="K63" s="15">
        <v>6</v>
      </c>
      <c r="L63" s="15">
        <v>3</v>
      </c>
      <c r="M63" s="15">
        <v>3</v>
      </c>
      <c r="N63" s="15">
        <v>3</v>
      </c>
      <c r="O63" s="2">
        <v>17</v>
      </c>
      <c r="P63" s="211">
        <f t="shared" si="3"/>
        <v>32</v>
      </c>
      <c r="Q63" s="86">
        <f>P63/30*100</f>
        <v>106.66666666666667</v>
      </c>
      <c r="R63" s="220"/>
      <c r="S63" s="2"/>
      <c r="T63" s="2"/>
      <c r="U63" s="2"/>
      <c r="V63" s="2">
        <v>0</v>
      </c>
      <c r="W63" s="2">
        <f>31/30*100</f>
        <v>103.33333333333334</v>
      </c>
      <c r="X63" s="61">
        <v>1.03</v>
      </c>
      <c r="Y63" s="2"/>
      <c r="Z63" s="2">
        <v>1</v>
      </c>
      <c r="AA63" s="220"/>
      <c r="AB63" s="2">
        <f t="shared" si="2"/>
        <v>33</v>
      </c>
      <c r="AC63" s="128">
        <f>AB63/30*100</f>
        <v>110.00000000000001</v>
      </c>
      <c r="AD63" s="2" t="s">
        <v>439</v>
      </c>
      <c r="AE63" s="220"/>
      <c r="AF63" s="2"/>
      <c r="AG63" s="2"/>
      <c r="AH63" s="2"/>
      <c r="AI63" s="127">
        <v>0</v>
      </c>
      <c r="AJ63" s="135"/>
      <c r="AK63" s="182">
        <v>4</v>
      </c>
      <c r="AL63" s="220"/>
      <c r="AM63" s="195">
        <v>3</v>
      </c>
      <c r="AN63" s="203">
        <v>3</v>
      </c>
      <c r="AO63" s="220"/>
      <c r="AP63" s="4">
        <f t="shared" si="1"/>
        <v>43</v>
      </c>
      <c r="AQ63" s="133">
        <f>AP63/30*100</f>
        <v>143.33333333333334</v>
      </c>
      <c r="AR63" s="127"/>
      <c r="AS63" s="226"/>
      <c r="AT63" s="226"/>
      <c r="AU63" s="127"/>
      <c r="AV63" s="2"/>
      <c r="AW63" s="2"/>
      <c r="AX63" s="2"/>
      <c r="AY63" s="2"/>
      <c r="AZ63" s="205">
        <v>5000000</v>
      </c>
      <c r="BA63" s="205">
        <v>3000000</v>
      </c>
      <c r="BB63" s="195"/>
      <c r="BC63" s="2"/>
      <c r="BD63" s="2"/>
    </row>
    <row r="64" spans="1:56" ht="122.25" customHeight="1">
      <c r="A64" s="9">
        <v>60</v>
      </c>
      <c r="B64" s="243"/>
      <c r="C64" s="243"/>
      <c r="D64" s="14" t="s">
        <v>220</v>
      </c>
      <c r="E64" s="2"/>
      <c r="F64" s="14" t="s">
        <v>115</v>
      </c>
      <c r="G64" s="241"/>
      <c r="H64" s="109"/>
      <c r="I64" s="109"/>
      <c r="J64" s="109"/>
      <c r="K64" s="15">
        <v>7500</v>
      </c>
      <c r="L64" s="14">
        <v>11500</v>
      </c>
      <c r="M64" s="15">
        <v>12945</v>
      </c>
      <c r="N64" s="15">
        <v>12945</v>
      </c>
      <c r="O64" s="2">
        <v>70</v>
      </c>
      <c r="P64" s="211">
        <f t="shared" si="3"/>
        <v>44960</v>
      </c>
      <c r="Q64" s="86">
        <f>P64/6000*100</f>
        <v>749.3333333333334</v>
      </c>
      <c r="R64" s="220"/>
      <c r="S64" s="2"/>
      <c r="T64" s="2"/>
      <c r="U64" s="2"/>
      <c r="V64" s="2">
        <v>0</v>
      </c>
      <c r="W64" s="2">
        <f>44960/6000*100</f>
        <v>749.3333333333334</v>
      </c>
      <c r="X64" s="61">
        <v>7.49</v>
      </c>
      <c r="Y64" s="2"/>
      <c r="Z64" s="2">
        <v>0</v>
      </c>
      <c r="AA64" s="220"/>
      <c r="AB64" s="2">
        <f t="shared" si="2"/>
        <v>44960</v>
      </c>
      <c r="AC64" s="128">
        <f>AB64/6000*100</f>
        <v>749.3333333333334</v>
      </c>
      <c r="AD64" s="2"/>
      <c r="AE64" s="220"/>
      <c r="AF64" s="2"/>
      <c r="AG64" s="2"/>
      <c r="AH64" s="2"/>
      <c r="AI64" s="127">
        <v>0</v>
      </c>
      <c r="AJ64" s="135"/>
      <c r="AK64" s="182">
        <v>540</v>
      </c>
      <c r="AL64" s="219"/>
      <c r="AM64" s="195">
        <v>200</v>
      </c>
      <c r="AN64" s="203">
        <v>200</v>
      </c>
      <c r="AO64" s="219"/>
      <c r="AP64" s="4">
        <f t="shared" si="1"/>
        <v>45900</v>
      </c>
      <c r="AQ64" s="133">
        <f>AP64/6000*100</f>
        <v>765</v>
      </c>
      <c r="AR64" s="127"/>
      <c r="AS64" s="217"/>
      <c r="AT64" s="217"/>
      <c r="AU64" s="127"/>
      <c r="AV64" s="2"/>
      <c r="AW64" s="2"/>
      <c r="AX64" s="2"/>
      <c r="AY64" s="2"/>
      <c r="AZ64" s="205">
        <v>5000000</v>
      </c>
      <c r="BA64" s="205">
        <v>3000000</v>
      </c>
      <c r="BB64" s="195"/>
      <c r="BC64" s="2"/>
      <c r="BD64" s="2"/>
    </row>
    <row r="65" spans="1:56" ht="99" customHeight="1">
      <c r="A65" s="9">
        <v>61</v>
      </c>
      <c r="B65" s="243"/>
      <c r="C65" s="243"/>
      <c r="D65" s="14" t="s">
        <v>116</v>
      </c>
      <c r="E65" s="2"/>
      <c r="F65" s="14" t="s">
        <v>117</v>
      </c>
      <c r="G65" s="241"/>
      <c r="H65" s="109"/>
      <c r="I65" s="109"/>
      <c r="J65" s="109"/>
      <c r="K65" s="15">
        <v>12</v>
      </c>
      <c r="L65" s="15">
        <v>6</v>
      </c>
      <c r="M65" s="15">
        <v>6</v>
      </c>
      <c r="N65" s="15">
        <v>6</v>
      </c>
      <c r="O65" s="2">
        <v>7</v>
      </c>
      <c r="P65" s="211">
        <f t="shared" si="3"/>
        <v>37</v>
      </c>
      <c r="Q65" s="86">
        <f>P65/60*100</f>
        <v>61.66666666666667</v>
      </c>
      <c r="R65" s="220"/>
      <c r="S65" s="2"/>
      <c r="T65" s="2"/>
      <c r="U65" s="2"/>
      <c r="V65" s="2">
        <v>0</v>
      </c>
      <c r="W65" s="2">
        <f>36/60*100</f>
        <v>60</v>
      </c>
      <c r="X65" s="61">
        <v>0.6</v>
      </c>
      <c r="Y65" s="4" t="s">
        <v>235</v>
      </c>
      <c r="Z65" s="4">
        <v>36</v>
      </c>
      <c r="AA65" s="220"/>
      <c r="AB65" s="2">
        <f t="shared" si="2"/>
        <v>73</v>
      </c>
      <c r="AC65" s="128">
        <f>AB65/60*100</f>
        <v>121.66666666666666</v>
      </c>
      <c r="AD65" s="2" t="s">
        <v>505</v>
      </c>
      <c r="AE65" s="220"/>
      <c r="AF65" s="2"/>
      <c r="AG65" s="2"/>
      <c r="AH65" s="2"/>
      <c r="AI65" s="127">
        <v>0</v>
      </c>
      <c r="AJ65" s="135"/>
      <c r="AK65" s="182">
        <v>4</v>
      </c>
      <c r="AL65" s="218" t="s">
        <v>454</v>
      </c>
      <c r="AM65" s="195">
        <v>3</v>
      </c>
      <c r="AN65" s="203">
        <v>3</v>
      </c>
      <c r="AO65" s="218" t="s">
        <v>427</v>
      </c>
      <c r="AP65" s="4">
        <f t="shared" si="1"/>
        <v>83</v>
      </c>
      <c r="AQ65" s="133">
        <f>AP65/60*100</f>
        <v>138.33333333333334</v>
      </c>
      <c r="AR65" s="127"/>
      <c r="AS65" s="127"/>
      <c r="AT65" s="127"/>
      <c r="AU65" s="127"/>
      <c r="AV65" s="2">
        <v>6</v>
      </c>
      <c r="AW65" s="2"/>
      <c r="AX65" s="2">
        <v>6</v>
      </c>
      <c r="AY65" s="2"/>
      <c r="AZ65" s="205">
        <v>7000000</v>
      </c>
      <c r="BA65" s="205">
        <v>3000000</v>
      </c>
      <c r="BB65" s="195"/>
      <c r="BC65" s="2"/>
      <c r="BD65" s="2"/>
    </row>
    <row r="66" spans="1:56" ht="127.5" customHeight="1">
      <c r="A66" s="9">
        <v>62</v>
      </c>
      <c r="B66" s="243"/>
      <c r="C66" s="244"/>
      <c r="D66" s="14" t="s">
        <v>118</v>
      </c>
      <c r="E66" s="2"/>
      <c r="F66" s="14" t="s">
        <v>119</v>
      </c>
      <c r="G66" s="241"/>
      <c r="H66" s="109"/>
      <c r="I66" s="109"/>
      <c r="J66" s="109"/>
      <c r="K66" s="15">
        <v>2400</v>
      </c>
      <c r="L66" s="15">
        <v>1200</v>
      </c>
      <c r="M66" s="15">
        <v>1200</v>
      </c>
      <c r="N66" s="15">
        <v>1200</v>
      </c>
      <c r="O66" s="2">
        <v>438</v>
      </c>
      <c r="P66" s="211">
        <f t="shared" si="3"/>
        <v>6438</v>
      </c>
      <c r="Q66" s="86">
        <f>P66/12000*100</f>
        <v>53.65</v>
      </c>
      <c r="R66" s="219"/>
      <c r="S66" s="2"/>
      <c r="T66" s="2"/>
      <c r="U66" s="2"/>
      <c r="V66" s="2">
        <v>0</v>
      </c>
      <c r="W66" s="2">
        <f>6308/12000*100</f>
        <v>52.56666666666666</v>
      </c>
      <c r="X66" s="61">
        <v>0.52</v>
      </c>
      <c r="Y66" s="2" t="s">
        <v>230</v>
      </c>
      <c r="Z66" s="2">
        <v>1900</v>
      </c>
      <c r="AA66" s="219"/>
      <c r="AB66" s="2">
        <f t="shared" si="2"/>
        <v>8338</v>
      </c>
      <c r="AC66" s="128">
        <f>AB66/12000*100</f>
        <v>69.48333333333333</v>
      </c>
      <c r="AD66" s="2"/>
      <c r="AE66" s="219"/>
      <c r="AF66" s="2"/>
      <c r="AG66" s="2"/>
      <c r="AH66" s="2"/>
      <c r="AI66" s="127">
        <v>0</v>
      </c>
      <c r="AJ66" s="135"/>
      <c r="AK66" s="182">
        <v>947</v>
      </c>
      <c r="AL66" s="219"/>
      <c r="AM66" s="195">
        <v>200</v>
      </c>
      <c r="AN66" s="203">
        <v>200</v>
      </c>
      <c r="AO66" s="219"/>
      <c r="AP66" s="4">
        <f t="shared" si="1"/>
        <v>9685</v>
      </c>
      <c r="AQ66" s="133">
        <f>AP66/12000*100</f>
        <v>80.70833333333334</v>
      </c>
      <c r="AR66" s="127"/>
      <c r="AS66" s="127"/>
      <c r="AT66" s="127"/>
      <c r="AU66" s="127"/>
      <c r="AV66" s="2"/>
      <c r="AW66" s="2"/>
      <c r="AX66" s="2"/>
      <c r="AY66" s="2"/>
      <c r="AZ66" s="205">
        <v>5000000</v>
      </c>
      <c r="BA66" s="205">
        <v>3000000</v>
      </c>
      <c r="BB66" s="195"/>
      <c r="BC66" s="2"/>
      <c r="BD66" s="2"/>
    </row>
    <row r="67" spans="1:56" ht="143.25" customHeight="1">
      <c r="A67" s="9">
        <v>63</v>
      </c>
      <c r="B67" s="243"/>
      <c r="C67" s="75" t="s">
        <v>212</v>
      </c>
      <c r="D67" s="28" t="s">
        <v>120</v>
      </c>
      <c r="E67" s="2"/>
      <c r="F67" s="15" t="s">
        <v>121</v>
      </c>
      <c r="G67" s="98" t="s">
        <v>122</v>
      </c>
      <c r="H67" s="108"/>
      <c r="I67" s="108"/>
      <c r="J67" s="108"/>
      <c r="K67" s="15">
        <v>10000</v>
      </c>
      <c r="L67" s="15">
        <v>5000</v>
      </c>
      <c r="M67" s="15">
        <v>5000</v>
      </c>
      <c r="N67" s="15">
        <v>5000</v>
      </c>
      <c r="O67" s="2">
        <v>375</v>
      </c>
      <c r="P67" s="211">
        <f t="shared" si="3"/>
        <v>25375</v>
      </c>
      <c r="Q67" s="86">
        <f>P67/50000*100</f>
        <v>50.74999999999999</v>
      </c>
      <c r="R67" s="105" t="s">
        <v>401</v>
      </c>
      <c r="S67" s="234">
        <v>49000000</v>
      </c>
      <c r="T67" s="234">
        <v>49000000</v>
      </c>
      <c r="U67" s="185">
        <v>1</v>
      </c>
      <c r="V67" s="2">
        <v>375</v>
      </c>
      <c r="W67" s="2">
        <f>25750/50000*100</f>
        <v>51.5</v>
      </c>
      <c r="X67" s="61">
        <v>0.51</v>
      </c>
      <c r="Y67" s="2" t="s">
        <v>230</v>
      </c>
      <c r="Z67" s="2">
        <v>7148</v>
      </c>
      <c r="AA67" s="105" t="s">
        <v>401</v>
      </c>
      <c r="AB67" s="90">
        <f t="shared" si="2"/>
        <v>32898</v>
      </c>
      <c r="AC67" s="128">
        <f>AB67/50000*100</f>
        <v>65.79599999999999</v>
      </c>
      <c r="AD67" s="10"/>
      <c r="AE67" s="105" t="s">
        <v>401</v>
      </c>
      <c r="AF67" s="118">
        <v>153051080</v>
      </c>
      <c r="AG67" s="118">
        <v>57760000</v>
      </c>
      <c r="AH67" s="121"/>
      <c r="AI67" s="121">
        <v>0</v>
      </c>
      <c r="AJ67" s="121"/>
      <c r="AK67" s="188">
        <v>15121</v>
      </c>
      <c r="AL67" s="4" t="s">
        <v>460</v>
      </c>
      <c r="AM67" s="195">
        <v>435</v>
      </c>
      <c r="AN67" s="203"/>
      <c r="AO67" s="4" t="s">
        <v>519</v>
      </c>
      <c r="AP67" s="4">
        <f t="shared" si="1"/>
        <v>48454</v>
      </c>
      <c r="AQ67" s="133">
        <f>AP67/50000*100</f>
        <v>96.908</v>
      </c>
      <c r="AR67" s="190"/>
      <c r="AS67" s="121">
        <v>606679432</v>
      </c>
      <c r="AT67" s="121">
        <v>481011545</v>
      </c>
      <c r="AU67" s="189">
        <v>0</v>
      </c>
      <c r="AV67" s="2"/>
      <c r="AW67" s="2"/>
      <c r="AX67" s="2"/>
      <c r="AY67" s="2"/>
      <c r="AZ67" s="205">
        <v>1436426440</v>
      </c>
      <c r="BA67" s="205"/>
      <c r="BB67" s="195"/>
      <c r="BC67" s="2"/>
      <c r="BD67" s="2"/>
    </row>
    <row r="68" spans="1:56" ht="96.75" customHeight="1">
      <c r="A68" s="9">
        <v>64</v>
      </c>
      <c r="B68" s="243"/>
      <c r="C68" s="242" t="s">
        <v>213</v>
      </c>
      <c r="D68" s="14" t="s">
        <v>123</v>
      </c>
      <c r="E68" s="2"/>
      <c r="F68" s="14" t="s">
        <v>124</v>
      </c>
      <c r="G68" s="240" t="s">
        <v>125</v>
      </c>
      <c r="H68" s="108"/>
      <c r="I68" s="108"/>
      <c r="J68" s="108"/>
      <c r="K68" s="15">
        <v>12</v>
      </c>
      <c r="L68" s="15">
        <v>6</v>
      </c>
      <c r="M68" s="15">
        <v>6</v>
      </c>
      <c r="N68" s="15">
        <v>6</v>
      </c>
      <c r="O68" s="2">
        <v>7</v>
      </c>
      <c r="P68" s="211">
        <f t="shared" si="3"/>
        <v>37</v>
      </c>
      <c r="Q68" s="86">
        <f>P68/60*100</f>
        <v>61.66666666666667</v>
      </c>
      <c r="R68" s="223" t="s">
        <v>403</v>
      </c>
      <c r="S68" s="234"/>
      <c r="T68" s="234"/>
      <c r="U68" s="189"/>
      <c r="V68" s="4">
        <v>2</v>
      </c>
      <c r="W68" s="2">
        <f>39/60*100</f>
        <v>65</v>
      </c>
      <c r="X68" s="61">
        <v>0.65</v>
      </c>
      <c r="Y68" s="4" t="s">
        <v>235</v>
      </c>
      <c r="Z68" s="4">
        <v>14</v>
      </c>
      <c r="AA68" s="223" t="s">
        <v>403</v>
      </c>
      <c r="AB68" s="90">
        <f t="shared" si="2"/>
        <v>53</v>
      </c>
      <c r="AC68" s="128">
        <f>AB68/60*100</f>
        <v>88.33333333333333</v>
      </c>
      <c r="AD68" s="10"/>
      <c r="AE68" s="223" t="s">
        <v>403</v>
      </c>
      <c r="AF68" s="118"/>
      <c r="AG68" s="118"/>
      <c r="AH68" s="121"/>
      <c r="AI68" s="121">
        <v>0</v>
      </c>
      <c r="AJ68" s="121"/>
      <c r="AK68" s="184">
        <v>5</v>
      </c>
      <c r="AL68" s="218" t="s">
        <v>452</v>
      </c>
      <c r="AM68" s="195">
        <v>7</v>
      </c>
      <c r="AN68" s="203">
        <v>3</v>
      </c>
      <c r="AO68" s="218" t="s">
        <v>464</v>
      </c>
      <c r="AP68" s="4">
        <f t="shared" si="1"/>
        <v>68</v>
      </c>
      <c r="AQ68" s="133">
        <f>AP68/60*100</f>
        <v>113.33333333333333</v>
      </c>
      <c r="AR68" s="121"/>
      <c r="AS68" s="216">
        <v>13100000</v>
      </c>
      <c r="AT68" s="216">
        <v>13100000</v>
      </c>
      <c r="AU68" s="121"/>
      <c r="AV68" s="2">
        <v>5</v>
      </c>
      <c r="AW68" s="2"/>
      <c r="AX68" s="2">
        <v>5</v>
      </c>
      <c r="AY68" s="2"/>
      <c r="AZ68" s="213">
        <v>15500000</v>
      </c>
      <c r="BA68" s="213">
        <v>6900000</v>
      </c>
      <c r="BB68" s="216"/>
      <c r="BC68" s="2"/>
      <c r="BD68" s="2"/>
    </row>
    <row r="69" spans="1:56" ht="102" customHeight="1">
      <c r="A69" s="9">
        <v>65</v>
      </c>
      <c r="B69" s="243"/>
      <c r="C69" s="243"/>
      <c r="D69" s="14" t="s">
        <v>126</v>
      </c>
      <c r="E69" s="2"/>
      <c r="F69" s="14" t="s">
        <v>127</v>
      </c>
      <c r="G69" s="240"/>
      <c r="H69" s="108"/>
      <c r="I69" s="108"/>
      <c r="J69" s="108"/>
      <c r="K69" s="15">
        <v>600</v>
      </c>
      <c r="L69" s="15">
        <v>300</v>
      </c>
      <c r="M69" s="15">
        <v>300</v>
      </c>
      <c r="N69" s="15">
        <v>300</v>
      </c>
      <c r="O69" s="2">
        <v>1200</v>
      </c>
      <c r="P69" s="211">
        <f t="shared" si="3"/>
        <v>2700</v>
      </c>
      <c r="Q69" s="86">
        <f>P69/3000*100</f>
        <v>90</v>
      </c>
      <c r="R69" s="224"/>
      <c r="S69" s="2"/>
      <c r="T69" s="2"/>
      <c r="U69" s="2"/>
      <c r="V69" s="4">
        <v>700</v>
      </c>
      <c r="W69" s="2">
        <f>2700/3000*100</f>
        <v>90</v>
      </c>
      <c r="X69" s="61">
        <v>0.9</v>
      </c>
      <c r="Y69" s="4" t="s">
        <v>235</v>
      </c>
      <c r="Z69" s="4">
        <v>3800</v>
      </c>
      <c r="AA69" s="224"/>
      <c r="AB69" s="2">
        <f t="shared" si="2"/>
        <v>7200</v>
      </c>
      <c r="AC69" s="128">
        <f>AB69/3000*100</f>
        <v>240</v>
      </c>
      <c r="AD69" s="2"/>
      <c r="AE69" s="224"/>
      <c r="AF69" s="2"/>
      <c r="AG69" s="2"/>
      <c r="AH69" s="2"/>
      <c r="AI69" s="127">
        <v>0</v>
      </c>
      <c r="AJ69" s="135"/>
      <c r="AK69" s="182">
        <v>2087</v>
      </c>
      <c r="AL69" s="219"/>
      <c r="AM69" s="195">
        <v>10</v>
      </c>
      <c r="AN69" s="203">
        <v>300</v>
      </c>
      <c r="AO69" s="219"/>
      <c r="AP69" s="4">
        <f t="shared" si="1"/>
        <v>9597</v>
      </c>
      <c r="AQ69" s="133">
        <f>AP69/3000*100</f>
        <v>319.9</v>
      </c>
      <c r="AR69" s="127"/>
      <c r="AS69" s="217"/>
      <c r="AT69" s="217"/>
      <c r="AU69" s="127"/>
      <c r="AV69" s="2">
        <v>100</v>
      </c>
      <c r="AW69" s="2"/>
      <c r="AX69" s="2">
        <v>100</v>
      </c>
      <c r="AY69" s="2"/>
      <c r="AZ69" s="214"/>
      <c r="BA69" s="214"/>
      <c r="BB69" s="217"/>
      <c r="BC69" s="2"/>
      <c r="BD69" s="2"/>
    </row>
    <row r="70" spans="1:56" ht="132" customHeight="1">
      <c r="A70" s="9">
        <v>66</v>
      </c>
      <c r="B70" s="243"/>
      <c r="C70" s="243"/>
      <c r="D70" s="15" t="s">
        <v>128</v>
      </c>
      <c r="E70" s="2"/>
      <c r="F70" s="15" t="s">
        <v>129</v>
      </c>
      <c r="G70" s="240"/>
      <c r="H70" s="108"/>
      <c r="I70" s="108"/>
      <c r="J70" s="108"/>
      <c r="K70" s="15">
        <v>12</v>
      </c>
      <c r="L70" s="15">
        <v>6</v>
      </c>
      <c r="M70" s="15">
        <v>6</v>
      </c>
      <c r="N70" s="15">
        <v>6</v>
      </c>
      <c r="O70" s="2">
        <v>8</v>
      </c>
      <c r="P70" s="211">
        <f t="shared" si="3"/>
        <v>38</v>
      </c>
      <c r="Q70" s="86">
        <f>P70/60*100</f>
        <v>63.33333333333333</v>
      </c>
      <c r="R70" s="224"/>
      <c r="S70" s="2">
        <v>17750000</v>
      </c>
      <c r="T70" s="2">
        <v>17750000</v>
      </c>
      <c r="U70" s="94">
        <f>T70/S70*100</f>
        <v>100</v>
      </c>
      <c r="V70" s="2">
        <v>18</v>
      </c>
      <c r="W70" s="2">
        <f>56/60*100</f>
        <v>93.33333333333333</v>
      </c>
      <c r="X70" s="61">
        <v>0.93</v>
      </c>
      <c r="Y70" s="4" t="s">
        <v>235</v>
      </c>
      <c r="Z70" s="4">
        <v>8</v>
      </c>
      <c r="AA70" s="224"/>
      <c r="AB70" s="2">
        <f aca="true" t="shared" si="4" ref="AB70:AB112">K70+L70+M70+N70+O70+V70+Z70</f>
        <v>64</v>
      </c>
      <c r="AC70" s="128">
        <f>AB70/60*100</f>
        <v>106.66666666666667</v>
      </c>
      <c r="AD70" s="2"/>
      <c r="AE70" s="224"/>
      <c r="AF70" s="216">
        <v>72165120</v>
      </c>
      <c r="AG70" s="216">
        <v>31923332</v>
      </c>
      <c r="AH70" s="230">
        <f>AG70/AF70*100</f>
        <v>44.23651204349137</v>
      </c>
      <c r="AI70" s="86">
        <v>1</v>
      </c>
      <c r="AJ70" s="86"/>
      <c r="AK70" s="86">
        <v>5</v>
      </c>
      <c r="AL70" s="221" t="s">
        <v>453</v>
      </c>
      <c r="AM70" s="86">
        <v>2</v>
      </c>
      <c r="AN70" s="86">
        <v>7</v>
      </c>
      <c r="AO70" s="221" t="s">
        <v>465</v>
      </c>
      <c r="AP70" s="4">
        <f t="shared" si="1"/>
        <v>79</v>
      </c>
      <c r="AQ70" s="133">
        <f>AP70/60*100</f>
        <v>131.66666666666666</v>
      </c>
      <c r="AR70" s="230"/>
      <c r="AS70" s="230">
        <v>26241000</v>
      </c>
      <c r="AT70" s="230">
        <v>8241000</v>
      </c>
      <c r="AU70" s="230">
        <v>1</v>
      </c>
      <c r="AV70" s="2">
        <v>1</v>
      </c>
      <c r="AW70" s="2"/>
      <c r="AX70" s="2">
        <v>1</v>
      </c>
      <c r="AY70" s="2"/>
      <c r="AZ70" s="213">
        <v>267700000</v>
      </c>
      <c r="BA70" s="213">
        <v>25440000</v>
      </c>
      <c r="BB70" s="216"/>
      <c r="BC70" s="2"/>
      <c r="BD70" s="2"/>
    </row>
    <row r="71" spans="1:56" ht="92.25" customHeight="1">
      <c r="A71" s="9">
        <v>67</v>
      </c>
      <c r="B71" s="243"/>
      <c r="C71" s="244"/>
      <c r="D71" s="14" t="s">
        <v>130</v>
      </c>
      <c r="E71" s="2"/>
      <c r="F71" s="14" t="s">
        <v>131</v>
      </c>
      <c r="G71" s="240"/>
      <c r="H71" s="108"/>
      <c r="I71" s="108"/>
      <c r="J71" s="108"/>
      <c r="K71" s="15">
        <v>600</v>
      </c>
      <c r="L71" s="15">
        <v>300</v>
      </c>
      <c r="M71" s="15">
        <v>300</v>
      </c>
      <c r="N71" s="15">
        <v>300</v>
      </c>
      <c r="O71" s="2">
        <v>1012</v>
      </c>
      <c r="P71" s="211">
        <f t="shared" si="3"/>
        <v>2512</v>
      </c>
      <c r="Q71" s="86">
        <f>P71/3000*100</f>
        <v>83.73333333333333</v>
      </c>
      <c r="R71" s="224"/>
      <c r="S71" s="2"/>
      <c r="T71" s="2"/>
      <c r="U71" s="94"/>
      <c r="V71" s="2">
        <v>315</v>
      </c>
      <c r="W71" s="2">
        <f>2827/3000*100</f>
        <v>94.23333333333333</v>
      </c>
      <c r="X71" s="61">
        <v>0.94</v>
      </c>
      <c r="Y71" s="4" t="s">
        <v>235</v>
      </c>
      <c r="Z71" s="4">
        <v>515</v>
      </c>
      <c r="AA71" s="224"/>
      <c r="AB71" s="2">
        <f t="shared" si="4"/>
        <v>3342</v>
      </c>
      <c r="AC71" s="128">
        <f>AB71/3000*100</f>
        <v>111.4</v>
      </c>
      <c r="AD71" s="2"/>
      <c r="AE71" s="224"/>
      <c r="AF71" s="217"/>
      <c r="AG71" s="217"/>
      <c r="AH71" s="231"/>
      <c r="AI71" s="86">
        <v>0</v>
      </c>
      <c r="AJ71" s="86"/>
      <c r="AK71" s="86">
        <v>2319</v>
      </c>
      <c r="AL71" s="222"/>
      <c r="AM71" s="86">
        <v>43</v>
      </c>
      <c r="AN71" s="86">
        <v>300</v>
      </c>
      <c r="AO71" s="222"/>
      <c r="AP71" s="4">
        <f t="shared" si="1"/>
        <v>6004</v>
      </c>
      <c r="AQ71" s="133">
        <f>AP71/3000*100</f>
        <v>200.13333333333333</v>
      </c>
      <c r="AR71" s="231"/>
      <c r="AS71" s="231"/>
      <c r="AT71" s="231"/>
      <c r="AU71" s="231"/>
      <c r="AV71" s="2">
        <v>43</v>
      </c>
      <c r="AW71" s="2"/>
      <c r="AX71" s="2">
        <v>43</v>
      </c>
      <c r="AY71" s="2"/>
      <c r="AZ71" s="214"/>
      <c r="BA71" s="214"/>
      <c r="BB71" s="217"/>
      <c r="BC71" s="2"/>
      <c r="BD71" s="2"/>
    </row>
    <row r="72" spans="1:56" ht="49.5" customHeight="1">
      <c r="A72" s="9">
        <v>68</v>
      </c>
      <c r="B72" s="243"/>
      <c r="C72" s="268" t="s">
        <v>214</v>
      </c>
      <c r="D72" s="14" t="s">
        <v>132</v>
      </c>
      <c r="E72" s="2"/>
      <c r="F72" s="14" t="s">
        <v>133</v>
      </c>
      <c r="G72" s="240"/>
      <c r="H72" s="108"/>
      <c r="I72" s="108"/>
      <c r="J72" s="108"/>
      <c r="K72" s="15">
        <v>20</v>
      </c>
      <c r="L72" s="15">
        <v>10</v>
      </c>
      <c r="M72" s="15">
        <v>10</v>
      </c>
      <c r="N72" s="15">
        <v>10</v>
      </c>
      <c r="O72" s="2">
        <v>34</v>
      </c>
      <c r="P72" s="211">
        <f t="shared" si="3"/>
        <v>84</v>
      </c>
      <c r="Q72" s="86">
        <f>P72/100*100</f>
        <v>84</v>
      </c>
      <c r="R72" s="224"/>
      <c r="S72" s="2"/>
      <c r="T72" s="2"/>
      <c r="U72" s="2"/>
      <c r="V72" s="2">
        <v>0</v>
      </c>
      <c r="W72" s="2">
        <f>84/100*100</f>
        <v>84</v>
      </c>
      <c r="X72" s="61">
        <v>0.84</v>
      </c>
      <c r="Y72" s="4" t="s">
        <v>235</v>
      </c>
      <c r="Z72" s="4">
        <v>4</v>
      </c>
      <c r="AA72" s="224"/>
      <c r="AB72" s="2">
        <f t="shared" si="4"/>
        <v>88</v>
      </c>
      <c r="AC72" s="128">
        <f>AB72/100*100</f>
        <v>88</v>
      </c>
      <c r="AD72" s="2"/>
      <c r="AE72" s="224"/>
      <c r="AF72" s="2"/>
      <c r="AG72" s="2"/>
      <c r="AH72" s="2"/>
      <c r="AI72" s="127">
        <v>0</v>
      </c>
      <c r="AJ72" s="135"/>
      <c r="AK72" s="182">
        <v>119</v>
      </c>
      <c r="AL72" s="218" t="s">
        <v>454</v>
      </c>
      <c r="AM72" s="195">
        <v>1</v>
      </c>
      <c r="AN72" s="203"/>
      <c r="AO72" s="218" t="s">
        <v>433</v>
      </c>
      <c r="AP72" s="4">
        <f aca="true" t="shared" si="5" ref="AP72:AP112">AB72+AI72+AJ72+AK72+AM72+AN72</f>
        <v>208</v>
      </c>
      <c r="AQ72" s="133">
        <f>AP72/100*100</f>
        <v>208</v>
      </c>
      <c r="AR72" s="127"/>
      <c r="AS72" s="127">
        <v>30000000</v>
      </c>
      <c r="AT72" s="127">
        <v>25000000</v>
      </c>
      <c r="AU72" s="185">
        <v>0.9</v>
      </c>
      <c r="AV72" s="2">
        <v>4</v>
      </c>
      <c r="AW72" s="2"/>
      <c r="AX72" s="2">
        <v>4</v>
      </c>
      <c r="AY72" s="2"/>
      <c r="AZ72" s="205"/>
      <c r="BA72" s="205"/>
      <c r="BB72" s="195"/>
      <c r="BC72" s="2"/>
      <c r="BD72" s="2"/>
    </row>
    <row r="73" spans="1:56" ht="62.25" customHeight="1">
      <c r="A73" s="9">
        <v>69</v>
      </c>
      <c r="B73" s="244"/>
      <c r="C73" s="269"/>
      <c r="D73" s="14" t="s">
        <v>134</v>
      </c>
      <c r="E73" s="2"/>
      <c r="F73" s="14" t="s">
        <v>520</v>
      </c>
      <c r="G73" s="240"/>
      <c r="H73" s="108"/>
      <c r="I73" s="108"/>
      <c r="J73" s="108"/>
      <c r="K73" s="15">
        <v>80</v>
      </c>
      <c r="L73" s="15">
        <v>40</v>
      </c>
      <c r="M73" s="15">
        <v>40</v>
      </c>
      <c r="N73" s="15">
        <v>40</v>
      </c>
      <c r="O73" s="11">
        <v>68</v>
      </c>
      <c r="P73" s="211">
        <f t="shared" si="3"/>
        <v>268</v>
      </c>
      <c r="Q73" s="86">
        <f>P73/400*100</f>
        <v>67</v>
      </c>
      <c r="R73" s="225"/>
      <c r="S73" s="2"/>
      <c r="T73" s="2"/>
      <c r="U73" s="2"/>
      <c r="V73" s="2">
        <v>0</v>
      </c>
      <c r="W73" s="2">
        <f>268/400*100</f>
        <v>67</v>
      </c>
      <c r="X73" s="61">
        <v>0.67</v>
      </c>
      <c r="Y73" s="4" t="s">
        <v>235</v>
      </c>
      <c r="Z73" s="4">
        <v>20</v>
      </c>
      <c r="AA73" s="225"/>
      <c r="AB73" s="2">
        <f t="shared" si="4"/>
        <v>288</v>
      </c>
      <c r="AC73" s="128">
        <f>AB73/400*100</f>
        <v>72</v>
      </c>
      <c r="AD73" s="2"/>
      <c r="AE73" s="225"/>
      <c r="AF73" s="2"/>
      <c r="AG73" s="2"/>
      <c r="AH73" s="2"/>
      <c r="AI73" s="127">
        <v>0</v>
      </c>
      <c r="AJ73" s="135"/>
      <c r="AK73" s="182">
        <v>119</v>
      </c>
      <c r="AL73" s="219"/>
      <c r="AM73" s="195">
        <v>1</v>
      </c>
      <c r="AN73" s="203"/>
      <c r="AO73" s="219"/>
      <c r="AP73" s="4">
        <f t="shared" si="5"/>
        <v>408</v>
      </c>
      <c r="AQ73" s="133">
        <f>AP73/400*100</f>
        <v>102</v>
      </c>
      <c r="AR73" s="127"/>
      <c r="AS73" s="127"/>
      <c r="AT73" s="127"/>
      <c r="AU73" s="127"/>
      <c r="AV73" s="2">
        <v>33</v>
      </c>
      <c r="AW73" s="2"/>
      <c r="AX73" s="2">
        <v>33</v>
      </c>
      <c r="AY73" s="2"/>
      <c r="AZ73" s="205"/>
      <c r="BA73" s="205"/>
      <c r="BB73" s="195"/>
      <c r="BC73" s="2"/>
      <c r="BD73" s="2"/>
    </row>
    <row r="74" spans="1:56" ht="81.75" customHeight="1">
      <c r="A74" s="9">
        <v>70</v>
      </c>
      <c r="B74" s="270" t="s">
        <v>222</v>
      </c>
      <c r="C74" s="73" t="s">
        <v>221</v>
      </c>
      <c r="D74" s="15" t="s">
        <v>135</v>
      </c>
      <c r="E74" s="2"/>
      <c r="F74" s="15" t="s">
        <v>136</v>
      </c>
      <c r="G74" s="99" t="s">
        <v>137</v>
      </c>
      <c r="H74" s="99"/>
      <c r="I74" s="99"/>
      <c r="J74" s="99"/>
      <c r="K74" s="100">
        <v>1</v>
      </c>
      <c r="L74" s="101">
        <v>1</v>
      </c>
      <c r="M74" s="101">
        <v>1</v>
      </c>
      <c r="N74" s="100">
        <v>1</v>
      </c>
      <c r="O74" s="95"/>
      <c r="P74" s="211">
        <f t="shared" si="3"/>
        <v>4</v>
      </c>
      <c r="Q74" s="86">
        <v>100</v>
      </c>
      <c r="R74" s="196"/>
      <c r="S74" s="95"/>
      <c r="T74" s="95"/>
      <c r="U74" s="95"/>
      <c r="V74" s="95">
        <v>0</v>
      </c>
      <c r="W74" s="95">
        <v>100</v>
      </c>
      <c r="X74" s="106">
        <v>1</v>
      </c>
      <c r="Y74" s="95"/>
      <c r="Z74" s="95">
        <v>0</v>
      </c>
      <c r="AA74" s="197"/>
      <c r="AB74" s="10">
        <v>1</v>
      </c>
      <c r="AC74" s="128">
        <v>100</v>
      </c>
      <c r="AD74" s="2"/>
      <c r="AE74" s="2"/>
      <c r="AF74" s="2"/>
      <c r="AG74" s="2"/>
      <c r="AH74" s="2"/>
      <c r="AI74" s="127">
        <v>0</v>
      </c>
      <c r="AJ74" s="135"/>
      <c r="AK74" s="182"/>
      <c r="AL74" s="4"/>
      <c r="AM74" s="195"/>
      <c r="AN74" s="203"/>
      <c r="AO74" s="4"/>
      <c r="AP74" s="4">
        <f t="shared" si="5"/>
        <v>1</v>
      </c>
      <c r="AQ74" s="133">
        <v>100</v>
      </c>
      <c r="AR74" s="127"/>
      <c r="AS74" s="127"/>
      <c r="AT74" s="127"/>
      <c r="AU74" s="127"/>
      <c r="AV74" s="2"/>
      <c r="AW74" s="2"/>
      <c r="AX74" s="2"/>
      <c r="AY74" s="2"/>
      <c r="AZ74" s="205"/>
      <c r="BA74" s="205"/>
      <c r="BB74" s="195"/>
      <c r="BC74" s="2"/>
      <c r="BD74" s="2"/>
    </row>
    <row r="75" spans="1:56" ht="52.5" customHeight="1">
      <c r="A75" s="9">
        <v>71</v>
      </c>
      <c r="B75" s="271"/>
      <c r="C75" s="267" t="s">
        <v>223</v>
      </c>
      <c r="D75" s="14" t="s">
        <v>138</v>
      </c>
      <c r="E75" s="2"/>
      <c r="F75" s="14" t="s">
        <v>139</v>
      </c>
      <c r="G75" s="258" t="s">
        <v>140</v>
      </c>
      <c r="H75" s="115"/>
      <c r="I75" s="115"/>
      <c r="J75" s="115"/>
      <c r="K75" s="17"/>
      <c r="L75" s="16">
        <v>130</v>
      </c>
      <c r="M75" s="17">
        <v>181</v>
      </c>
      <c r="N75" s="17">
        <v>181</v>
      </c>
      <c r="O75" s="2">
        <v>156</v>
      </c>
      <c r="P75" s="211">
        <f t="shared" si="3"/>
        <v>648</v>
      </c>
      <c r="Q75" s="86">
        <v>100</v>
      </c>
      <c r="R75" s="218" t="s">
        <v>438</v>
      </c>
      <c r="S75" s="2"/>
      <c r="T75" s="2"/>
      <c r="U75" s="2"/>
      <c r="V75" s="2">
        <v>140</v>
      </c>
      <c r="W75" s="2">
        <v>100</v>
      </c>
      <c r="X75" s="107">
        <v>1</v>
      </c>
      <c r="Y75" s="2"/>
      <c r="Z75" s="2">
        <v>0</v>
      </c>
      <c r="AA75" s="218" t="s">
        <v>438</v>
      </c>
      <c r="AB75" s="2">
        <f t="shared" si="4"/>
        <v>788</v>
      </c>
      <c r="AC75" s="128">
        <v>100</v>
      </c>
      <c r="AD75" s="2"/>
      <c r="AE75" s="216"/>
      <c r="AF75" s="2"/>
      <c r="AG75" s="2"/>
      <c r="AH75" s="2"/>
      <c r="AI75" s="127">
        <v>0</v>
      </c>
      <c r="AJ75" s="135"/>
      <c r="AK75" s="182"/>
      <c r="AL75" s="4"/>
      <c r="AM75" s="195"/>
      <c r="AN75" s="203"/>
      <c r="AO75" s="4"/>
      <c r="AP75" s="4">
        <f t="shared" si="5"/>
        <v>788</v>
      </c>
      <c r="AQ75" s="133">
        <v>100</v>
      </c>
      <c r="AR75" s="127"/>
      <c r="AS75" s="127"/>
      <c r="AT75" s="127"/>
      <c r="AU75" s="127"/>
      <c r="AV75" s="2"/>
      <c r="AW75" s="2"/>
      <c r="AX75" s="2"/>
      <c r="AY75" s="2"/>
      <c r="AZ75" s="205"/>
      <c r="BA75" s="205"/>
      <c r="BB75" s="195"/>
      <c r="BC75" s="2"/>
      <c r="BD75" s="2"/>
    </row>
    <row r="76" spans="1:56" ht="38.25" customHeight="1">
      <c r="A76" s="9">
        <v>72</v>
      </c>
      <c r="B76" s="271"/>
      <c r="C76" s="268"/>
      <c r="D76" s="14" t="s">
        <v>141</v>
      </c>
      <c r="E76" s="2"/>
      <c r="F76" s="240" t="s">
        <v>142</v>
      </c>
      <c r="G76" s="259"/>
      <c r="H76" s="116"/>
      <c r="I76" s="116"/>
      <c r="J76" s="116"/>
      <c r="K76" s="2"/>
      <c r="L76" s="2"/>
      <c r="M76" s="2"/>
      <c r="N76" s="2"/>
      <c r="O76" s="2"/>
      <c r="P76" s="211">
        <f t="shared" si="3"/>
        <v>0</v>
      </c>
      <c r="Q76" s="86">
        <f>P76/5*100</f>
        <v>0</v>
      </c>
      <c r="R76" s="220"/>
      <c r="S76" s="2"/>
      <c r="T76" s="2"/>
      <c r="U76" s="2"/>
      <c r="V76" s="2">
        <v>0</v>
      </c>
      <c r="W76" s="2">
        <v>100</v>
      </c>
      <c r="X76" s="107">
        <v>1</v>
      </c>
      <c r="Y76" s="2"/>
      <c r="Z76" s="2">
        <v>0</v>
      </c>
      <c r="AA76" s="220"/>
      <c r="AB76" s="2">
        <v>1</v>
      </c>
      <c r="AC76" s="128">
        <v>100</v>
      </c>
      <c r="AD76" s="2"/>
      <c r="AE76" s="226"/>
      <c r="AF76" s="2"/>
      <c r="AG76" s="2"/>
      <c r="AH76" s="2"/>
      <c r="AI76" s="127">
        <v>0</v>
      </c>
      <c r="AJ76" s="135"/>
      <c r="AK76" s="182"/>
      <c r="AL76" s="4"/>
      <c r="AM76" s="195"/>
      <c r="AN76" s="203"/>
      <c r="AO76" s="4"/>
      <c r="AP76" s="4">
        <f t="shared" si="5"/>
        <v>1</v>
      </c>
      <c r="AQ76" s="133">
        <v>100</v>
      </c>
      <c r="AR76" s="127"/>
      <c r="AS76" s="127"/>
      <c r="AT76" s="127"/>
      <c r="AU76" s="127"/>
      <c r="AV76" s="2"/>
      <c r="AW76" s="2"/>
      <c r="AX76" s="2"/>
      <c r="AY76" s="2"/>
      <c r="AZ76" s="205"/>
      <c r="BA76" s="205"/>
      <c r="BB76" s="195"/>
      <c r="BC76" s="2"/>
      <c r="BD76" s="2"/>
    </row>
    <row r="77" spans="1:56" ht="42.75" customHeight="1">
      <c r="A77" s="9">
        <v>73</v>
      </c>
      <c r="B77" s="271"/>
      <c r="C77" s="268"/>
      <c r="D77" s="14" t="s">
        <v>143</v>
      </c>
      <c r="E77" s="2"/>
      <c r="F77" s="240"/>
      <c r="G77" s="259"/>
      <c r="H77" s="116"/>
      <c r="I77" s="116"/>
      <c r="J77" s="116"/>
      <c r="K77" s="17">
        <v>2400</v>
      </c>
      <c r="L77" s="17">
        <v>1200</v>
      </c>
      <c r="M77" s="17">
        <v>1200</v>
      </c>
      <c r="N77" s="17">
        <v>1200</v>
      </c>
      <c r="O77" s="2">
        <v>7000</v>
      </c>
      <c r="P77" s="211">
        <f t="shared" si="3"/>
        <v>13000</v>
      </c>
      <c r="Q77" s="86">
        <f>P77/12000*100</f>
        <v>108.33333333333333</v>
      </c>
      <c r="R77" s="219"/>
      <c r="S77" s="2"/>
      <c r="T77" s="2"/>
      <c r="U77" s="2"/>
      <c r="V77" s="2">
        <v>7000</v>
      </c>
      <c r="W77" s="2">
        <f>7000/12000*100</f>
        <v>58.333333333333336</v>
      </c>
      <c r="X77" s="107">
        <v>0.58</v>
      </c>
      <c r="Y77" s="2" t="s">
        <v>230</v>
      </c>
      <c r="Z77" s="202">
        <v>7.05</v>
      </c>
      <c r="AA77" s="219"/>
      <c r="AB77" s="2">
        <f t="shared" si="4"/>
        <v>20007.05</v>
      </c>
      <c r="AC77" s="128">
        <f>AB77/12000*100</f>
        <v>166.72541666666666</v>
      </c>
      <c r="AD77" s="2"/>
      <c r="AE77" s="226"/>
      <c r="AF77" s="2"/>
      <c r="AG77" s="2"/>
      <c r="AH77" s="2"/>
      <c r="AI77" s="127">
        <v>0</v>
      </c>
      <c r="AJ77" s="135"/>
      <c r="AK77" s="182"/>
      <c r="AL77" s="4"/>
      <c r="AM77" s="195"/>
      <c r="AN77" s="203"/>
      <c r="AO77" s="4"/>
      <c r="AP77" s="4">
        <f t="shared" si="5"/>
        <v>20007.05</v>
      </c>
      <c r="AQ77" s="133">
        <f>AP77/12000*100</f>
        <v>166.72541666666666</v>
      </c>
      <c r="AR77" s="127"/>
      <c r="AS77" s="127"/>
      <c r="AT77" s="127"/>
      <c r="AU77" s="127"/>
      <c r="AV77" s="2"/>
      <c r="AW77" s="2"/>
      <c r="AX77" s="2"/>
      <c r="AY77" s="2"/>
      <c r="AZ77" s="205"/>
      <c r="BA77" s="205"/>
      <c r="BB77" s="195"/>
      <c r="BC77" s="2"/>
      <c r="BD77" s="2"/>
    </row>
    <row r="78" spans="1:56" ht="69">
      <c r="A78" s="9">
        <v>74</v>
      </c>
      <c r="B78" s="271"/>
      <c r="C78" s="268"/>
      <c r="D78" s="14" t="s">
        <v>144</v>
      </c>
      <c r="E78" s="2"/>
      <c r="F78" s="14" t="s">
        <v>145</v>
      </c>
      <c r="G78" s="259"/>
      <c r="H78" s="116"/>
      <c r="I78" s="116"/>
      <c r="J78" s="116"/>
      <c r="K78" s="17"/>
      <c r="L78" s="16">
        <v>12</v>
      </c>
      <c r="M78" s="16">
        <v>12</v>
      </c>
      <c r="N78" s="16">
        <v>12</v>
      </c>
      <c r="O78" s="2">
        <v>12</v>
      </c>
      <c r="P78" s="211">
        <f t="shared" si="3"/>
        <v>48</v>
      </c>
      <c r="Q78" s="86">
        <f>P78/12*100</f>
        <v>400</v>
      </c>
      <c r="R78" s="218" t="s">
        <v>443</v>
      </c>
      <c r="S78" s="2"/>
      <c r="T78" s="2"/>
      <c r="U78" s="2"/>
      <c r="V78" s="2">
        <v>12</v>
      </c>
      <c r="W78" s="2">
        <f>12/12*100</f>
        <v>100</v>
      </c>
      <c r="X78" s="107">
        <v>1</v>
      </c>
      <c r="Y78" s="2"/>
      <c r="Z78" s="2">
        <v>0</v>
      </c>
      <c r="AA78" s="218" t="s">
        <v>443</v>
      </c>
      <c r="AB78" s="2">
        <f t="shared" si="4"/>
        <v>60</v>
      </c>
      <c r="AC78" s="128">
        <f>AB78/12*100</f>
        <v>500</v>
      </c>
      <c r="AD78" s="2"/>
      <c r="AE78" s="226"/>
      <c r="AF78" s="2"/>
      <c r="AG78" s="2"/>
      <c r="AH78" s="2"/>
      <c r="AI78" s="127">
        <v>0</v>
      </c>
      <c r="AJ78" s="135"/>
      <c r="AK78" s="182"/>
      <c r="AL78" s="4"/>
      <c r="AM78" s="195"/>
      <c r="AN78" s="203"/>
      <c r="AO78" s="4"/>
      <c r="AP78" s="4">
        <f t="shared" si="5"/>
        <v>60</v>
      </c>
      <c r="AQ78" s="133">
        <f>AP78/12*100</f>
        <v>500</v>
      </c>
      <c r="AR78" s="127"/>
      <c r="AS78" s="127"/>
      <c r="AT78" s="127"/>
      <c r="AU78" s="127"/>
      <c r="AV78" s="2"/>
      <c r="AW78" s="2"/>
      <c r="AX78" s="2"/>
      <c r="AY78" s="2"/>
      <c r="AZ78" s="205"/>
      <c r="BA78" s="205"/>
      <c r="BB78" s="195"/>
      <c r="BC78" s="2"/>
      <c r="BD78" s="2"/>
    </row>
    <row r="79" spans="1:56" ht="48" customHeight="1">
      <c r="A79" s="9">
        <v>75</v>
      </c>
      <c r="B79" s="271"/>
      <c r="C79" s="268"/>
      <c r="D79" s="14" t="s">
        <v>146</v>
      </c>
      <c r="E79" s="2"/>
      <c r="F79" s="14"/>
      <c r="G79" s="259"/>
      <c r="H79" s="116"/>
      <c r="I79" s="116"/>
      <c r="J79" s="116"/>
      <c r="K79" s="17"/>
      <c r="L79" s="16">
        <v>1</v>
      </c>
      <c r="M79" s="16">
        <v>1</v>
      </c>
      <c r="N79" s="16">
        <v>1</v>
      </c>
      <c r="O79" s="2">
        <v>1</v>
      </c>
      <c r="P79" s="211">
        <f t="shared" si="3"/>
        <v>4</v>
      </c>
      <c r="Q79" s="86">
        <f>P79/1*100</f>
        <v>400</v>
      </c>
      <c r="R79" s="219"/>
      <c r="S79" s="2"/>
      <c r="T79" s="2"/>
      <c r="U79" s="2"/>
      <c r="V79" s="2">
        <v>1</v>
      </c>
      <c r="W79" s="2">
        <f>1/1*100</f>
        <v>100</v>
      </c>
      <c r="X79" s="107">
        <v>1</v>
      </c>
      <c r="Y79" s="2"/>
      <c r="Z79" s="2">
        <v>1</v>
      </c>
      <c r="AA79" s="219"/>
      <c r="AB79" s="2">
        <v>1</v>
      </c>
      <c r="AC79" s="128">
        <f>AB79/1*100</f>
        <v>100</v>
      </c>
      <c r="AD79" s="2"/>
      <c r="AE79" s="226"/>
      <c r="AF79" s="2"/>
      <c r="AG79" s="2"/>
      <c r="AH79" s="2"/>
      <c r="AI79" s="127">
        <v>0</v>
      </c>
      <c r="AJ79" s="135"/>
      <c r="AK79" s="182"/>
      <c r="AL79" s="4"/>
      <c r="AM79" s="195"/>
      <c r="AN79" s="203"/>
      <c r="AO79" s="4"/>
      <c r="AP79" s="4">
        <f t="shared" si="5"/>
        <v>1</v>
      </c>
      <c r="AQ79" s="133">
        <f>AP79/1*100</f>
        <v>100</v>
      </c>
      <c r="AR79" s="127"/>
      <c r="AS79" s="127"/>
      <c r="AT79" s="127"/>
      <c r="AU79" s="127"/>
      <c r="AV79" s="2"/>
      <c r="AW79" s="2"/>
      <c r="AX79" s="2"/>
      <c r="AY79" s="2"/>
      <c r="AZ79" s="205"/>
      <c r="BA79" s="205"/>
      <c r="BB79" s="195"/>
      <c r="BC79" s="2"/>
      <c r="BD79" s="2"/>
    </row>
    <row r="80" spans="1:56" ht="76.5" customHeight="1">
      <c r="A80" s="9">
        <v>76</v>
      </c>
      <c r="B80" s="271"/>
      <c r="C80" s="268"/>
      <c r="D80" s="14" t="s">
        <v>521</v>
      </c>
      <c r="E80" s="2"/>
      <c r="F80" s="14"/>
      <c r="G80" s="256"/>
      <c r="H80" s="114"/>
      <c r="I80" s="114"/>
      <c r="J80" s="114"/>
      <c r="K80" s="17" t="s">
        <v>229</v>
      </c>
      <c r="L80" s="17" t="s">
        <v>231</v>
      </c>
      <c r="M80" s="17" t="s">
        <v>231</v>
      </c>
      <c r="N80" s="17" t="s">
        <v>231</v>
      </c>
      <c r="O80" s="10">
        <v>1</v>
      </c>
      <c r="P80" s="211" t="e">
        <f t="shared" si="3"/>
        <v>#VALUE!</v>
      </c>
      <c r="Q80" s="86">
        <v>100</v>
      </c>
      <c r="R80" s="105" t="s">
        <v>306</v>
      </c>
      <c r="S80" s="2"/>
      <c r="T80" s="2"/>
      <c r="U80" s="2"/>
      <c r="V80" s="10">
        <v>1</v>
      </c>
      <c r="W80" s="2">
        <v>100</v>
      </c>
      <c r="X80" s="107">
        <v>1</v>
      </c>
      <c r="Y80" s="2"/>
      <c r="Z80" s="2">
        <v>0</v>
      </c>
      <c r="AA80" s="105" t="s">
        <v>306</v>
      </c>
      <c r="AB80" s="10">
        <v>1</v>
      </c>
      <c r="AC80" s="128">
        <v>100</v>
      </c>
      <c r="AD80" s="2"/>
      <c r="AE80" s="217"/>
      <c r="AF80" s="2"/>
      <c r="AG80" s="2"/>
      <c r="AH80" s="2"/>
      <c r="AI80" s="127">
        <v>0</v>
      </c>
      <c r="AJ80" s="135"/>
      <c r="AK80" s="182"/>
      <c r="AL80" s="4"/>
      <c r="AM80" s="195"/>
      <c r="AN80" s="203"/>
      <c r="AO80" s="4"/>
      <c r="AP80" s="4">
        <f t="shared" si="5"/>
        <v>1</v>
      </c>
      <c r="AQ80" s="133">
        <v>100</v>
      </c>
      <c r="AR80" s="127"/>
      <c r="AS80" s="127"/>
      <c r="AT80" s="127"/>
      <c r="AU80" s="127"/>
      <c r="AV80" s="2"/>
      <c r="AW80" s="2"/>
      <c r="AX80" s="2"/>
      <c r="AY80" s="2"/>
      <c r="AZ80" s="205"/>
      <c r="BA80" s="205"/>
      <c r="BB80" s="195"/>
      <c r="BC80" s="2"/>
      <c r="BD80" s="2"/>
    </row>
    <row r="81" spans="1:56" ht="78.75" customHeight="1">
      <c r="A81" s="9">
        <v>77</v>
      </c>
      <c r="B81" s="271"/>
      <c r="C81" s="268"/>
      <c r="D81" s="14" t="s">
        <v>148</v>
      </c>
      <c r="E81" s="2"/>
      <c r="F81" s="14" t="s">
        <v>522</v>
      </c>
      <c r="G81" s="240" t="s">
        <v>149</v>
      </c>
      <c r="H81" s="108"/>
      <c r="I81" s="108"/>
      <c r="J81" s="108"/>
      <c r="K81" s="17">
        <v>12</v>
      </c>
      <c r="L81" s="17">
        <v>6</v>
      </c>
      <c r="M81" s="17">
        <v>6</v>
      </c>
      <c r="N81" s="17">
        <v>6</v>
      </c>
      <c r="O81" s="2">
        <v>3</v>
      </c>
      <c r="P81" s="211">
        <f t="shared" si="3"/>
        <v>33</v>
      </c>
      <c r="Q81" s="86">
        <f>P81/60*100</f>
        <v>55.00000000000001</v>
      </c>
      <c r="R81" s="218" t="s">
        <v>444</v>
      </c>
      <c r="S81" s="2"/>
      <c r="T81" s="2"/>
      <c r="U81" s="2"/>
      <c r="V81" s="2">
        <v>3</v>
      </c>
      <c r="W81" s="2">
        <f>36/60*100</f>
        <v>60</v>
      </c>
      <c r="X81" s="107">
        <v>0.6</v>
      </c>
      <c r="Y81" s="4" t="s">
        <v>235</v>
      </c>
      <c r="Z81" s="4">
        <v>1</v>
      </c>
      <c r="AA81" s="218" t="s">
        <v>444</v>
      </c>
      <c r="AB81" s="2">
        <f t="shared" si="4"/>
        <v>37</v>
      </c>
      <c r="AC81" s="128">
        <f>AB81/60*100</f>
        <v>61.66666666666667</v>
      </c>
      <c r="AD81" s="2"/>
      <c r="AE81" s="234"/>
      <c r="AF81" s="2"/>
      <c r="AG81" s="2"/>
      <c r="AH81" s="2"/>
      <c r="AI81" s="127">
        <v>0</v>
      </c>
      <c r="AJ81" s="135"/>
      <c r="AK81" s="182">
        <v>6</v>
      </c>
      <c r="AL81" s="218" t="s">
        <v>432</v>
      </c>
      <c r="AM81" s="195">
        <v>1</v>
      </c>
      <c r="AN81" s="203"/>
      <c r="AO81" s="218" t="s">
        <v>433</v>
      </c>
      <c r="AP81" s="4">
        <f t="shared" si="5"/>
        <v>44</v>
      </c>
      <c r="AQ81" s="134">
        <f>AP81/60*100</f>
        <v>73.33333333333333</v>
      </c>
      <c r="AR81" s="4" t="s">
        <v>422</v>
      </c>
      <c r="AS81" s="216">
        <v>177000000</v>
      </c>
      <c r="AT81" s="216">
        <v>71000000</v>
      </c>
      <c r="AU81" s="228">
        <v>0.33</v>
      </c>
      <c r="AV81" s="2">
        <v>6</v>
      </c>
      <c r="AW81" s="2"/>
      <c r="AX81" s="2">
        <v>6</v>
      </c>
      <c r="AY81" s="2"/>
      <c r="AZ81" s="205"/>
      <c r="BA81" s="205"/>
      <c r="BB81" s="195"/>
      <c r="BC81" s="2"/>
      <c r="BD81" s="2"/>
    </row>
    <row r="82" spans="1:56" ht="108.75" customHeight="1">
      <c r="A82" s="9">
        <v>78</v>
      </c>
      <c r="B82" s="271"/>
      <c r="C82" s="268"/>
      <c r="D82" s="14" t="s">
        <v>523</v>
      </c>
      <c r="E82" s="2"/>
      <c r="F82" s="14" t="s">
        <v>151</v>
      </c>
      <c r="G82" s="240"/>
      <c r="H82" s="108"/>
      <c r="I82" s="108"/>
      <c r="J82" s="108"/>
      <c r="K82" s="17">
        <v>600</v>
      </c>
      <c r="L82" s="17">
        <v>300</v>
      </c>
      <c r="M82" s="17">
        <v>300</v>
      </c>
      <c r="N82" s="17">
        <v>300</v>
      </c>
      <c r="O82" s="2">
        <v>57</v>
      </c>
      <c r="P82" s="211">
        <f t="shared" si="3"/>
        <v>1557</v>
      </c>
      <c r="Q82" s="86">
        <f>P82/3000*100</f>
        <v>51.9</v>
      </c>
      <c r="R82" s="219"/>
      <c r="S82" s="234">
        <v>33350000</v>
      </c>
      <c r="T82" s="234">
        <v>33350000</v>
      </c>
      <c r="U82" s="234"/>
      <c r="V82" s="2">
        <v>50</v>
      </c>
      <c r="W82" s="2">
        <f>1607/3000*100</f>
        <v>53.56666666666666</v>
      </c>
      <c r="X82" s="107">
        <v>0.53</v>
      </c>
      <c r="Y82" s="2" t="s">
        <v>230</v>
      </c>
      <c r="Z82" s="2">
        <v>254</v>
      </c>
      <c r="AA82" s="219"/>
      <c r="AB82" s="90">
        <f t="shared" si="4"/>
        <v>1861</v>
      </c>
      <c r="AC82" s="128">
        <f>AB82/3000*100</f>
        <v>62.03333333333333</v>
      </c>
      <c r="AD82" s="2"/>
      <c r="AE82" s="234"/>
      <c r="AF82" s="216">
        <v>33903537</v>
      </c>
      <c r="AG82" s="216">
        <v>0</v>
      </c>
      <c r="AH82" s="216"/>
      <c r="AI82" s="127">
        <v>0</v>
      </c>
      <c r="AJ82" s="135"/>
      <c r="AK82" s="182">
        <v>478</v>
      </c>
      <c r="AL82" s="219"/>
      <c r="AM82" s="195">
        <v>20</v>
      </c>
      <c r="AN82" s="203"/>
      <c r="AO82" s="219"/>
      <c r="AP82" s="4">
        <f t="shared" si="5"/>
        <v>2359</v>
      </c>
      <c r="AQ82" s="134">
        <f>AP82/3000*100</f>
        <v>78.63333333333333</v>
      </c>
      <c r="AR82" s="122"/>
      <c r="AS82" s="226"/>
      <c r="AT82" s="226"/>
      <c r="AU82" s="229"/>
      <c r="AV82" s="2"/>
      <c r="AW82" s="2"/>
      <c r="AX82" s="2"/>
      <c r="AY82" s="2"/>
      <c r="AZ82" s="205"/>
      <c r="BA82" s="205"/>
      <c r="BB82" s="195"/>
      <c r="BC82" s="2"/>
      <c r="BD82" s="2"/>
    </row>
    <row r="83" spans="1:56" ht="78" customHeight="1">
      <c r="A83" s="9">
        <v>79</v>
      </c>
      <c r="B83" s="271"/>
      <c r="C83" s="268"/>
      <c r="D83" s="14" t="s">
        <v>152</v>
      </c>
      <c r="E83" s="2"/>
      <c r="F83" s="14" t="s">
        <v>153</v>
      </c>
      <c r="G83" s="240" t="s">
        <v>154</v>
      </c>
      <c r="H83" s="108"/>
      <c r="I83" s="108"/>
      <c r="J83" s="108"/>
      <c r="K83" s="17">
        <v>12</v>
      </c>
      <c r="L83" s="17">
        <v>6</v>
      </c>
      <c r="M83" s="17">
        <v>6</v>
      </c>
      <c r="N83" s="17">
        <v>6</v>
      </c>
      <c r="O83" s="2">
        <v>0</v>
      </c>
      <c r="P83" s="211">
        <f t="shared" si="3"/>
        <v>30</v>
      </c>
      <c r="Q83" s="86">
        <f>P83/60*100</f>
        <v>50</v>
      </c>
      <c r="R83" s="4"/>
      <c r="S83" s="234"/>
      <c r="T83" s="234"/>
      <c r="U83" s="234"/>
      <c r="V83" s="2">
        <v>0</v>
      </c>
      <c r="W83" s="2">
        <f>30/60*100</f>
        <v>50</v>
      </c>
      <c r="X83" s="107">
        <v>0.5</v>
      </c>
      <c r="Y83" s="2" t="s">
        <v>230</v>
      </c>
      <c r="Z83" s="2">
        <v>0</v>
      </c>
      <c r="AA83" s="90"/>
      <c r="AB83" s="90">
        <f t="shared" si="4"/>
        <v>30</v>
      </c>
      <c r="AC83" s="128">
        <f>AB83/60*100</f>
        <v>50</v>
      </c>
      <c r="AD83" s="2"/>
      <c r="AE83" s="216"/>
      <c r="AF83" s="217"/>
      <c r="AG83" s="217"/>
      <c r="AH83" s="217"/>
      <c r="AI83" s="127">
        <v>0</v>
      </c>
      <c r="AJ83" s="135"/>
      <c r="AK83" s="182"/>
      <c r="AL83" s="4"/>
      <c r="AM83" s="195"/>
      <c r="AN83" s="203"/>
      <c r="AO83" s="4"/>
      <c r="AP83" s="4">
        <f t="shared" si="5"/>
        <v>30</v>
      </c>
      <c r="AQ83" s="131">
        <f>AP83/60*100</f>
        <v>50</v>
      </c>
      <c r="AR83" s="220" t="s">
        <v>503</v>
      </c>
      <c r="AS83" s="123"/>
      <c r="AT83" s="123"/>
      <c r="AU83" s="123"/>
      <c r="AV83" s="2"/>
      <c r="AW83" s="2"/>
      <c r="AX83" s="2"/>
      <c r="AY83" s="2"/>
      <c r="AZ83" s="205"/>
      <c r="BA83" s="205"/>
      <c r="BB83" s="195"/>
      <c r="BC83" s="2"/>
      <c r="BD83" s="2"/>
    </row>
    <row r="84" spans="1:56" ht="111.75" customHeight="1">
      <c r="A84" s="9">
        <v>80</v>
      </c>
      <c r="B84" s="271"/>
      <c r="C84" s="268"/>
      <c r="D84" s="14" t="s">
        <v>155</v>
      </c>
      <c r="E84" s="2"/>
      <c r="F84" s="14" t="s">
        <v>524</v>
      </c>
      <c r="G84" s="240"/>
      <c r="H84" s="108"/>
      <c r="I84" s="108"/>
      <c r="J84" s="108"/>
      <c r="K84" s="17">
        <v>400</v>
      </c>
      <c r="L84" s="17">
        <v>200</v>
      </c>
      <c r="M84" s="17">
        <v>200</v>
      </c>
      <c r="N84" s="17">
        <v>200</v>
      </c>
      <c r="O84" s="2">
        <v>0</v>
      </c>
      <c r="P84" s="211">
        <f t="shared" si="3"/>
        <v>1000</v>
      </c>
      <c r="Q84" s="86">
        <f>P84/2000*100</f>
        <v>50</v>
      </c>
      <c r="R84" s="4"/>
      <c r="S84" s="2"/>
      <c r="T84" s="2"/>
      <c r="U84" s="2"/>
      <c r="V84" s="2">
        <v>0</v>
      </c>
      <c r="W84" s="2">
        <f>1000/2000*100</f>
        <v>50</v>
      </c>
      <c r="X84" s="107">
        <v>0.5</v>
      </c>
      <c r="Y84" s="2" t="s">
        <v>230</v>
      </c>
      <c r="Z84" s="2">
        <v>0</v>
      </c>
      <c r="AA84" s="200"/>
      <c r="AB84" s="2">
        <f t="shared" si="4"/>
        <v>1000</v>
      </c>
      <c r="AC84" s="128">
        <f>AB84/2000*100</f>
        <v>50</v>
      </c>
      <c r="AD84" s="2"/>
      <c r="AE84" s="226"/>
      <c r="AF84" s="2"/>
      <c r="AG84" s="2"/>
      <c r="AH84" s="2"/>
      <c r="AI84" s="127">
        <v>0</v>
      </c>
      <c r="AJ84" s="135"/>
      <c r="AK84" s="182"/>
      <c r="AL84" s="4"/>
      <c r="AM84" s="195"/>
      <c r="AN84" s="203"/>
      <c r="AO84" s="4"/>
      <c r="AP84" s="4">
        <f t="shared" si="5"/>
        <v>1000</v>
      </c>
      <c r="AQ84" s="131">
        <f>AP84/2000*100</f>
        <v>50</v>
      </c>
      <c r="AR84" s="220"/>
      <c r="AS84" s="127"/>
      <c r="AT84" s="127"/>
      <c r="AU84" s="127"/>
      <c r="AV84" s="2"/>
      <c r="AW84" s="2"/>
      <c r="AX84" s="2"/>
      <c r="AY84" s="2"/>
      <c r="AZ84" s="205"/>
      <c r="BA84" s="205"/>
      <c r="BB84" s="195"/>
      <c r="BC84" s="2"/>
      <c r="BD84" s="2"/>
    </row>
    <row r="85" spans="1:56" ht="45.75" customHeight="1">
      <c r="A85" s="9">
        <v>81</v>
      </c>
      <c r="B85" s="271"/>
      <c r="C85" s="268"/>
      <c r="D85" s="14" t="s">
        <v>156</v>
      </c>
      <c r="E85" s="2"/>
      <c r="F85" s="14"/>
      <c r="G85" s="240"/>
      <c r="H85" s="108"/>
      <c r="I85" s="108"/>
      <c r="J85" s="108"/>
      <c r="K85" s="17">
        <v>4</v>
      </c>
      <c r="L85" s="16">
        <v>2</v>
      </c>
      <c r="M85" s="16">
        <v>1</v>
      </c>
      <c r="N85" s="16">
        <v>1</v>
      </c>
      <c r="O85" s="2">
        <v>0</v>
      </c>
      <c r="P85" s="211">
        <f t="shared" si="3"/>
        <v>8</v>
      </c>
      <c r="Q85" s="86">
        <f>P85/15*100</f>
        <v>53.333333333333336</v>
      </c>
      <c r="R85" s="4"/>
      <c r="S85" s="2"/>
      <c r="T85" s="2"/>
      <c r="U85" s="2"/>
      <c r="V85" s="2">
        <v>0</v>
      </c>
      <c r="W85" s="2">
        <f>8/15*100</f>
        <v>53.333333333333336</v>
      </c>
      <c r="X85" s="107">
        <v>0.53</v>
      </c>
      <c r="Y85" s="2" t="s">
        <v>230</v>
      </c>
      <c r="Z85" s="2">
        <v>0</v>
      </c>
      <c r="AA85" s="200"/>
      <c r="AB85" s="2">
        <f t="shared" si="4"/>
        <v>8</v>
      </c>
      <c r="AC85" s="128">
        <f>AB85/15*100</f>
        <v>53.333333333333336</v>
      </c>
      <c r="AD85" s="2"/>
      <c r="AE85" s="226"/>
      <c r="AF85" s="2"/>
      <c r="AG85" s="2"/>
      <c r="AH85" s="2"/>
      <c r="AI85" s="127">
        <v>0</v>
      </c>
      <c r="AJ85" s="135"/>
      <c r="AK85" s="182"/>
      <c r="AL85" s="4"/>
      <c r="AM85" s="195"/>
      <c r="AN85" s="203"/>
      <c r="AO85" s="4"/>
      <c r="AP85" s="4">
        <f t="shared" si="5"/>
        <v>8</v>
      </c>
      <c r="AQ85" s="131">
        <f>AP85/15*100</f>
        <v>53.333333333333336</v>
      </c>
      <c r="AR85" s="219"/>
      <c r="AS85" s="127"/>
      <c r="AT85" s="127"/>
      <c r="AU85" s="127"/>
      <c r="AV85" s="2"/>
      <c r="AW85" s="2"/>
      <c r="AX85" s="2"/>
      <c r="AY85" s="2"/>
      <c r="AZ85" s="205"/>
      <c r="BA85" s="205"/>
      <c r="BB85" s="195"/>
      <c r="BC85" s="2"/>
      <c r="BD85" s="2"/>
    </row>
    <row r="86" spans="1:56" ht="113.25" customHeight="1">
      <c r="A86" s="9">
        <v>82</v>
      </c>
      <c r="B86" s="271"/>
      <c r="C86" s="268"/>
      <c r="D86" s="14" t="s">
        <v>157</v>
      </c>
      <c r="E86" s="2"/>
      <c r="F86" s="14" t="s">
        <v>525</v>
      </c>
      <c r="G86" s="240"/>
      <c r="H86" s="108"/>
      <c r="I86" s="108"/>
      <c r="J86" s="108"/>
      <c r="K86" s="17">
        <v>5</v>
      </c>
      <c r="L86" s="16">
        <v>5</v>
      </c>
      <c r="M86" s="17">
        <v>5</v>
      </c>
      <c r="N86" s="88">
        <v>5</v>
      </c>
      <c r="O86" s="2">
        <v>0</v>
      </c>
      <c r="P86" s="211">
        <f t="shared" si="3"/>
        <v>20</v>
      </c>
      <c r="Q86" s="86">
        <f>P86/5*100</f>
        <v>400</v>
      </c>
      <c r="R86" s="4"/>
      <c r="S86" s="2"/>
      <c r="T86" s="2"/>
      <c r="U86" s="2"/>
      <c r="V86" s="2">
        <v>0</v>
      </c>
      <c r="W86" s="2">
        <v>100</v>
      </c>
      <c r="X86" s="107">
        <v>1</v>
      </c>
      <c r="Y86" s="2"/>
      <c r="Z86" s="2">
        <v>0</v>
      </c>
      <c r="AA86" s="200"/>
      <c r="AB86" s="2">
        <f t="shared" si="4"/>
        <v>20</v>
      </c>
      <c r="AC86" s="128">
        <f>AB86/5*100</f>
        <v>400</v>
      </c>
      <c r="AD86" s="2"/>
      <c r="AE86" s="226"/>
      <c r="AF86" s="2"/>
      <c r="AG86" s="2"/>
      <c r="AH86" s="2"/>
      <c r="AI86" s="127">
        <v>0</v>
      </c>
      <c r="AJ86" s="135"/>
      <c r="AK86" s="182"/>
      <c r="AL86" s="4"/>
      <c r="AM86" s="195"/>
      <c r="AN86" s="203"/>
      <c r="AO86" s="4"/>
      <c r="AP86" s="4">
        <f t="shared" si="5"/>
        <v>20</v>
      </c>
      <c r="AQ86" s="133">
        <f>AP86/5*100</f>
        <v>400</v>
      </c>
      <c r="AR86" s="127"/>
      <c r="AS86" s="127"/>
      <c r="AT86" s="127"/>
      <c r="AU86" s="127"/>
      <c r="AV86" s="2"/>
      <c r="AW86" s="2"/>
      <c r="AX86" s="2"/>
      <c r="AY86" s="2"/>
      <c r="AZ86" s="205"/>
      <c r="BA86" s="205"/>
      <c r="BB86" s="195"/>
      <c r="BC86" s="2"/>
      <c r="BD86" s="2"/>
    </row>
    <row r="87" spans="1:56" ht="103.5" customHeight="1">
      <c r="A87" s="9">
        <v>83</v>
      </c>
      <c r="B87" s="271"/>
      <c r="C87" s="268"/>
      <c r="D87" s="14" t="s">
        <v>158</v>
      </c>
      <c r="E87" s="2"/>
      <c r="F87" s="14" t="s">
        <v>159</v>
      </c>
      <c r="G87" s="240"/>
      <c r="H87" s="108"/>
      <c r="I87" s="108"/>
      <c r="J87" s="108"/>
      <c r="K87" s="17">
        <v>400</v>
      </c>
      <c r="L87" s="17">
        <v>200</v>
      </c>
      <c r="M87" s="17">
        <v>200</v>
      </c>
      <c r="N87" s="17">
        <v>1200</v>
      </c>
      <c r="O87" s="2"/>
      <c r="P87" s="211">
        <f t="shared" si="3"/>
        <v>2000</v>
      </c>
      <c r="Q87" s="86">
        <f>P87/2000*100</f>
        <v>100</v>
      </c>
      <c r="R87" s="4"/>
      <c r="S87" s="2"/>
      <c r="T87" s="2"/>
      <c r="U87" s="2"/>
      <c r="V87" s="2">
        <v>0</v>
      </c>
      <c r="W87" s="2">
        <f>2000/2000*100</f>
        <v>100</v>
      </c>
      <c r="X87" s="107">
        <v>1</v>
      </c>
      <c r="Y87" s="2"/>
      <c r="Z87" s="2">
        <v>0</v>
      </c>
      <c r="AA87" s="200"/>
      <c r="AB87" s="2">
        <f t="shared" si="4"/>
        <v>2000</v>
      </c>
      <c r="AC87" s="128">
        <f>AB87/2000*100</f>
        <v>100</v>
      </c>
      <c r="AD87" s="2"/>
      <c r="AE87" s="226"/>
      <c r="AF87" s="2"/>
      <c r="AG87" s="2"/>
      <c r="AH87" s="2"/>
      <c r="AI87" s="127">
        <v>0</v>
      </c>
      <c r="AJ87" s="135"/>
      <c r="AK87" s="182"/>
      <c r="AL87" s="4"/>
      <c r="AM87" s="195"/>
      <c r="AN87" s="203"/>
      <c r="AO87" s="4"/>
      <c r="AP87" s="4">
        <f t="shared" si="5"/>
        <v>2000</v>
      </c>
      <c r="AQ87" s="133">
        <f>AP87/2000*100</f>
        <v>100</v>
      </c>
      <c r="AR87" s="127"/>
      <c r="AS87" s="127"/>
      <c r="AT87" s="127"/>
      <c r="AU87" s="127"/>
      <c r="AV87" s="2"/>
      <c r="AW87" s="2"/>
      <c r="AX87" s="2"/>
      <c r="AY87" s="2"/>
      <c r="AZ87" s="205"/>
      <c r="BA87" s="205"/>
      <c r="BB87" s="195"/>
      <c r="BC87" s="2"/>
      <c r="BD87" s="2"/>
    </row>
    <row r="88" spans="1:56" ht="103.5" customHeight="1">
      <c r="A88" s="9">
        <v>84</v>
      </c>
      <c r="B88" s="271"/>
      <c r="C88" s="268"/>
      <c r="D88" s="14" t="s">
        <v>160</v>
      </c>
      <c r="E88" s="2"/>
      <c r="F88" s="14" t="s">
        <v>161</v>
      </c>
      <c r="G88" s="240"/>
      <c r="H88" s="108"/>
      <c r="I88" s="108"/>
      <c r="J88" s="108"/>
      <c r="K88" s="17">
        <v>1</v>
      </c>
      <c r="L88" s="16">
        <v>1</v>
      </c>
      <c r="M88" s="17">
        <v>1</v>
      </c>
      <c r="N88" s="17">
        <v>1</v>
      </c>
      <c r="O88" s="2">
        <v>0</v>
      </c>
      <c r="P88" s="211">
        <f t="shared" si="3"/>
        <v>4</v>
      </c>
      <c r="Q88" s="86">
        <f>P88/5*100</f>
        <v>80</v>
      </c>
      <c r="R88" s="4"/>
      <c r="S88" s="2"/>
      <c r="T88" s="2"/>
      <c r="U88" s="2"/>
      <c r="V88" s="2">
        <v>0</v>
      </c>
      <c r="W88" s="2">
        <f>4/5*100</f>
        <v>80</v>
      </c>
      <c r="X88" s="107">
        <v>0.8</v>
      </c>
      <c r="Y88" s="4" t="s">
        <v>235</v>
      </c>
      <c r="Z88" s="4">
        <v>0</v>
      </c>
      <c r="AA88" s="4"/>
      <c r="AB88" s="2">
        <f t="shared" si="4"/>
        <v>4</v>
      </c>
      <c r="AC88" s="128">
        <f>AB88/5*100</f>
        <v>80</v>
      </c>
      <c r="AD88" s="2"/>
      <c r="AE88" s="226"/>
      <c r="AF88" s="2"/>
      <c r="AG88" s="2"/>
      <c r="AH88" s="2"/>
      <c r="AI88" s="127">
        <v>0</v>
      </c>
      <c r="AJ88" s="135"/>
      <c r="AK88" s="182"/>
      <c r="AL88" s="4"/>
      <c r="AM88" s="195"/>
      <c r="AN88" s="203"/>
      <c r="AO88" s="4"/>
      <c r="AP88" s="4">
        <f t="shared" si="5"/>
        <v>4</v>
      </c>
      <c r="AQ88" s="133">
        <f>AP88/5*100</f>
        <v>80</v>
      </c>
      <c r="AR88" s="127"/>
      <c r="AS88" s="127"/>
      <c r="AT88" s="127"/>
      <c r="AU88" s="127"/>
      <c r="AV88" s="2"/>
      <c r="AW88" s="2"/>
      <c r="AX88" s="2"/>
      <c r="AY88" s="2"/>
      <c r="AZ88" s="205"/>
      <c r="BA88" s="205"/>
      <c r="BB88" s="195"/>
      <c r="BC88" s="2"/>
      <c r="BD88" s="2"/>
    </row>
    <row r="89" spans="1:56" ht="96" customHeight="1">
      <c r="A89" s="9">
        <v>85</v>
      </c>
      <c r="B89" s="272"/>
      <c r="C89" s="269"/>
      <c r="D89" s="14" t="s">
        <v>162</v>
      </c>
      <c r="E89" s="2"/>
      <c r="F89" s="14" t="s">
        <v>163</v>
      </c>
      <c r="G89" s="240"/>
      <c r="H89" s="108"/>
      <c r="I89" s="108"/>
      <c r="J89" s="108"/>
      <c r="K89" s="17">
        <v>40</v>
      </c>
      <c r="L89" s="17">
        <v>20</v>
      </c>
      <c r="M89" s="17">
        <v>20</v>
      </c>
      <c r="N89" s="17">
        <v>20</v>
      </c>
      <c r="O89" s="2"/>
      <c r="P89" s="211">
        <f t="shared" si="3"/>
        <v>100</v>
      </c>
      <c r="Q89" s="86">
        <f>P89/200*100</f>
        <v>50</v>
      </c>
      <c r="R89" s="4"/>
      <c r="S89" s="2"/>
      <c r="T89" s="2"/>
      <c r="U89" s="2"/>
      <c r="V89" s="2">
        <v>0</v>
      </c>
      <c r="W89" s="2">
        <f>100/200*100</f>
        <v>50</v>
      </c>
      <c r="X89" s="107">
        <v>0.5</v>
      </c>
      <c r="Y89" s="2" t="s">
        <v>230</v>
      </c>
      <c r="Z89" s="2">
        <v>0</v>
      </c>
      <c r="AA89" s="200"/>
      <c r="AB89" s="2">
        <f t="shared" si="4"/>
        <v>100</v>
      </c>
      <c r="AC89" s="128">
        <f>AB89/200*100</f>
        <v>50</v>
      </c>
      <c r="AD89" s="2"/>
      <c r="AE89" s="217"/>
      <c r="AF89" s="2"/>
      <c r="AG89" s="2"/>
      <c r="AH89" s="2"/>
      <c r="AI89" s="127">
        <v>0</v>
      </c>
      <c r="AJ89" s="135"/>
      <c r="AK89" s="182"/>
      <c r="AL89" s="4"/>
      <c r="AM89" s="195"/>
      <c r="AN89" s="203"/>
      <c r="AO89" s="4"/>
      <c r="AP89" s="4">
        <f t="shared" si="5"/>
        <v>100</v>
      </c>
      <c r="AQ89" s="131">
        <f>AP89/200*100</f>
        <v>50</v>
      </c>
      <c r="AR89" s="4" t="s">
        <v>418</v>
      </c>
      <c r="AS89" s="127"/>
      <c r="AT89" s="127"/>
      <c r="AU89" s="127"/>
      <c r="AV89" s="2"/>
      <c r="AW89" s="2"/>
      <c r="AX89" s="2"/>
      <c r="AY89" s="2"/>
      <c r="AZ89" s="205"/>
      <c r="BA89" s="205"/>
      <c r="BB89" s="195"/>
      <c r="BC89" s="2"/>
      <c r="BD89" s="2"/>
    </row>
    <row r="90" spans="1:56" ht="90.75" customHeight="1" thickBot="1">
      <c r="A90" s="9">
        <v>86</v>
      </c>
      <c r="B90" s="267" t="s">
        <v>225</v>
      </c>
      <c r="C90" s="267" t="s">
        <v>224</v>
      </c>
      <c r="D90" s="14" t="s">
        <v>164</v>
      </c>
      <c r="E90" s="2"/>
      <c r="F90" s="14" t="s">
        <v>165</v>
      </c>
      <c r="G90" s="256" t="s">
        <v>166</v>
      </c>
      <c r="H90" s="116"/>
      <c r="I90" s="116"/>
      <c r="J90" s="116"/>
      <c r="K90" s="102">
        <v>0</v>
      </c>
      <c r="L90" s="103">
        <v>0</v>
      </c>
      <c r="M90" s="104">
        <v>0</v>
      </c>
      <c r="N90" s="104">
        <v>0</v>
      </c>
      <c r="O90" s="96">
        <v>2</v>
      </c>
      <c r="P90" s="211">
        <f t="shared" si="3"/>
        <v>2</v>
      </c>
      <c r="Q90" s="86">
        <f>P90/4*100</f>
        <v>50</v>
      </c>
      <c r="R90" s="216" t="s">
        <v>505</v>
      </c>
      <c r="S90" s="95"/>
      <c r="T90" s="95"/>
      <c r="U90" s="95"/>
      <c r="V90" s="96">
        <v>3</v>
      </c>
      <c r="W90" s="95">
        <f>4/4*100</f>
        <v>100</v>
      </c>
      <c r="X90" s="97">
        <v>1</v>
      </c>
      <c r="Y90" s="95"/>
      <c r="Z90" s="95">
        <v>1</v>
      </c>
      <c r="AA90" s="216" t="s">
        <v>505</v>
      </c>
      <c r="AB90" s="2">
        <f t="shared" si="4"/>
        <v>6</v>
      </c>
      <c r="AC90" s="128">
        <f>AB90/4*100</f>
        <v>150</v>
      </c>
      <c r="AD90" s="2" t="s">
        <v>505</v>
      </c>
      <c r="AE90" s="216"/>
      <c r="AF90" s="2"/>
      <c r="AG90" s="2"/>
      <c r="AH90" s="2"/>
      <c r="AI90" s="127">
        <v>0</v>
      </c>
      <c r="AJ90" s="135">
        <v>4</v>
      </c>
      <c r="AK90" s="182"/>
      <c r="AL90" s="218" t="s">
        <v>439</v>
      </c>
      <c r="AM90" s="195"/>
      <c r="AN90" s="203"/>
      <c r="AO90" s="218"/>
      <c r="AP90" s="4">
        <f t="shared" si="5"/>
        <v>10</v>
      </c>
      <c r="AQ90" s="133">
        <f>AP90/4*100</f>
        <v>250</v>
      </c>
      <c r="AR90" s="4"/>
      <c r="AS90" s="127"/>
      <c r="AT90" s="127"/>
      <c r="AU90" s="127"/>
      <c r="AV90" s="2"/>
      <c r="AW90" s="2"/>
      <c r="AX90" s="2"/>
      <c r="AY90" s="2"/>
      <c r="AZ90" s="205"/>
      <c r="BA90" s="205"/>
      <c r="BB90" s="195"/>
      <c r="BC90" s="2"/>
      <c r="BD90" s="2"/>
    </row>
    <row r="91" spans="1:56" ht="111.75" customHeight="1" thickBot="1">
      <c r="A91" s="9">
        <v>87</v>
      </c>
      <c r="B91" s="268"/>
      <c r="C91" s="268"/>
      <c r="D91" s="14" t="s">
        <v>167</v>
      </c>
      <c r="E91" s="2"/>
      <c r="F91" s="14" t="s">
        <v>175</v>
      </c>
      <c r="G91" s="257"/>
      <c r="H91" s="120"/>
      <c r="I91" s="120"/>
      <c r="J91" s="120"/>
      <c r="K91" s="19">
        <v>0</v>
      </c>
      <c r="L91" s="16">
        <v>0</v>
      </c>
      <c r="M91" s="17">
        <v>1</v>
      </c>
      <c r="N91" s="17">
        <v>0</v>
      </c>
      <c r="O91" s="2">
        <v>0</v>
      </c>
      <c r="P91" s="211">
        <f t="shared" si="3"/>
        <v>1</v>
      </c>
      <c r="Q91" s="86">
        <f>P91/7*100</f>
        <v>14.285714285714285</v>
      </c>
      <c r="R91" s="226"/>
      <c r="S91" s="2"/>
      <c r="T91" s="2"/>
      <c r="U91" s="2"/>
      <c r="V91" s="2">
        <v>0</v>
      </c>
      <c r="W91" s="2">
        <f>1/7*100</f>
        <v>14.285714285714285</v>
      </c>
      <c r="X91" s="10">
        <v>0.14</v>
      </c>
      <c r="Y91" s="2" t="s">
        <v>230</v>
      </c>
      <c r="Z91" s="2">
        <v>3</v>
      </c>
      <c r="AA91" s="226"/>
      <c r="AB91" s="2">
        <f t="shared" si="4"/>
        <v>4</v>
      </c>
      <c r="AC91" s="128">
        <f>AB91/7*100</f>
        <v>57.14285714285714</v>
      </c>
      <c r="AD91" s="2" t="s">
        <v>505</v>
      </c>
      <c r="AE91" s="226"/>
      <c r="AF91" s="2"/>
      <c r="AG91" s="2"/>
      <c r="AH91" s="2"/>
      <c r="AI91" s="127">
        <v>0</v>
      </c>
      <c r="AJ91" s="135"/>
      <c r="AK91" s="182"/>
      <c r="AL91" s="219"/>
      <c r="AM91" s="195"/>
      <c r="AN91" s="203"/>
      <c r="AO91" s="219"/>
      <c r="AP91" s="4">
        <f t="shared" si="5"/>
        <v>4</v>
      </c>
      <c r="AQ91" s="131">
        <f>AP91/7*100</f>
        <v>57.14285714285714</v>
      </c>
      <c r="AR91" s="4" t="s">
        <v>419</v>
      </c>
      <c r="AS91" s="4"/>
      <c r="AT91" s="127"/>
      <c r="AU91" s="127"/>
      <c r="AV91" s="2"/>
      <c r="AW91" s="2"/>
      <c r="AX91" s="2"/>
      <c r="AY91" s="2"/>
      <c r="AZ91" s="205"/>
      <c r="BA91" s="205"/>
      <c r="BB91" s="195"/>
      <c r="BC91" s="2"/>
      <c r="BD91" s="2"/>
    </row>
    <row r="92" spans="1:55" ht="51" customHeight="1" thickBot="1">
      <c r="A92" s="9">
        <v>88</v>
      </c>
      <c r="B92" s="268"/>
      <c r="C92" s="268"/>
      <c r="D92" s="14" t="s">
        <v>168</v>
      </c>
      <c r="E92" s="2"/>
      <c r="F92" s="14"/>
      <c r="G92" s="257"/>
      <c r="H92" s="120"/>
      <c r="I92" s="120"/>
      <c r="J92" s="120"/>
      <c r="K92" s="19">
        <v>0</v>
      </c>
      <c r="L92" s="16">
        <v>0</v>
      </c>
      <c r="M92" s="17">
        <v>0</v>
      </c>
      <c r="N92" s="17">
        <v>0</v>
      </c>
      <c r="O92" s="2">
        <v>0</v>
      </c>
      <c r="P92" s="211">
        <f t="shared" si="3"/>
        <v>0</v>
      </c>
      <c r="Q92" s="86">
        <f>P92/1*100</f>
        <v>0</v>
      </c>
      <c r="R92" s="226"/>
      <c r="S92" s="2"/>
      <c r="T92" s="2"/>
      <c r="U92" s="2"/>
      <c r="V92" s="2">
        <v>0</v>
      </c>
      <c r="W92" s="2">
        <v>0</v>
      </c>
      <c r="X92" s="10">
        <v>0</v>
      </c>
      <c r="Y92" s="2" t="s">
        <v>230</v>
      </c>
      <c r="Z92" s="2">
        <v>1</v>
      </c>
      <c r="AA92" s="226"/>
      <c r="AB92" s="2">
        <f t="shared" si="4"/>
        <v>1</v>
      </c>
      <c r="AC92" s="128">
        <f>AB92/1*100</f>
        <v>100</v>
      </c>
      <c r="AD92" s="2" t="s">
        <v>505</v>
      </c>
      <c r="AE92" s="226"/>
      <c r="AF92" s="2"/>
      <c r="AG92" s="2"/>
      <c r="AH92" s="2"/>
      <c r="AI92" s="127">
        <v>0</v>
      </c>
      <c r="AJ92" s="135"/>
      <c r="AK92" s="182"/>
      <c r="AL92" s="4"/>
      <c r="AM92" s="195"/>
      <c r="AN92" s="203"/>
      <c r="AO92" s="4"/>
      <c r="AP92" s="4">
        <f t="shared" si="5"/>
        <v>1</v>
      </c>
      <c r="AQ92" s="133">
        <f>AP92/1*100</f>
        <v>100</v>
      </c>
      <c r="AR92" s="127"/>
      <c r="AS92" s="127"/>
      <c r="AT92" s="127"/>
      <c r="AU92" s="127"/>
      <c r="AV92" s="2"/>
      <c r="AW92" s="2"/>
      <c r="AX92" s="2"/>
      <c r="AY92" s="2"/>
      <c r="AZ92" s="205"/>
      <c r="BA92" s="205"/>
      <c r="BB92" s="195"/>
      <c r="BC92" s="2"/>
    </row>
    <row r="93" spans="1:56" ht="90.75" customHeight="1" thickBot="1">
      <c r="A93" s="9">
        <v>89</v>
      </c>
      <c r="B93" s="268"/>
      <c r="C93" s="268"/>
      <c r="D93" s="14" t="s">
        <v>169</v>
      </c>
      <c r="E93" s="2"/>
      <c r="F93" s="14" t="s">
        <v>165</v>
      </c>
      <c r="G93" s="257"/>
      <c r="H93" s="120"/>
      <c r="I93" s="120"/>
      <c r="J93" s="120"/>
      <c r="K93" s="19">
        <v>0</v>
      </c>
      <c r="L93" s="16">
        <v>0</v>
      </c>
      <c r="M93" s="17">
        <v>0</v>
      </c>
      <c r="N93" s="17">
        <v>0</v>
      </c>
      <c r="O93" s="2">
        <v>2</v>
      </c>
      <c r="P93" s="211">
        <f t="shared" si="3"/>
        <v>2</v>
      </c>
      <c r="Q93" s="86">
        <f>P93/4*100</f>
        <v>50</v>
      </c>
      <c r="R93" s="226"/>
      <c r="S93" s="2"/>
      <c r="T93" s="2"/>
      <c r="U93" s="2"/>
      <c r="V93" s="2">
        <v>0</v>
      </c>
      <c r="W93" s="2">
        <v>0</v>
      </c>
      <c r="X93" s="10">
        <v>0</v>
      </c>
      <c r="Y93" s="2" t="s">
        <v>230</v>
      </c>
      <c r="Z93" s="2">
        <v>1</v>
      </c>
      <c r="AA93" s="226"/>
      <c r="AB93" s="2">
        <f t="shared" si="4"/>
        <v>3</v>
      </c>
      <c r="AC93" s="128">
        <f>AB93/4*100</f>
        <v>75</v>
      </c>
      <c r="AD93" s="2" t="s">
        <v>505</v>
      </c>
      <c r="AE93" s="226"/>
      <c r="AF93" s="2"/>
      <c r="AG93" s="2"/>
      <c r="AH93" s="2"/>
      <c r="AI93" s="127">
        <v>0</v>
      </c>
      <c r="AJ93" s="135">
        <v>5</v>
      </c>
      <c r="AK93" s="182"/>
      <c r="AL93" s="218" t="s">
        <v>439</v>
      </c>
      <c r="AM93" s="195"/>
      <c r="AN93" s="203"/>
      <c r="AO93" s="218"/>
      <c r="AP93" s="4">
        <f t="shared" si="5"/>
        <v>8</v>
      </c>
      <c r="AQ93" s="133">
        <f>AP93/4*100</f>
        <v>200</v>
      </c>
      <c r="AR93" s="4"/>
      <c r="AS93" s="127"/>
      <c r="AT93" s="127"/>
      <c r="AU93" s="127"/>
      <c r="AV93" s="2"/>
      <c r="AW93" s="2"/>
      <c r="AX93" s="2"/>
      <c r="AY93" s="2"/>
      <c r="AZ93" s="205"/>
      <c r="BA93" s="205"/>
      <c r="BB93" s="195"/>
      <c r="BC93" s="2"/>
      <c r="BD93" s="2"/>
    </row>
    <row r="94" spans="1:56" ht="115.5" customHeight="1" thickBot="1">
      <c r="A94" s="9">
        <v>90</v>
      </c>
      <c r="B94" s="268"/>
      <c r="C94" s="268"/>
      <c r="D94" s="14" t="s">
        <v>167</v>
      </c>
      <c r="E94" s="2"/>
      <c r="F94" s="14" t="s">
        <v>175</v>
      </c>
      <c r="G94" s="257"/>
      <c r="H94" s="120"/>
      <c r="I94" s="120"/>
      <c r="J94" s="120"/>
      <c r="K94" s="19">
        <v>0</v>
      </c>
      <c r="L94" s="16">
        <v>0</v>
      </c>
      <c r="M94" s="17">
        <v>1</v>
      </c>
      <c r="N94" s="17">
        <v>0</v>
      </c>
      <c r="O94" s="2">
        <v>0</v>
      </c>
      <c r="P94" s="211">
        <f t="shared" si="3"/>
        <v>1</v>
      </c>
      <c r="Q94" s="86">
        <f>P94/7*100</f>
        <v>14.285714285714285</v>
      </c>
      <c r="R94" s="217"/>
      <c r="S94" s="2"/>
      <c r="T94" s="2"/>
      <c r="U94" s="2"/>
      <c r="V94" s="2">
        <v>0</v>
      </c>
      <c r="W94" s="2">
        <f>1/7*100</f>
        <v>14.285714285714285</v>
      </c>
      <c r="X94" s="10">
        <v>0.14</v>
      </c>
      <c r="Y94" s="2" t="s">
        <v>230</v>
      </c>
      <c r="Z94" s="2">
        <v>5</v>
      </c>
      <c r="AA94" s="217"/>
      <c r="AB94" s="2">
        <f t="shared" si="4"/>
        <v>6</v>
      </c>
      <c r="AC94" s="128">
        <f>AB94/7*100</f>
        <v>85.71428571428571</v>
      </c>
      <c r="AD94" s="2" t="s">
        <v>505</v>
      </c>
      <c r="AE94" s="226"/>
      <c r="AF94" s="2"/>
      <c r="AG94" s="2"/>
      <c r="AH94" s="2"/>
      <c r="AI94" s="127">
        <v>0</v>
      </c>
      <c r="AJ94" s="135"/>
      <c r="AK94" s="182"/>
      <c r="AL94" s="219"/>
      <c r="AM94" s="195"/>
      <c r="AN94" s="203"/>
      <c r="AO94" s="219"/>
      <c r="AP94" s="4">
        <f t="shared" si="5"/>
        <v>6</v>
      </c>
      <c r="AQ94" s="133">
        <f>AP94/7*100</f>
        <v>85.71428571428571</v>
      </c>
      <c r="AR94" s="127"/>
      <c r="AS94" s="127"/>
      <c r="AT94" s="127"/>
      <c r="AU94" s="127"/>
      <c r="AV94" s="2"/>
      <c r="AW94" s="2"/>
      <c r="AX94" s="2"/>
      <c r="AY94" s="2"/>
      <c r="AZ94" s="205"/>
      <c r="BA94" s="205"/>
      <c r="BB94" s="195"/>
      <c r="BC94" s="2"/>
      <c r="BD94" s="2"/>
    </row>
    <row r="95" spans="1:56" ht="97.5" customHeight="1" thickBot="1">
      <c r="A95" s="9">
        <v>91</v>
      </c>
      <c r="B95" s="268"/>
      <c r="C95" s="268"/>
      <c r="D95" s="14" t="s">
        <v>404</v>
      </c>
      <c r="E95" s="2"/>
      <c r="F95" s="14" t="s">
        <v>171</v>
      </c>
      <c r="G95" s="257"/>
      <c r="H95" s="120"/>
      <c r="I95" s="120"/>
      <c r="J95" s="120"/>
      <c r="K95" s="19">
        <v>0</v>
      </c>
      <c r="L95" s="16">
        <v>0</v>
      </c>
      <c r="M95" s="17">
        <v>0</v>
      </c>
      <c r="N95" s="17">
        <v>0</v>
      </c>
      <c r="O95" s="2">
        <v>3</v>
      </c>
      <c r="P95" s="211">
        <f t="shared" si="3"/>
        <v>3</v>
      </c>
      <c r="Q95" s="86">
        <f>P95/4*100</f>
        <v>75</v>
      </c>
      <c r="R95" s="4" t="s">
        <v>505</v>
      </c>
      <c r="S95" s="2"/>
      <c r="T95" s="2"/>
      <c r="U95" s="2"/>
      <c r="V95" s="2">
        <v>0</v>
      </c>
      <c r="W95" s="2">
        <v>0</v>
      </c>
      <c r="X95" s="10">
        <v>0</v>
      </c>
      <c r="Y95" s="2" t="s">
        <v>230</v>
      </c>
      <c r="Z95" s="2">
        <v>0</v>
      </c>
      <c r="AA95" s="200"/>
      <c r="AB95" s="2">
        <f t="shared" si="4"/>
        <v>3</v>
      </c>
      <c r="AC95" s="128">
        <f>AB95/4*100</f>
        <v>75</v>
      </c>
      <c r="AD95" s="2"/>
      <c r="AE95" s="226"/>
      <c r="AF95" s="2"/>
      <c r="AG95" s="2"/>
      <c r="AH95" s="2"/>
      <c r="AI95" s="127">
        <v>0</v>
      </c>
      <c r="AJ95" s="135"/>
      <c r="AK95" s="182"/>
      <c r="AL95" s="4"/>
      <c r="AM95" s="195"/>
      <c r="AN95" s="203"/>
      <c r="AO95" s="4"/>
      <c r="AP95" s="4">
        <f t="shared" si="5"/>
        <v>3</v>
      </c>
      <c r="AQ95" s="134">
        <f>AP95/4*100</f>
        <v>75</v>
      </c>
      <c r="AR95" s="218" t="s">
        <v>526</v>
      </c>
      <c r="AS95" s="127"/>
      <c r="AT95" s="127"/>
      <c r="AU95" s="127"/>
      <c r="AV95" s="2"/>
      <c r="AW95" s="2"/>
      <c r="AX95" s="2"/>
      <c r="AY95" s="2"/>
      <c r="AZ95" s="205"/>
      <c r="BA95" s="205"/>
      <c r="BB95" s="195"/>
      <c r="BC95" s="2"/>
      <c r="BD95" s="2"/>
    </row>
    <row r="96" spans="1:56" ht="130.5" customHeight="1" thickBot="1">
      <c r="A96" s="9">
        <v>92</v>
      </c>
      <c r="B96" s="268"/>
      <c r="C96" s="268"/>
      <c r="D96" s="14" t="s">
        <v>172</v>
      </c>
      <c r="E96" s="2"/>
      <c r="F96" s="14" t="s">
        <v>175</v>
      </c>
      <c r="G96" s="257"/>
      <c r="H96" s="120"/>
      <c r="I96" s="120"/>
      <c r="J96" s="120"/>
      <c r="K96" s="19">
        <v>0</v>
      </c>
      <c r="L96" s="16">
        <v>0</v>
      </c>
      <c r="M96" s="17">
        <v>1</v>
      </c>
      <c r="N96" s="17">
        <v>0</v>
      </c>
      <c r="O96" s="2">
        <v>0</v>
      </c>
      <c r="P96" s="211">
        <f t="shared" si="3"/>
        <v>1</v>
      </c>
      <c r="Q96" s="86">
        <f>P96/7*100</f>
        <v>14.285714285714285</v>
      </c>
      <c r="R96" s="4"/>
      <c r="S96" s="2"/>
      <c r="T96" s="2"/>
      <c r="U96" s="2"/>
      <c r="V96" s="2">
        <v>0</v>
      </c>
      <c r="W96" s="2">
        <f>1/7*100</f>
        <v>14.285714285714285</v>
      </c>
      <c r="X96" s="10">
        <v>0.14</v>
      </c>
      <c r="Y96" s="2" t="s">
        <v>230</v>
      </c>
      <c r="Z96" s="2">
        <v>0</v>
      </c>
      <c r="AA96" s="200"/>
      <c r="AB96" s="2">
        <f t="shared" si="4"/>
        <v>1</v>
      </c>
      <c r="AC96" s="128">
        <f>AB96/7*100</f>
        <v>14.285714285714285</v>
      </c>
      <c r="AD96" s="2"/>
      <c r="AE96" s="226"/>
      <c r="AF96" s="2"/>
      <c r="AG96" s="2"/>
      <c r="AH96" s="2"/>
      <c r="AI96" s="127">
        <v>0</v>
      </c>
      <c r="AJ96" s="135"/>
      <c r="AK96" s="182"/>
      <c r="AL96" s="4"/>
      <c r="AM96" s="195"/>
      <c r="AN96" s="203"/>
      <c r="AO96" s="4"/>
      <c r="AP96" s="4">
        <f t="shared" si="5"/>
        <v>1</v>
      </c>
      <c r="AQ96" s="130">
        <f>AP96/7*100</f>
        <v>14.285714285714285</v>
      </c>
      <c r="AR96" s="219"/>
      <c r="AS96" s="127"/>
      <c r="AT96" s="127"/>
      <c r="AU96" s="127"/>
      <c r="AV96" s="2"/>
      <c r="AW96" s="2"/>
      <c r="AX96" s="2"/>
      <c r="AY96" s="2"/>
      <c r="AZ96" s="205"/>
      <c r="BA96" s="205"/>
      <c r="BB96" s="195"/>
      <c r="BC96" s="2"/>
      <c r="BD96" s="2"/>
    </row>
    <row r="97" spans="1:56" ht="114" customHeight="1" thickBot="1">
      <c r="A97" s="9">
        <v>93</v>
      </c>
      <c r="B97" s="268"/>
      <c r="C97" s="268"/>
      <c r="D97" s="14" t="s">
        <v>173</v>
      </c>
      <c r="E97" s="2"/>
      <c r="F97" s="14" t="s">
        <v>527</v>
      </c>
      <c r="G97" s="257"/>
      <c r="H97" s="120"/>
      <c r="I97" s="120"/>
      <c r="J97" s="120"/>
      <c r="K97" s="19">
        <v>0</v>
      </c>
      <c r="L97" s="16">
        <v>0</v>
      </c>
      <c r="M97" s="17">
        <v>0</v>
      </c>
      <c r="N97" s="17">
        <v>0</v>
      </c>
      <c r="O97" s="2"/>
      <c r="P97" s="211">
        <f t="shared" si="3"/>
        <v>0</v>
      </c>
      <c r="Q97" s="86">
        <f>P97/4*100</f>
        <v>0</v>
      </c>
      <c r="R97" s="4"/>
      <c r="S97" s="2"/>
      <c r="T97" s="2"/>
      <c r="U97" s="2"/>
      <c r="V97" s="2">
        <v>0</v>
      </c>
      <c r="W97" s="2">
        <v>0</v>
      </c>
      <c r="X97" s="10">
        <v>0</v>
      </c>
      <c r="Y97" s="2" t="s">
        <v>230</v>
      </c>
      <c r="Z97" s="2">
        <v>0</v>
      </c>
      <c r="AA97" s="200"/>
      <c r="AB97" s="2">
        <f t="shared" si="4"/>
        <v>0</v>
      </c>
      <c r="AC97" s="128">
        <f>AB97/4*100</f>
        <v>0</v>
      </c>
      <c r="AD97" s="2"/>
      <c r="AE97" s="226"/>
      <c r="AF97" s="2"/>
      <c r="AG97" s="2"/>
      <c r="AH97" s="2"/>
      <c r="AI97" s="127">
        <v>0</v>
      </c>
      <c r="AJ97" s="135"/>
      <c r="AK97" s="182">
        <v>2</v>
      </c>
      <c r="AL97" s="218" t="s">
        <v>427</v>
      </c>
      <c r="AM97" s="195"/>
      <c r="AN97" s="203"/>
      <c r="AO97" s="218"/>
      <c r="AP97" s="4">
        <f t="shared" si="5"/>
        <v>2</v>
      </c>
      <c r="AQ97" s="131">
        <f>AP97/4*100</f>
        <v>50</v>
      </c>
      <c r="AR97" s="218" t="s">
        <v>526</v>
      </c>
      <c r="AS97" s="127">
        <v>20000000</v>
      </c>
      <c r="AT97" s="127">
        <v>2000000</v>
      </c>
      <c r="AU97" s="127"/>
      <c r="AV97" s="2"/>
      <c r="AW97" s="2"/>
      <c r="AX97" s="2"/>
      <c r="AY97" s="2"/>
      <c r="AZ97" s="205"/>
      <c r="BA97" s="205"/>
      <c r="BB97" s="195"/>
      <c r="BC97" s="2"/>
      <c r="BD97" s="2"/>
    </row>
    <row r="98" spans="1:56" ht="110.25">
      <c r="A98" s="9">
        <v>94</v>
      </c>
      <c r="B98" s="268"/>
      <c r="C98" s="269"/>
      <c r="D98" s="14" t="s">
        <v>174</v>
      </c>
      <c r="E98" s="2"/>
      <c r="F98" s="14" t="s">
        <v>175</v>
      </c>
      <c r="G98" s="257"/>
      <c r="H98" s="120"/>
      <c r="I98" s="120"/>
      <c r="J98" s="120"/>
      <c r="K98" s="19">
        <v>0</v>
      </c>
      <c r="L98" s="16">
        <v>0</v>
      </c>
      <c r="M98" s="17">
        <v>1</v>
      </c>
      <c r="N98" s="17">
        <v>0</v>
      </c>
      <c r="O98" s="2"/>
      <c r="P98" s="211">
        <f t="shared" si="3"/>
        <v>1</v>
      </c>
      <c r="Q98" s="86">
        <f>P98/7*100</f>
        <v>14.285714285714285</v>
      </c>
      <c r="R98" s="4"/>
      <c r="S98" s="2"/>
      <c r="T98" s="2"/>
      <c r="U98" s="2"/>
      <c r="V98" s="2">
        <v>0</v>
      </c>
      <c r="W98" s="2">
        <f>1/7*100</f>
        <v>14.285714285714285</v>
      </c>
      <c r="X98" s="10">
        <v>0.14</v>
      </c>
      <c r="Y98" s="2" t="s">
        <v>230</v>
      </c>
      <c r="Z98" s="2">
        <v>0</v>
      </c>
      <c r="AA98" s="200"/>
      <c r="AB98" s="2">
        <f t="shared" si="4"/>
        <v>1</v>
      </c>
      <c r="AC98" s="128">
        <f>AB98/7*100</f>
        <v>14.285714285714285</v>
      </c>
      <c r="AD98" s="2"/>
      <c r="AE98" s="217"/>
      <c r="AF98" s="2"/>
      <c r="AG98" s="2"/>
      <c r="AH98" s="2"/>
      <c r="AI98" s="127">
        <v>0</v>
      </c>
      <c r="AJ98" s="135"/>
      <c r="AK98" s="182">
        <v>1</v>
      </c>
      <c r="AL98" s="219"/>
      <c r="AM98" s="195"/>
      <c r="AN98" s="203"/>
      <c r="AO98" s="219"/>
      <c r="AP98" s="4">
        <f t="shared" si="5"/>
        <v>2</v>
      </c>
      <c r="AQ98" s="130">
        <f>AP98/7*100</f>
        <v>28.57142857142857</v>
      </c>
      <c r="AR98" s="219"/>
      <c r="AS98" s="127"/>
      <c r="AT98" s="127"/>
      <c r="AU98" s="127"/>
      <c r="AV98" s="2"/>
      <c r="AW98" s="2"/>
      <c r="AX98" s="2"/>
      <c r="AY98" s="2"/>
      <c r="AZ98" s="205"/>
      <c r="BA98" s="205"/>
      <c r="BB98" s="195"/>
      <c r="BC98" s="2"/>
      <c r="BD98" s="2"/>
    </row>
    <row r="99" spans="1:56" ht="117.75" customHeight="1">
      <c r="A99" s="9">
        <v>95</v>
      </c>
      <c r="B99" s="268"/>
      <c r="C99" s="267" t="s">
        <v>226</v>
      </c>
      <c r="D99" s="14" t="s">
        <v>176</v>
      </c>
      <c r="E99" s="2"/>
      <c r="F99" s="14" t="s">
        <v>177</v>
      </c>
      <c r="G99" s="241" t="s">
        <v>178</v>
      </c>
      <c r="H99" s="109"/>
      <c r="I99" s="109"/>
      <c r="J99" s="109"/>
      <c r="K99" s="17">
        <v>24</v>
      </c>
      <c r="L99" s="16">
        <v>0</v>
      </c>
      <c r="M99" s="17">
        <v>12</v>
      </c>
      <c r="N99" s="17">
        <v>12</v>
      </c>
      <c r="O99" s="2"/>
      <c r="P99" s="211">
        <f t="shared" si="3"/>
        <v>48</v>
      </c>
      <c r="Q99" s="86">
        <f>P99/120*100</f>
        <v>40</v>
      </c>
      <c r="R99" s="4"/>
      <c r="S99" s="2"/>
      <c r="T99" s="2"/>
      <c r="U99" s="2"/>
      <c r="V99" s="2">
        <v>0</v>
      </c>
      <c r="W99" s="2">
        <f>48/120*100</f>
        <v>40</v>
      </c>
      <c r="X99" s="10">
        <v>0.4</v>
      </c>
      <c r="Y99" s="2" t="s">
        <v>230</v>
      </c>
      <c r="Z99" s="2">
        <v>38</v>
      </c>
      <c r="AA99" s="216" t="s">
        <v>505</v>
      </c>
      <c r="AB99" s="2">
        <f t="shared" si="4"/>
        <v>86</v>
      </c>
      <c r="AC99" s="128">
        <f>AB99/120*100</f>
        <v>71.66666666666667</v>
      </c>
      <c r="AD99" s="2" t="s">
        <v>505</v>
      </c>
      <c r="AE99" s="216"/>
      <c r="AF99" s="2"/>
      <c r="AG99" s="2"/>
      <c r="AH99" s="2"/>
      <c r="AI99" s="127">
        <v>0</v>
      </c>
      <c r="AJ99" s="135"/>
      <c r="AK99" s="182">
        <v>1</v>
      </c>
      <c r="AL99" s="218" t="s">
        <v>429</v>
      </c>
      <c r="AM99" s="195">
        <v>1</v>
      </c>
      <c r="AN99" s="203"/>
      <c r="AO99" s="218" t="s">
        <v>433</v>
      </c>
      <c r="AP99" s="4">
        <f t="shared" si="5"/>
        <v>88</v>
      </c>
      <c r="AQ99" s="134">
        <f>AP99/120*100</f>
        <v>73.33333333333333</v>
      </c>
      <c r="AR99" s="127"/>
      <c r="AS99" s="127"/>
      <c r="AT99" s="127"/>
      <c r="AU99" s="127"/>
      <c r="AV99" s="2"/>
      <c r="AW99" s="2"/>
      <c r="AX99" s="2"/>
      <c r="AY99" s="2"/>
      <c r="AZ99" s="205"/>
      <c r="BA99" s="205"/>
      <c r="BB99" s="195"/>
      <c r="BC99" s="2"/>
      <c r="BD99" s="2"/>
    </row>
    <row r="100" spans="1:56" ht="120" customHeight="1">
      <c r="A100" s="9">
        <v>96</v>
      </c>
      <c r="B100" s="268"/>
      <c r="C100" s="269"/>
      <c r="D100" s="14" t="s">
        <v>179</v>
      </c>
      <c r="E100" s="2"/>
      <c r="F100" s="14" t="s">
        <v>180</v>
      </c>
      <c r="G100" s="241"/>
      <c r="H100" s="109"/>
      <c r="I100" s="109"/>
      <c r="J100" s="109"/>
      <c r="K100" s="15">
        <v>0</v>
      </c>
      <c r="L100" s="16">
        <v>0</v>
      </c>
      <c r="M100" s="15">
        <v>0</v>
      </c>
      <c r="N100" s="15">
        <v>0</v>
      </c>
      <c r="O100" s="2"/>
      <c r="P100" s="211">
        <f t="shared" si="3"/>
        <v>0</v>
      </c>
      <c r="Q100" s="86">
        <f>P100/10%*100</f>
        <v>0</v>
      </c>
      <c r="R100" s="4"/>
      <c r="S100" s="2"/>
      <c r="T100" s="2"/>
      <c r="U100" s="2"/>
      <c r="V100" s="2">
        <v>0</v>
      </c>
      <c r="W100" s="2"/>
      <c r="X100" s="10">
        <v>0</v>
      </c>
      <c r="Y100" s="2" t="s">
        <v>230</v>
      </c>
      <c r="Z100" s="2">
        <v>1692</v>
      </c>
      <c r="AA100" s="217"/>
      <c r="AB100" s="2">
        <f t="shared" si="4"/>
        <v>1692</v>
      </c>
      <c r="AC100" s="128">
        <f>AB100/10%*100</f>
        <v>1692000</v>
      </c>
      <c r="AD100" s="2"/>
      <c r="AE100" s="217"/>
      <c r="AF100" s="2"/>
      <c r="AG100" s="2"/>
      <c r="AH100" s="2"/>
      <c r="AI100" s="127">
        <v>0</v>
      </c>
      <c r="AJ100" s="135"/>
      <c r="AK100" s="182"/>
      <c r="AL100" s="219"/>
      <c r="AM100" s="195">
        <v>40</v>
      </c>
      <c r="AN100" s="203"/>
      <c r="AO100" s="219"/>
      <c r="AP100" s="4">
        <f t="shared" si="5"/>
        <v>1732</v>
      </c>
      <c r="AQ100" s="133">
        <f>AP100/10%*100</f>
        <v>1732000</v>
      </c>
      <c r="AR100" s="127"/>
      <c r="AS100" s="127"/>
      <c r="AT100" s="127"/>
      <c r="AU100" s="127"/>
      <c r="AV100" s="2"/>
      <c r="AW100" s="2"/>
      <c r="AX100" s="2"/>
      <c r="AY100" s="2"/>
      <c r="AZ100" s="205"/>
      <c r="BA100" s="205"/>
      <c r="BB100" s="195"/>
      <c r="BC100" s="2"/>
      <c r="BD100" s="2"/>
    </row>
    <row r="101" spans="1:56" ht="55.5" customHeight="1">
      <c r="A101" s="9">
        <v>97</v>
      </c>
      <c r="B101" s="268"/>
      <c r="C101" s="267" t="s">
        <v>227</v>
      </c>
      <c r="D101" s="14" t="s">
        <v>528</v>
      </c>
      <c r="E101" s="2"/>
      <c r="F101" s="14" t="s">
        <v>529</v>
      </c>
      <c r="G101" s="241" t="s">
        <v>181</v>
      </c>
      <c r="H101" s="109"/>
      <c r="I101" s="109"/>
      <c r="J101" s="109"/>
      <c r="K101" s="15">
        <v>0</v>
      </c>
      <c r="L101" s="16">
        <v>0</v>
      </c>
      <c r="M101" s="15">
        <v>0</v>
      </c>
      <c r="N101" s="15">
        <v>0</v>
      </c>
      <c r="O101" s="2"/>
      <c r="P101" s="211">
        <f t="shared" si="3"/>
        <v>0</v>
      </c>
      <c r="Q101" s="86">
        <f>P101/120*100</f>
        <v>0</v>
      </c>
      <c r="R101" s="4"/>
      <c r="S101" s="2"/>
      <c r="T101" s="2"/>
      <c r="U101" s="2"/>
      <c r="V101" s="2">
        <v>0</v>
      </c>
      <c r="W101" s="2"/>
      <c r="X101" s="10">
        <v>0</v>
      </c>
      <c r="Y101" s="2" t="s">
        <v>230</v>
      </c>
      <c r="Z101" s="2">
        <v>0</v>
      </c>
      <c r="AA101" s="200"/>
      <c r="AB101" s="2">
        <f t="shared" si="4"/>
        <v>0</v>
      </c>
      <c r="AC101" s="128">
        <f>AB101/120*100</f>
        <v>0</v>
      </c>
      <c r="AD101" s="2"/>
      <c r="AE101" s="216"/>
      <c r="AF101" s="2"/>
      <c r="AG101" s="2"/>
      <c r="AH101" s="2"/>
      <c r="AI101" s="127">
        <v>0</v>
      </c>
      <c r="AJ101" s="135"/>
      <c r="AK101" s="182"/>
      <c r="AL101" s="4"/>
      <c r="AM101" s="195"/>
      <c r="AN101" s="203"/>
      <c r="AO101" s="4"/>
      <c r="AP101" s="4">
        <f t="shared" si="5"/>
        <v>0</v>
      </c>
      <c r="AQ101" s="130">
        <f>AP101/120*100</f>
        <v>0</v>
      </c>
      <c r="AR101" s="218" t="s">
        <v>530</v>
      </c>
      <c r="AS101" s="127"/>
      <c r="AT101" s="127"/>
      <c r="AU101" s="127"/>
      <c r="AV101" s="2"/>
      <c r="AW101" s="2"/>
      <c r="AX101" s="2"/>
      <c r="AY101" s="2"/>
      <c r="AZ101" s="205"/>
      <c r="BA101" s="205"/>
      <c r="BB101" s="195"/>
      <c r="BC101" s="2"/>
      <c r="BD101" s="2"/>
    </row>
    <row r="102" spans="1:56" ht="96" customHeight="1">
      <c r="A102" s="9">
        <v>98</v>
      </c>
      <c r="B102" s="268"/>
      <c r="C102" s="268"/>
      <c r="D102" s="14" t="s">
        <v>182</v>
      </c>
      <c r="E102" s="2"/>
      <c r="F102" s="14" t="s">
        <v>360</v>
      </c>
      <c r="G102" s="241"/>
      <c r="H102" s="109"/>
      <c r="I102" s="109"/>
      <c r="J102" s="109"/>
      <c r="K102" s="15">
        <v>0</v>
      </c>
      <c r="L102" s="16">
        <v>0</v>
      </c>
      <c r="M102" s="15">
        <v>0</v>
      </c>
      <c r="N102" s="15">
        <v>0</v>
      </c>
      <c r="O102" s="2"/>
      <c r="P102" s="211">
        <f t="shared" si="3"/>
        <v>0</v>
      </c>
      <c r="Q102" s="86">
        <f>P102/20%*100</f>
        <v>0</v>
      </c>
      <c r="R102" s="4"/>
      <c r="S102" s="2"/>
      <c r="T102" s="2"/>
      <c r="U102" s="2"/>
      <c r="V102" s="2">
        <v>0</v>
      </c>
      <c r="W102" s="2"/>
      <c r="X102" s="10">
        <v>0</v>
      </c>
      <c r="Y102" s="2" t="s">
        <v>230</v>
      </c>
      <c r="Z102" s="2">
        <v>0</v>
      </c>
      <c r="AA102" s="200"/>
      <c r="AB102" s="2">
        <f t="shared" si="4"/>
        <v>0</v>
      </c>
      <c r="AC102" s="128">
        <f>AB102/20%*100</f>
        <v>0</v>
      </c>
      <c r="AD102" s="2"/>
      <c r="AE102" s="226"/>
      <c r="AF102" s="2"/>
      <c r="AG102" s="2"/>
      <c r="AH102" s="2"/>
      <c r="AI102" s="127">
        <v>0</v>
      </c>
      <c r="AJ102" s="135"/>
      <c r="AK102" s="182"/>
      <c r="AL102" s="4"/>
      <c r="AM102" s="195"/>
      <c r="AN102" s="203"/>
      <c r="AO102" s="4"/>
      <c r="AP102" s="4">
        <f t="shared" si="5"/>
        <v>0</v>
      </c>
      <c r="AQ102" s="130">
        <f>AP102/20%*100</f>
        <v>0</v>
      </c>
      <c r="AR102" s="219"/>
      <c r="AS102" s="127"/>
      <c r="AT102" s="127"/>
      <c r="AU102" s="127"/>
      <c r="AV102" s="2"/>
      <c r="AW102" s="2"/>
      <c r="AX102" s="2"/>
      <c r="AY102" s="2"/>
      <c r="AZ102" s="205"/>
      <c r="BA102" s="205"/>
      <c r="BB102" s="195"/>
      <c r="BC102" s="2"/>
      <c r="BD102" s="2"/>
    </row>
    <row r="103" spans="1:56" ht="100.5" customHeight="1">
      <c r="A103" s="9">
        <v>99</v>
      </c>
      <c r="B103" s="268"/>
      <c r="C103" s="268"/>
      <c r="D103" s="14" t="s">
        <v>361</v>
      </c>
      <c r="E103" s="2"/>
      <c r="F103" s="14" t="s">
        <v>183</v>
      </c>
      <c r="G103" s="241"/>
      <c r="H103" s="109"/>
      <c r="I103" s="109"/>
      <c r="J103" s="109"/>
      <c r="K103" s="15">
        <v>0</v>
      </c>
      <c r="L103" s="16">
        <v>0</v>
      </c>
      <c r="M103" s="15">
        <v>0</v>
      </c>
      <c r="N103" s="15">
        <v>2</v>
      </c>
      <c r="O103" s="2">
        <v>11</v>
      </c>
      <c r="P103" s="211">
        <f t="shared" si="3"/>
        <v>13</v>
      </c>
      <c r="Q103" s="86">
        <f>P103/120*100</f>
        <v>10.833333333333334</v>
      </c>
      <c r="R103" s="218" t="s">
        <v>238</v>
      </c>
      <c r="S103" s="2"/>
      <c r="T103" s="2"/>
      <c r="U103" s="2"/>
      <c r="V103" s="2">
        <v>0</v>
      </c>
      <c r="W103" s="2"/>
      <c r="X103" s="10">
        <v>0</v>
      </c>
      <c r="Y103" s="2" t="s">
        <v>230</v>
      </c>
      <c r="Z103" s="2">
        <v>19</v>
      </c>
      <c r="AA103" s="216" t="s">
        <v>238</v>
      </c>
      <c r="AB103" s="2">
        <f t="shared" si="4"/>
        <v>32</v>
      </c>
      <c r="AC103" s="128">
        <f>AB103/120*100</f>
        <v>26.666666666666668</v>
      </c>
      <c r="AD103" s="2"/>
      <c r="AE103" s="226"/>
      <c r="AF103" s="2"/>
      <c r="AG103" s="2"/>
      <c r="AH103" s="2"/>
      <c r="AI103" s="127">
        <v>2</v>
      </c>
      <c r="AJ103" s="135">
        <v>1</v>
      </c>
      <c r="AK103" s="182"/>
      <c r="AL103" s="218"/>
      <c r="AM103" s="195"/>
      <c r="AN103" s="203"/>
      <c r="AO103" s="218"/>
      <c r="AP103" s="4">
        <f t="shared" si="5"/>
        <v>35</v>
      </c>
      <c r="AQ103" s="130">
        <f>AP103/120*100</f>
        <v>29.166666666666668</v>
      </c>
      <c r="AR103" s="218"/>
      <c r="AS103" s="127"/>
      <c r="AT103" s="127"/>
      <c r="AU103" s="127"/>
      <c r="AV103" s="2"/>
      <c r="AW103" s="2"/>
      <c r="AX103" s="2"/>
      <c r="AY103" s="2"/>
      <c r="AZ103" s="205"/>
      <c r="BA103" s="205"/>
      <c r="BB103" s="195"/>
      <c r="BC103" s="2"/>
      <c r="BD103" s="2"/>
    </row>
    <row r="104" spans="1:56" ht="108" customHeight="1">
      <c r="A104" s="9">
        <v>100</v>
      </c>
      <c r="B104" s="268"/>
      <c r="C104" s="268"/>
      <c r="D104" s="14" t="s">
        <v>179</v>
      </c>
      <c r="E104" s="2"/>
      <c r="F104" s="14" t="s">
        <v>184</v>
      </c>
      <c r="G104" s="241"/>
      <c r="H104" s="109"/>
      <c r="I104" s="109"/>
      <c r="J104" s="109"/>
      <c r="K104" s="15">
        <v>0</v>
      </c>
      <c r="L104" s="16">
        <v>0</v>
      </c>
      <c r="M104" s="15">
        <v>0</v>
      </c>
      <c r="N104" s="15">
        <v>140</v>
      </c>
      <c r="O104" s="2">
        <v>770</v>
      </c>
      <c r="P104" s="211">
        <f t="shared" si="3"/>
        <v>910</v>
      </c>
      <c r="Q104" s="86">
        <f>P104/10%*100</f>
        <v>910000</v>
      </c>
      <c r="R104" s="219"/>
      <c r="S104" s="2"/>
      <c r="T104" s="2"/>
      <c r="U104" s="2"/>
      <c r="V104" s="2">
        <v>0</v>
      </c>
      <c r="W104" s="2"/>
      <c r="X104" s="10">
        <v>0</v>
      </c>
      <c r="Y104" s="2" t="s">
        <v>230</v>
      </c>
      <c r="Z104" s="2">
        <v>1007</v>
      </c>
      <c r="AA104" s="217"/>
      <c r="AB104" s="2">
        <f t="shared" si="4"/>
        <v>1917</v>
      </c>
      <c r="AC104" s="128">
        <f>AB104/10%*100</f>
        <v>1917000</v>
      </c>
      <c r="AD104" s="2"/>
      <c r="AE104" s="226"/>
      <c r="AF104" s="2"/>
      <c r="AG104" s="2"/>
      <c r="AH104" s="2"/>
      <c r="AI104" s="127">
        <v>58</v>
      </c>
      <c r="AJ104" s="135">
        <v>200</v>
      </c>
      <c r="AK104" s="182"/>
      <c r="AL104" s="219"/>
      <c r="AM104" s="195"/>
      <c r="AN104" s="203"/>
      <c r="AO104" s="219"/>
      <c r="AP104" s="4">
        <f t="shared" si="5"/>
        <v>2175</v>
      </c>
      <c r="AQ104" s="133">
        <f>AP104/10%*100</f>
        <v>2175000</v>
      </c>
      <c r="AR104" s="219"/>
      <c r="AS104" s="127"/>
      <c r="AT104" s="127"/>
      <c r="AU104" s="127"/>
      <c r="AV104" s="2"/>
      <c r="AW104" s="2"/>
      <c r="AX104" s="2"/>
      <c r="AY104" s="2"/>
      <c r="AZ104" s="205"/>
      <c r="BA104" s="205"/>
      <c r="BB104" s="195"/>
      <c r="BC104" s="2"/>
      <c r="BD104" s="2"/>
    </row>
    <row r="105" spans="1:56" ht="73.5" customHeight="1">
      <c r="A105" s="9">
        <v>101</v>
      </c>
      <c r="B105" s="268"/>
      <c r="C105" s="268"/>
      <c r="D105" s="14" t="s">
        <v>185</v>
      </c>
      <c r="E105" s="2"/>
      <c r="F105" s="14" t="s">
        <v>186</v>
      </c>
      <c r="G105" s="241"/>
      <c r="H105" s="109"/>
      <c r="I105" s="109"/>
      <c r="J105" s="109"/>
      <c r="K105" s="15">
        <v>0</v>
      </c>
      <c r="L105" s="16">
        <v>0</v>
      </c>
      <c r="M105" s="15">
        <v>0</v>
      </c>
      <c r="N105" s="15">
        <v>0</v>
      </c>
      <c r="O105" s="2">
        <v>1</v>
      </c>
      <c r="P105" s="211">
        <f t="shared" si="3"/>
        <v>1</v>
      </c>
      <c r="Q105" s="86">
        <f>P105/1*100</f>
        <v>100</v>
      </c>
      <c r="R105" s="218" t="s">
        <v>505</v>
      </c>
      <c r="S105" s="2"/>
      <c r="T105" s="2"/>
      <c r="U105" s="2"/>
      <c r="V105" s="2">
        <v>0</v>
      </c>
      <c r="W105" s="2">
        <f>1/1*100</f>
        <v>100</v>
      </c>
      <c r="X105" s="10">
        <v>1</v>
      </c>
      <c r="Y105" s="2" t="s">
        <v>230</v>
      </c>
      <c r="Z105" s="2">
        <v>1</v>
      </c>
      <c r="AA105" s="218" t="s">
        <v>531</v>
      </c>
      <c r="AB105" s="2">
        <f t="shared" si="4"/>
        <v>2</v>
      </c>
      <c r="AC105" s="128">
        <f>AB105/1*100</f>
        <v>200</v>
      </c>
      <c r="AD105" s="2" t="s">
        <v>531</v>
      </c>
      <c r="AE105" s="226"/>
      <c r="AF105" s="2"/>
      <c r="AG105" s="2"/>
      <c r="AH105" s="2"/>
      <c r="AI105" s="127">
        <v>0</v>
      </c>
      <c r="AJ105" s="135"/>
      <c r="AK105" s="182"/>
      <c r="AL105" s="4"/>
      <c r="AM105" s="195"/>
      <c r="AN105" s="203"/>
      <c r="AO105" s="4"/>
      <c r="AP105" s="4">
        <f t="shared" si="5"/>
        <v>2</v>
      </c>
      <c r="AQ105" s="133">
        <f>AP105/1*100</f>
        <v>200</v>
      </c>
      <c r="AR105" s="127"/>
      <c r="AS105" s="127"/>
      <c r="AT105" s="127"/>
      <c r="AU105" s="127"/>
      <c r="AV105" s="2"/>
      <c r="AW105" s="2"/>
      <c r="AX105" s="2"/>
      <c r="AY105" s="2"/>
      <c r="AZ105" s="205"/>
      <c r="BA105" s="205"/>
      <c r="BB105" s="195"/>
      <c r="BC105" s="2"/>
      <c r="BD105" s="2"/>
    </row>
    <row r="106" spans="1:56" ht="87" customHeight="1">
      <c r="A106" s="9">
        <v>102</v>
      </c>
      <c r="B106" s="268"/>
      <c r="C106" s="269"/>
      <c r="D106" s="14" t="s">
        <v>405</v>
      </c>
      <c r="E106" s="2"/>
      <c r="F106" s="14" t="s">
        <v>187</v>
      </c>
      <c r="G106" s="241"/>
      <c r="H106" s="109"/>
      <c r="I106" s="109"/>
      <c r="J106" s="109"/>
      <c r="K106" s="15">
        <v>0</v>
      </c>
      <c r="L106" s="16">
        <v>0</v>
      </c>
      <c r="M106" s="15">
        <v>0</v>
      </c>
      <c r="N106" s="15">
        <v>0</v>
      </c>
      <c r="O106" s="2">
        <v>18</v>
      </c>
      <c r="P106" s="211">
        <f t="shared" si="3"/>
        <v>18</v>
      </c>
      <c r="Q106" s="86">
        <f>P106/1000*100</f>
        <v>1.7999999999999998</v>
      </c>
      <c r="R106" s="219"/>
      <c r="S106" s="2"/>
      <c r="T106" s="2"/>
      <c r="U106" s="2"/>
      <c r="V106" s="2">
        <v>0</v>
      </c>
      <c r="W106" s="2">
        <f>18/1000*100</f>
        <v>1.7999999999999998</v>
      </c>
      <c r="X106" s="10">
        <v>0.02</v>
      </c>
      <c r="Y106" s="2" t="s">
        <v>230</v>
      </c>
      <c r="Z106" s="2">
        <v>15</v>
      </c>
      <c r="AA106" s="219"/>
      <c r="AB106" s="2">
        <f t="shared" si="4"/>
        <v>33</v>
      </c>
      <c r="AC106" s="128">
        <f>AB106/1000*100</f>
        <v>3.3000000000000003</v>
      </c>
      <c r="AD106" s="2"/>
      <c r="AE106" s="226"/>
      <c r="AF106" s="2"/>
      <c r="AG106" s="2"/>
      <c r="AH106" s="2"/>
      <c r="AI106" s="127">
        <v>0</v>
      </c>
      <c r="AJ106" s="135"/>
      <c r="AK106" s="182"/>
      <c r="AL106" s="4"/>
      <c r="AM106" s="195"/>
      <c r="AN106" s="203"/>
      <c r="AO106" s="4"/>
      <c r="AP106" s="4">
        <f t="shared" si="5"/>
        <v>33</v>
      </c>
      <c r="AQ106" s="130">
        <f>AP106/1000*100</f>
        <v>3.3000000000000003</v>
      </c>
      <c r="AR106" s="4" t="s">
        <v>532</v>
      </c>
      <c r="AS106" s="127"/>
      <c r="AT106" s="127"/>
      <c r="AU106" s="127"/>
      <c r="AV106" s="2"/>
      <c r="AW106" s="2"/>
      <c r="AX106" s="2"/>
      <c r="AY106" s="2"/>
      <c r="AZ106" s="205"/>
      <c r="BA106" s="205"/>
      <c r="BB106" s="195"/>
      <c r="BC106" s="2"/>
      <c r="BD106" s="2"/>
    </row>
    <row r="107" spans="1:56" ht="101.25" customHeight="1">
      <c r="A107" s="9">
        <v>103</v>
      </c>
      <c r="B107" s="268"/>
      <c r="C107" s="267" t="s">
        <v>228</v>
      </c>
      <c r="D107" s="14" t="s">
        <v>188</v>
      </c>
      <c r="E107" s="2"/>
      <c r="F107" s="14" t="s">
        <v>189</v>
      </c>
      <c r="G107" s="241"/>
      <c r="H107" s="109"/>
      <c r="I107" s="109"/>
      <c r="J107" s="109"/>
      <c r="K107" s="15">
        <v>0</v>
      </c>
      <c r="L107" s="16">
        <v>0</v>
      </c>
      <c r="M107" s="15">
        <v>0</v>
      </c>
      <c r="N107" s="15">
        <v>0</v>
      </c>
      <c r="O107" s="2"/>
      <c r="P107" s="211">
        <f aca="true" t="shared" si="6" ref="P107:P112">O107+N107+M107+L107+K107</f>
        <v>0</v>
      </c>
      <c r="Q107" s="86">
        <f>P107/30*100</f>
        <v>0</v>
      </c>
      <c r="R107" s="4"/>
      <c r="S107" s="2"/>
      <c r="T107" s="2"/>
      <c r="U107" s="2"/>
      <c r="V107" s="2">
        <v>0</v>
      </c>
      <c r="W107" s="2"/>
      <c r="X107" s="10">
        <v>0</v>
      </c>
      <c r="Y107" s="2" t="s">
        <v>230</v>
      </c>
      <c r="Z107" s="2">
        <v>3</v>
      </c>
      <c r="AA107" s="216" t="s">
        <v>439</v>
      </c>
      <c r="AB107" s="2">
        <f t="shared" si="4"/>
        <v>3</v>
      </c>
      <c r="AC107" s="128">
        <f>AB107/30*100</f>
        <v>10</v>
      </c>
      <c r="AD107" s="2"/>
      <c r="AE107" s="226"/>
      <c r="AF107" s="2"/>
      <c r="AG107" s="2"/>
      <c r="AH107" s="2"/>
      <c r="AI107" s="127">
        <v>0</v>
      </c>
      <c r="AJ107" s="135"/>
      <c r="AK107" s="182">
        <v>4</v>
      </c>
      <c r="AL107" s="218" t="s">
        <v>437</v>
      </c>
      <c r="AM107" s="195"/>
      <c r="AN107" s="203"/>
      <c r="AO107" s="218"/>
      <c r="AP107" s="4">
        <f t="shared" si="5"/>
        <v>7</v>
      </c>
      <c r="AQ107" s="130">
        <f>AP107/30*100</f>
        <v>23.333333333333332</v>
      </c>
      <c r="AR107" s="218" t="s">
        <v>533</v>
      </c>
      <c r="AS107" s="127"/>
      <c r="AT107" s="127"/>
      <c r="AU107" s="127"/>
      <c r="AV107" s="2"/>
      <c r="AW107" s="2"/>
      <c r="AX107" s="2"/>
      <c r="AY107" s="2"/>
      <c r="AZ107" s="205"/>
      <c r="BA107" s="205"/>
      <c r="BB107" s="195"/>
      <c r="BC107" s="2"/>
      <c r="BD107" s="2"/>
    </row>
    <row r="108" spans="1:56" ht="110.25">
      <c r="A108" s="9">
        <v>104</v>
      </c>
      <c r="B108" s="268"/>
      <c r="C108" s="268"/>
      <c r="D108" s="14" t="s">
        <v>190</v>
      </c>
      <c r="E108" s="2"/>
      <c r="F108" s="14" t="s">
        <v>191</v>
      </c>
      <c r="G108" s="241"/>
      <c r="H108" s="109"/>
      <c r="I108" s="109"/>
      <c r="J108" s="109"/>
      <c r="K108" s="15">
        <v>0</v>
      </c>
      <c r="L108" s="16">
        <v>0</v>
      </c>
      <c r="M108" s="15">
        <v>0</v>
      </c>
      <c r="N108" s="15">
        <v>0</v>
      </c>
      <c r="O108" s="2"/>
      <c r="P108" s="211">
        <f t="shared" si="6"/>
        <v>0</v>
      </c>
      <c r="Q108" s="86">
        <f>P108/50%*100</f>
        <v>0</v>
      </c>
      <c r="R108" s="4"/>
      <c r="S108" s="2"/>
      <c r="T108" s="2"/>
      <c r="U108" s="2"/>
      <c r="V108" s="2">
        <v>0</v>
      </c>
      <c r="W108" s="2"/>
      <c r="X108" s="10">
        <v>0</v>
      </c>
      <c r="Y108" s="2" t="s">
        <v>230</v>
      </c>
      <c r="Z108" s="2">
        <v>253</v>
      </c>
      <c r="AA108" s="217"/>
      <c r="AB108" s="2">
        <f t="shared" si="4"/>
        <v>253</v>
      </c>
      <c r="AC108" s="128">
        <f>AB108/50%*100</f>
        <v>50600</v>
      </c>
      <c r="AD108" s="2"/>
      <c r="AE108" s="226"/>
      <c r="AF108" s="2"/>
      <c r="AG108" s="2"/>
      <c r="AH108" s="2"/>
      <c r="AI108" s="127">
        <v>0</v>
      </c>
      <c r="AJ108" s="135"/>
      <c r="AK108" s="182">
        <v>1373</v>
      </c>
      <c r="AL108" s="219"/>
      <c r="AM108" s="195"/>
      <c r="AN108" s="203"/>
      <c r="AO108" s="219"/>
      <c r="AP108" s="4">
        <f t="shared" si="5"/>
        <v>1626</v>
      </c>
      <c r="AQ108" s="132">
        <v>69</v>
      </c>
      <c r="AR108" s="220"/>
      <c r="AS108" s="127"/>
      <c r="AT108" s="127"/>
      <c r="AU108" s="127"/>
      <c r="AV108" s="2"/>
      <c r="AW108" s="2"/>
      <c r="AX108" s="2"/>
      <c r="AY108" s="2"/>
      <c r="AZ108" s="205"/>
      <c r="BA108" s="205"/>
      <c r="BB108" s="195"/>
      <c r="BC108" s="2"/>
      <c r="BD108" s="2"/>
    </row>
    <row r="109" spans="1:56" ht="131.25" customHeight="1">
      <c r="A109" s="9">
        <v>105</v>
      </c>
      <c r="B109" s="268"/>
      <c r="C109" s="268"/>
      <c r="D109" s="14" t="s">
        <v>534</v>
      </c>
      <c r="E109" s="2"/>
      <c r="F109" s="14" t="s">
        <v>193</v>
      </c>
      <c r="G109" s="241"/>
      <c r="H109" s="109"/>
      <c r="I109" s="109"/>
      <c r="J109" s="109"/>
      <c r="K109" s="15">
        <v>0</v>
      </c>
      <c r="L109" s="16">
        <v>0</v>
      </c>
      <c r="M109" s="15">
        <v>0</v>
      </c>
      <c r="N109" s="15">
        <v>0</v>
      </c>
      <c r="O109" s="2"/>
      <c r="P109" s="211">
        <f t="shared" si="6"/>
        <v>0</v>
      </c>
      <c r="Q109" s="86">
        <f>P109/10*100</f>
        <v>0</v>
      </c>
      <c r="R109" s="4"/>
      <c r="S109" s="2"/>
      <c r="T109" s="2"/>
      <c r="U109" s="2"/>
      <c r="V109" s="2">
        <v>0</v>
      </c>
      <c r="W109" s="2"/>
      <c r="X109" s="10">
        <v>0</v>
      </c>
      <c r="Y109" s="2" t="s">
        <v>230</v>
      </c>
      <c r="Z109" s="2">
        <v>3</v>
      </c>
      <c r="AA109" s="218" t="s">
        <v>440</v>
      </c>
      <c r="AB109" s="2">
        <f t="shared" si="4"/>
        <v>3</v>
      </c>
      <c r="AC109" s="128">
        <f>AB109/10*100</f>
        <v>30</v>
      </c>
      <c r="AD109" s="2"/>
      <c r="AE109" s="226"/>
      <c r="AF109" s="2"/>
      <c r="AG109" s="2"/>
      <c r="AH109" s="2"/>
      <c r="AI109" s="127">
        <v>0</v>
      </c>
      <c r="AJ109" s="135"/>
      <c r="AK109" s="182">
        <v>6</v>
      </c>
      <c r="AL109" s="218" t="s">
        <v>535</v>
      </c>
      <c r="AM109" s="195"/>
      <c r="AN109" s="203"/>
      <c r="AO109" s="218"/>
      <c r="AP109" s="4">
        <f t="shared" si="5"/>
        <v>9</v>
      </c>
      <c r="AQ109" s="133">
        <f>AP109/10*100</f>
        <v>90</v>
      </c>
      <c r="AR109" s="220"/>
      <c r="AS109" s="127"/>
      <c r="AT109" s="127"/>
      <c r="AU109" s="127"/>
      <c r="AV109" s="2"/>
      <c r="AW109" s="2"/>
      <c r="AX109" s="2"/>
      <c r="AY109" s="2"/>
      <c r="AZ109" s="205"/>
      <c r="BA109" s="205"/>
      <c r="BB109" s="195"/>
      <c r="BC109" s="2"/>
      <c r="BD109" s="2"/>
    </row>
    <row r="110" spans="1:56" ht="108.75" customHeight="1">
      <c r="A110" s="9">
        <v>106</v>
      </c>
      <c r="B110" s="268"/>
      <c r="C110" s="268"/>
      <c r="D110" s="14" t="s">
        <v>194</v>
      </c>
      <c r="E110" s="2"/>
      <c r="F110" s="14" t="s">
        <v>195</v>
      </c>
      <c r="G110" s="241"/>
      <c r="H110" s="109"/>
      <c r="I110" s="109"/>
      <c r="J110" s="109"/>
      <c r="K110" s="15">
        <v>0</v>
      </c>
      <c r="L110" s="16">
        <v>0</v>
      </c>
      <c r="M110" s="15">
        <v>0</v>
      </c>
      <c r="N110" s="15">
        <v>0</v>
      </c>
      <c r="O110" s="2"/>
      <c r="P110" s="211">
        <f t="shared" si="6"/>
        <v>0</v>
      </c>
      <c r="Q110" s="86">
        <f>P110/50%*100</f>
        <v>0</v>
      </c>
      <c r="R110" s="4"/>
      <c r="S110" s="2"/>
      <c r="T110" s="2"/>
      <c r="U110" s="2"/>
      <c r="V110" s="2">
        <v>0</v>
      </c>
      <c r="W110" s="2"/>
      <c r="X110" s="10">
        <v>0</v>
      </c>
      <c r="Y110" s="2" t="s">
        <v>230</v>
      </c>
      <c r="Z110" s="2">
        <v>100</v>
      </c>
      <c r="AA110" s="219"/>
      <c r="AB110" s="2">
        <f t="shared" si="4"/>
        <v>100</v>
      </c>
      <c r="AC110" s="128">
        <f>AB110/50%*100</f>
        <v>20000</v>
      </c>
      <c r="AD110" s="2"/>
      <c r="AE110" s="226"/>
      <c r="AF110" s="2"/>
      <c r="AG110" s="2"/>
      <c r="AH110" s="2"/>
      <c r="AI110" s="127">
        <v>0</v>
      </c>
      <c r="AJ110" s="135"/>
      <c r="AK110" s="182">
        <v>212</v>
      </c>
      <c r="AL110" s="219"/>
      <c r="AM110" s="195"/>
      <c r="AN110" s="203"/>
      <c r="AO110" s="219"/>
      <c r="AP110" s="4">
        <f t="shared" si="5"/>
        <v>312</v>
      </c>
      <c r="AQ110" s="132">
        <v>69</v>
      </c>
      <c r="AR110" s="220"/>
      <c r="AS110" s="127"/>
      <c r="AT110" s="127"/>
      <c r="AU110" s="127"/>
      <c r="AV110" s="2"/>
      <c r="AW110" s="2"/>
      <c r="AX110" s="2"/>
      <c r="AY110" s="2"/>
      <c r="AZ110" s="205"/>
      <c r="BA110" s="205"/>
      <c r="BB110" s="195"/>
      <c r="BC110" s="2"/>
      <c r="BD110" s="2"/>
    </row>
    <row r="111" spans="1:56" ht="107.25" customHeight="1">
      <c r="A111" s="9">
        <v>107</v>
      </c>
      <c r="B111" s="268"/>
      <c r="C111" s="268"/>
      <c r="D111" s="181" t="s">
        <v>196</v>
      </c>
      <c r="F111" s="14" t="s">
        <v>536</v>
      </c>
      <c r="G111" s="241"/>
      <c r="H111" s="109"/>
      <c r="I111" s="109"/>
      <c r="J111" s="109"/>
      <c r="K111" s="15">
        <v>0</v>
      </c>
      <c r="L111" s="16">
        <v>0</v>
      </c>
      <c r="M111" s="15">
        <v>0</v>
      </c>
      <c r="N111" s="15">
        <v>0</v>
      </c>
      <c r="O111" s="2"/>
      <c r="P111" s="211">
        <f t="shared" si="6"/>
        <v>0</v>
      </c>
      <c r="Q111" s="86">
        <f>P111/10*100</f>
        <v>0</v>
      </c>
      <c r="R111" s="4"/>
      <c r="S111" s="2"/>
      <c r="T111" s="2"/>
      <c r="U111" s="2"/>
      <c r="V111" s="2">
        <v>0</v>
      </c>
      <c r="W111" s="2"/>
      <c r="X111" s="10">
        <v>0</v>
      </c>
      <c r="Y111" s="2" t="s">
        <v>230</v>
      </c>
      <c r="Z111" s="2">
        <v>2</v>
      </c>
      <c r="AA111" s="216" t="s">
        <v>505</v>
      </c>
      <c r="AB111" s="2">
        <f t="shared" si="4"/>
        <v>2</v>
      </c>
      <c r="AC111" s="128">
        <f>AB111/10*100</f>
        <v>20</v>
      </c>
      <c r="AD111" s="4" t="s">
        <v>537</v>
      </c>
      <c r="AE111" s="226"/>
      <c r="AF111" s="2"/>
      <c r="AG111" s="2"/>
      <c r="AH111" s="2"/>
      <c r="AI111" s="127">
        <v>0</v>
      </c>
      <c r="AJ111" s="135"/>
      <c r="AK111" s="182">
        <v>1</v>
      </c>
      <c r="AL111" s="218" t="s">
        <v>439</v>
      </c>
      <c r="AM111" s="195"/>
      <c r="AN111" s="203"/>
      <c r="AO111" s="218"/>
      <c r="AP111" s="4">
        <f t="shared" si="5"/>
        <v>3</v>
      </c>
      <c r="AQ111" s="130">
        <f>AP111/10*100</f>
        <v>30</v>
      </c>
      <c r="AR111" s="220"/>
      <c r="AS111" s="127"/>
      <c r="AT111" s="127"/>
      <c r="AU111" s="127"/>
      <c r="AV111" s="2"/>
      <c r="AW111" s="2"/>
      <c r="AX111" s="2"/>
      <c r="AY111" s="2"/>
      <c r="AZ111" s="205"/>
      <c r="BA111" s="205"/>
      <c r="BB111" s="195"/>
      <c r="BC111" s="2"/>
      <c r="BD111" s="2"/>
    </row>
    <row r="112" spans="1:56" ht="120.75" customHeight="1" thickBot="1">
      <c r="A112" s="9">
        <v>108</v>
      </c>
      <c r="B112" s="268"/>
      <c r="C112" s="269"/>
      <c r="D112" s="92" t="s">
        <v>197</v>
      </c>
      <c r="E112" s="2"/>
      <c r="F112" s="92" t="s">
        <v>198</v>
      </c>
      <c r="G112" s="260"/>
      <c r="H112" s="117"/>
      <c r="I112" s="117"/>
      <c r="J112" s="117"/>
      <c r="K112" s="18">
        <v>0</v>
      </c>
      <c r="L112" s="22">
        <v>0</v>
      </c>
      <c r="M112" s="18">
        <v>0</v>
      </c>
      <c r="N112" s="18">
        <v>0</v>
      </c>
      <c r="O112" s="2"/>
      <c r="P112" s="211">
        <f t="shared" si="6"/>
        <v>0</v>
      </c>
      <c r="Q112" s="86">
        <f>P112/10000*100</f>
        <v>0</v>
      </c>
      <c r="R112" s="4"/>
      <c r="S112" s="2"/>
      <c r="T112" s="2"/>
      <c r="U112" s="2"/>
      <c r="V112" s="2">
        <v>11</v>
      </c>
      <c r="W112" s="2">
        <f>11/10000*100</f>
        <v>0.11</v>
      </c>
      <c r="X112" s="10">
        <v>0</v>
      </c>
      <c r="Y112" s="2" t="s">
        <v>230</v>
      </c>
      <c r="Z112" s="2">
        <v>1167</v>
      </c>
      <c r="AA112" s="217"/>
      <c r="AB112" s="2">
        <f t="shared" si="4"/>
        <v>1178</v>
      </c>
      <c r="AC112" s="128">
        <f>AB112/10000*100</f>
        <v>11.78</v>
      </c>
      <c r="AD112" s="2"/>
      <c r="AE112" s="217"/>
      <c r="AF112" s="2"/>
      <c r="AG112" s="2"/>
      <c r="AH112" s="2"/>
      <c r="AI112" s="127">
        <v>0</v>
      </c>
      <c r="AJ112" s="135"/>
      <c r="AK112" s="182">
        <v>1409</v>
      </c>
      <c r="AL112" s="219"/>
      <c r="AM112" s="195"/>
      <c r="AN112" s="203"/>
      <c r="AO112" s="219"/>
      <c r="AP112" s="4">
        <f t="shared" si="5"/>
        <v>2587</v>
      </c>
      <c r="AQ112" s="130">
        <f>AP112/10000*100</f>
        <v>25.869999999999997</v>
      </c>
      <c r="AR112" s="219"/>
      <c r="AS112" s="127"/>
      <c r="AT112" s="127"/>
      <c r="AU112" s="127"/>
      <c r="AV112" s="2"/>
      <c r="AW112" s="2"/>
      <c r="AX112" s="2"/>
      <c r="AY112" s="2"/>
      <c r="AZ112" s="205"/>
      <c r="BA112" s="205"/>
      <c r="BB112" s="195"/>
      <c r="BC112" s="2"/>
      <c r="BD112" s="2"/>
    </row>
    <row r="113" spans="7:21" ht="14.25">
      <c r="G113" s="76"/>
      <c r="H113" s="112"/>
      <c r="I113" s="112"/>
      <c r="J113" s="112"/>
      <c r="K113" s="76"/>
      <c r="L113" s="76"/>
      <c r="M113" s="76"/>
      <c r="N113" s="76"/>
      <c r="O113" s="76"/>
      <c r="P113" s="209"/>
      <c r="Q113" s="209"/>
      <c r="R113" s="198"/>
      <c r="S113" s="76"/>
      <c r="T113" s="76"/>
      <c r="U113" s="76"/>
    </row>
    <row r="114" spans="1:21" ht="18">
      <c r="A114" s="208"/>
      <c r="G114" s="76"/>
      <c r="H114" s="112"/>
      <c r="I114" s="112"/>
      <c r="J114" s="112"/>
      <c r="K114" s="76"/>
      <c r="L114" s="76"/>
      <c r="M114" s="76"/>
      <c r="N114" s="76"/>
      <c r="O114" s="76"/>
      <c r="P114" s="209"/>
      <c r="Q114" s="209"/>
      <c r="R114" s="198"/>
      <c r="S114" s="76"/>
      <c r="T114" s="76"/>
      <c r="U114" s="76"/>
    </row>
    <row r="115" spans="7:21" ht="14.25">
      <c r="G115" s="76"/>
      <c r="H115" s="112"/>
      <c r="I115" s="112"/>
      <c r="J115" s="112"/>
      <c r="K115" s="76"/>
      <c r="L115" s="76"/>
      <c r="M115" s="76"/>
      <c r="N115" s="76"/>
      <c r="O115" s="76"/>
      <c r="P115" s="209"/>
      <c r="Q115" s="209"/>
      <c r="R115" s="198"/>
      <c r="S115" s="76"/>
      <c r="T115" s="76"/>
      <c r="U115" s="76"/>
    </row>
    <row r="116" spans="7:21" ht="14.25">
      <c r="G116" s="76"/>
      <c r="H116" s="112"/>
      <c r="I116" s="112"/>
      <c r="J116" s="112"/>
      <c r="K116" s="76"/>
      <c r="L116" s="76"/>
      <c r="M116" s="76"/>
      <c r="N116" s="76"/>
      <c r="O116" s="76"/>
      <c r="P116" s="209"/>
      <c r="Q116" s="209"/>
      <c r="R116" s="198"/>
      <c r="S116" s="76"/>
      <c r="T116" s="76"/>
      <c r="U116" s="76"/>
    </row>
    <row r="117" spans="7:21" ht="14.25">
      <c r="G117" s="76"/>
      <c r="H117" s="112"/>
      <c r="I117" s="112"/>
      <c r="J117" s="112"/>
      <c r="K117" s="76"/>
      <c r="L117" s="76"/>
      <c r="M117" s="76"/>
      <c r="N117" s="76"/>
      <c r="O117" s="76"/>
      <c r="P117" s="209"/>
      <c r="Q117" s="209"/>
      <c r="R117" s="198"/>
      <c r="S117" s="76"/>
      <c r="T117" s="76"/>
      <c r="U117" s="76"/>
    </row>
    <row r="118" spans="7:21" ht="14.25">
      <c r="G118" s="76"/>
      <c r="H118" s="112"/>
      <c r="I118" s="112"/>
      <c r="J118" s="112"/>
      <c r="K118" s="76"/>
      <c r="L118" s="76"/>
      <c r="M118" s="76"/>
      <c r="N118" s="76"/>
      <c r="O118" s="76"/>
      <c r="P118" s="209"/>
      <c r="Q118" s="209"/>
      <c r="R118" s="198"/>
      <c r="S118" s="76"/>
      <c r="T118" s="76"/>
      <c r="U118" s="76"/>
    </row>
    <row r="119" spans="7:21" ht="15" customHeight="1">
      <c r="G119" s="253"/>
      <c r="H119" s="112"/>
      <c r="I119" s="112"/>
      <c r="J119" s="112"/>
      <c r="K119" s="76"/>
      <c r="L119" s="76"/>
      <c r="M119" s="76"/>
      <c r="N119" s="76"/>
      <c r="O119" s="76"/>
      <c r="P119" s="209"/>
      <c r="Q119" s="209"/>
      <c r="R119" s="198"/>
      <c r="S119" s="76"/>
      <c r="T119" s="76"/>
      <c r="U119" s="76"/>
    </row>
    <row r="120" spans="7:21" ht="14.25">
      <c r="G120" s="253"/>
      <c r="H120" s="112"/>
      <c r="I120" s="112"/>
      <c r="J120" s="112"/>
      <c r="K120" s="76"/>
      <c r="L120" s="76"/>
      <c r="M120" s="76"/>
      <c r="N120" s="76"/>
      <c r="O120" s="76"/>
      <c r="P120" s="209"/>
      <c r="Q120" s="209"/>
      <c r="R120" s="198"/>
      <c r="S120" s="76"/>
      <c r="T120" s="76"/>
      <c r="U120" s="76"/>
    </row>
    <row r="121" spans="7:21" ht="14.25">
      <c r="G121" s="76"/>
      <c r="H121" s="112"/>
      <c r="I121" s="112"/>
      <c r="J121" s="112"/>
      <c r="K121" s="76"/>
      <c r="L121" s="76"/>
      <c r="M121" s="76"/>
      <c r="N121" s="76"/>
      <c r="O121" s="76"/>
      <c r="P121" s="209"/>
      <c r="Q121" s="209"/>
      <c r="R121" s="198"/>
      <c r="S121" s="76"/>
      <c r="T121" s="76"/>
      <c r="U121" s="76"/>
    </row>
    <row r="122" spans="7:21" ht="14.25">
      <c r="G122" s="76"/>
      <c r="H122" s="112"/>
      <c r="I122" s="112"/>
      <c r="J122" s="112"/>
      <c r="K122" s="76"/>
      <c r="L122" s="76"/>
      <c r="M122" s="76"/>
      <c r="N122" s="76"/>
      <c r="O122" s="76"/>
      <c r="P122" s="209"/>
      <c r="Q122" s="209"/>
      <c r="R122" s="198"/>
      <c r="S122" s="76"/>
      <c r="T122" s="76"/>
      <c r="U122" s="76"/>
    </row>
    <row r="123" spans="7:21" ht="14.25">
      <c r="G123" s="76"/>
      <c r="H123" s="112"/>
      <c r="I123" s="112"/>
      <c r="J123" s="112"/>
      <c r="K123" s="76"/>
      <c r="L123" s="76"/>
      <c r="M123" s="76"/>
      <c r="N123" s="76"/>
      <c r="O123" s="76"/>
      <c r="P123" s="209"/>
      <c r="Q123" s="209"/>
      <c r="R123" s="198"/>
      <c r="S123" s="76"/>
      <c r="T123" s="76"/>
      <c r="U123" s="76"/>
    </row>
    <row r="124" spans="7:21" ht="15" customHeight="1">
      <c r="G124" s="253"/>
      <c r="H124" s="112"/>
      <c r="I124" s="112"/>
      <c r="J124" s="112"/>
      <c r="K124" s="76"/>
      <c r="L124" s="76"/>
      <c r="M124" s="76"/>
      <c r="N124" s="76"/>
      <c r="O124" s="76"/>
      <c r="P124" s="209"/>
      <c r="Q124" s="209"/>
      <c r="R124" s="198"/>
      <c r="S124" s="76"/>
      <c r="T124" s="76"/>
      <c r="U124" s="76"/>
    </row>
    <row r="125" spans="7:21" ht="14.25">
      <c r="G125" s="253"/>
      <c r="H125" s="112"/>
      <c r="I125" s="112"/>
      <c r="J125" s="112"/>
      <c r="K125" s="76"/>
      <c r="L125" s="76"/>
      <c r="M125" s="76"/>
      <c r="N125" s="76"/>
      <c r="O125" s="76"/>
      <c r="P125" s="209"/>
      <c r="Q125" s="209"/>
      <c r="R125" s="198"/>
      <c r="S125" s="76"/>
      <c r="T125" s="76"/>
      <c r="U125" s="76"/>
    </row>
    <row r="126" spans="7:21" ht="15" customHeight="1">
      <c r="G126" s="253"/>
      <c r="H126" s="112"/>
      <c r="I126" s="112"/>
      <c r="J126" s="112"/>
      <c r="K126" s="76"/>
      <c r="L126" s="76"/>
      <c r="M126" s="76"/>
      <c r="N126" s="76"/>
      <c r="O126" s="76"/>
      <c r="P126" s="209"/>
      <c r="Q126" s="209"/>
      <c r="R126" s="198"/>
      <c r="S126" s="76"/>
      <c r="T126" s="76"/>
      <c r="U126" s="76"/>
    </row>
    <row r="127" spans="7:21" ht="14.25">
      <c r="G127" s="253"/>
      <c r="H127" s="112"/>
      <c r="I127" s="112"/>
      <c r="J127" s="112"/>
      <c r="K127" s="76"/>
      <c r="L127" s="76"/>
      <c r="M127" s="76"/>
      <c r="N127" s="76"/>
      <c r="O127" s="76"/>
      <c r="P127" s="209"/>
      <c r="Q127" s="209"/>
      <c r="R127" s="198"/>
      <c r="S127" s="76"/>
      <c r="T127" s="76"/>
      <c r="U127" s="76"/>
    </row>
    <row r="128" spans="7:21" ht="15" customHeight="1">
      <c r="G128" s="253"/>
      <c r="H128" s="112"/>
      <c r="I128" s="112"/>
      <c r="J128" s="112"/>
      <c r="K128" s="76"/>
      <c r="L128" s="76"/>
      <c r="M128" s="76"/>
      <c r="N128" s="76"/>
      <c r="O128" s="76"/>
      <c r="P128" s="209"/>
      <c r="Q128" s="209"/>
      <c r="R128" s="198"/>
      <c r="S128" s="76"/>
      <c r="T128" s="76"/>
      <c r="U128" s="76"/>
    </row>
    <row r="129" spans="7:21" ht="14.25">
      <c r="G129" s="253"/>
      <c r="H129" s="112"/>
      <c r="I129" s="112"/>
      <c r="J129" s="112"/>
      <c r="K129" s="76"/>
      <c r="L129" s="76"/>
      <c r="M129" s="76"/>
      <c r="N129" s="76"/>
      <c r="O129" s="76"/>
      <c r="P129" s="209"/>
      <c r="Q129" s="209"/>
      <c r="R129" s="198"/>
      <c r="S129" s="76"/>
      <c r="T129" s="76"/>
      <c r="U129" s="76"/>
    </row>
    <row r="130" spans="7:21" ht="14.25">
      <c r="G130" s="253"/>
      <c r="H130" s="112"/>
      <c r="I130" s="112"/>
      <c r="J130" s="112"/>
      <c r="K130" s="76"/>
      <c r="L130" s="76"/>
      <c r="M130" s="76"/>
      <c r="N130" s="76"/>
      <c r="O130" s="76"/>
      <c r="P130" s="209"/>
      <c r="Q130" s="209"/>
      <c r="R130" s="198"/>
      <c r="S130" s="76"/>
      <c r="T130" s="76"/>
      <c r="U130" s="76"/>
    </row>
    <row r="131" spans="7:21" ht="15" customHeight="1">
      <c r="G131" s="252"/>
      <c r="H131" s="111"/>
      <c r="I131" s="111"/>
      <c r="J131" s="111"/>
      <c r="K131" s="81"/>
      <c r="L131" s="81"/>
      <c r="M131" s="81"/>
      <c r="N131" s="81"/>
      <c r="O131" s="81"/>
      <c r="P131" s="210"/>
      <c r="Q131" s="210"/>
      <c r="R131" s="199"/>
      <c r="S131" s="81"/>
      <c r="T131" s="81"/>
      <c r="U131" s="81"/>
    </row>
    <row r="132" spans="7:21" ht="14.25">
      <c r="G132" s="252"/>
      <c r="H132" s="111"/>
      <c r="I132" s="111"/>
      <c r="J132" s="111"/>
      <c r="K132" s="81"/>
      <c r="L132" s="81"/>
      <c r="M132" s="81"/>
      <c r="N132" s="81"/>
      <c r="O132" s="81"/>
      <c r="P132" s="210"/>
      <c r="Q132" s="210"/>
      <c r="R132" s="199"/>
      <c r="S132" s="81"/>
      <c r="T132" s="81"/>
      <c r="U132" s="81"/>
    </row>
    <row r="133" spans="7:21" ht="14.25">
      <c r="G133" s="252"/>
      <c r="H133" s="111"/>
      <c r="I133" s="111"/>
      <c r="J133" s="111"/>
      <c r="K133" s="81"/>
      <c r="L133" s="81"/>
      <c r="M133" s="81"/>
      <c r="N133" s="81"/>
      <c r="O133" s="81"/>
      <c r="P133" s="210"/>
      <c r="Q133" s="210"/>
      <c r="R133" s="199"/>
      <c r="S133" s="81"/>
      <c r="T133" s="81"/>
      <c r="U133" s="81"/>
    </row>
    <row r="134" spans="7:21" ht="14.25">
      <c r="G134" s="252"/>
      <c r="H134" s="111"/>
      <c r="I134" s="111"/>
      <c r="J134" s="111"/>
      <c r="K134" s="81"/>
      <c r="L134" s="81"/>
      <c r="M134" s="81"/>
      <c r="N134" s="81"/>
      <c r="O134" s="81"/>
      <c r="P134" s="210"/>
      <c r="Q134" s="210"/>
      <c r="R134" s="199"/>
      <c r="S134" s="81"/>
      <c r="T134" s="81"/>
      <c r="U134" s="81"/>
    </row>
    <row r="135" spans="7:21" ht="14.25">
      <c r="G135" s="252"/>
      <c r="H135" s="111"/>
      <c r="I135" s="111"/>
      <c r="J135" s="111"/>
      <c r="K135" s="81"/>
      <c r="L135" s="81"/>
      <c r="M135" s="81"/>
      <c r="N135" s="81"/>
      <c r="O135" s="81"/>
      <c r="P135" s="210"/>
      <c r="Q135" s="210"/>
      <c r="R135" s="199"/>
      <c r="S135" s="81"/>
      <c r="T135" s="81"/>
      <c r="U135" s="81"/>
    </row>
    <row r="136" spans="7:21" ht="15" customHeight="1">
      <c r="G136" s="253"/>
      <c r="H136" s="112"/>
      <c r="I136" s="112"/>
      <c r="J136" s="112"/>
      <c r="K136" s="76"/>
      <c r="L136" s="76"/>
      <c r="M136" s="76"/>
      <c r="N136" s="76"/>
      <c r="O136" s="76"/>
      <c r="P136" s="209"/>
      <c r="Q136" s="209"/>
      <c r="R136" s="198"/>
      <c r="S136" s="76"/>
      <c r="T136" s="76"/>
      <c r="U136" s="76"/>
    </row>
    <row r="137" spans="7:21" ht="14.25">
      <c r="G137" s="253"/>
      <c r="H137" s="112"/>
      <c r="I137" s="112"/>
      <c r="J137" s="112"/>
      <c r="K137" s="76"/>
      <c r="L137" s="76"/>
      <c r="M137" s="76"/>
      <c r="N137" s="76"/>
      <c r="O137" s="76"/>
      <c r="P137" s="209"/>
      <c r="Q137" s="209"/>
      <c r="R137" s="198"/>
      <c r="S137" s="76"/>
      <c r="T137" s="76"/>
      <c r="U137" s="76"/>
    </row>
    <row r="138" spans="7:21" ht="15" customHeight="1">
      <c r="G138" s="253"/>
      <c r="H138" s="112"/>
      <c r="I138" s="112"/>
      <c r="J138" s="112"/>
      <c r="K138" s="76"/>
      <c r="L138" s="76"/>
      <c r="M138" s="76"/>
      <c r="N138" s="76"/>
      <c r="O138" s="76"/>
      <c r="P138" s="209"/>
      <c r="Q138" s="209"/>
      <c r="R138" s="198"/>
      <c r="S138" s="76"/>
      <c r="T138" s="76"/>
      <c r="U138" s="76"/>
    </row>
    <row r="139" spans="7:21" ht="14.25">
      <c r="G139" s="253"/>
      <c r="H139" s="112"/>
      <c r="I139" s="112"/>
      <c r="J139" s="112"/>
      <c r="K139" s="76"/>
      <c r="L139" s="76"/>
      <c r="M139" s="76"/>
      <c r="N139" s="76"/>
      <c r="O139" s="76"/>
      <c r="P139" s="209"/>
      <c r="Q139" s="209"/>
      <c r="R139" s="198"/>
      <c r="S139" s="76"/>
      <c r="T139" s="76"/>
      <c r="U139" s="76"/>
    </row>
    <row r="140" spans="7:21" ht="14.25">
      <c r="G140" s="253"/>
      <c r="H140" s="112"/>
      <c r="I140" s="112"/>
      <c r="J140" s="112"/>
      <c r="K140" s="76"/>
      <c r="L140" s="76"/>
      <c r="M140" s="76"/>
      <c r="N140" s="76"/>
      <c r="O140" s="76"/>
      <c r="P140" s="209"/>
      <c r="Q140" s="209"/>
      <c r="R140" s="198"/>
      <c r="S140" s="76"/>
      <c r="T140" s="76"/>
      <c r="U140" s="76"/>
    </row>
    <row r="141" spans="7:21" ht="15" customHeight="1">
      <c r="G141" s="252"/>
      <c r="H141" s="111"/>
      <c r="I141" s="111"/>
      <c r="J141" s="111"/>
      <c r="K141" s="81"/>
      <c r="L141" s="81"/>
      <c r="M141" s="81"/>
      <c r="N141" s="81"/>
      <c r="O141" s="81"/>
      <c r="P141" s="210"/>
      <c r="Q141" s="210"/>
      <c r="R141" s="199"/>
      <c r="S141" s="81"/>
      <c r="T141" s="81"/>
      <c r="U141" s="81"/>
    </row>
    <row r="142" spans="7:21" ht="14.25">
      <c r="G142" s="252"/>
      <c r="H142" s="111"/>
      <c r="I142" s="111"/>
      <c r="J142" s="111"/>
      <c r="K142" s="81"/>
      <c r="L142" s="81"/>
      <c r="M142" s="81"/>
      <c r="N142" s="81"/>
      <c r="O142" s="81"/>
      <c r="P142" s="210"/>
      <c r="Q142" s="210"/>
      <c r="R142" s="199"/>
      <c r="S142" s="81"/>
      <c r="T142" s="81"/>
      <c r="U142" s="81"/>
    </row>
    <row r="143" spans="7:21" ht="14.25">
      <c r="G143" s="252"/>
      <c r="H143" s="111"/>
      <c r="I143" s="111"/>
      <c r="J143" s="111"/>
      <c r="K143" s="81"/>
      <c r="L143" s="81"/>
      <c r="M143" s="81"/>
      <c r="N143" s="81"/>
      <c r="O143" s="81"/>
      <c r="P143" s="210"/>
      <c r="Q143" s="210"/>
      <c r="R143" s="199"/>
      <c r="S143" s="81"/>
      <c r="T143" s="81"/>
      <c r="U143" s="81"/>
    </row>
    <row r="144" spans="7:21" ht="14.25">
      <c r="G144" s="81"/>
      <c r="H144" s="111"/>
      <c r="I144" s="111"/>
      <c r="J144" s="111"/>
      <c r="K144" s="81"/>
      <c r="L144" s="81"/>
      <c r="M144" s="81"/>
      <c r="N144" s="81"/>
      <c r="O144" s="81"/>
      <c r="P144" s="210"/>
      <c r="Q144" s="210"/>
      <c r="R144" s="199"/>
      <c r="S144" s="81"/>
      <c r="T144" s="81"/>
      <c r="U144" s="81"/>
    </row>
    <row r="145" spans="7:21" ht="15" customHeight="1">
      <c r="G145" s="253"/>
      <c r="H145" s="112"/>
      <c r="I145" s="112"/>
      <c r="J145" s="112"/>
      <c r="K145" s="76"/>
      <c r="L145" s="76"/>
      <c r="M145" s="76"/>
      <c r="N145" s="76"/>
      <c r="O145" s="76"/>
      <c r="P145" s="209"/>
      <c r="Q145" s="209"/>
      <c r="R145" s="198"/>
      <c r="S145" s="76"/>
      <c r="T145" s="76"/>
      <c r="U145" s="76"/>
    </row>
    <row r="146" spans="7:21" ht="14.25">
      <c r="G146" s="253"/>
      <c r="H146" s="112"/>
      <c r="I146" s="112"/>
      <c r="J146" s="112"/>
      <c r="K146" s="76"/>
      <c r="L146" s="76"/>
      <c r="M146" s="76"/>
      <c r="N146" s="76"/>
      <c r="O146" s="76"/>
      <c r="P146" s="209"/>
      <c r="Q146" s="209"/>
      <c r="R146" s="198"/>
      <c r="S146" s="76"/>
      <c r="T146" s="76"/>
      <c r="U146" s="76"/>
    </row>
    <row r="147" spans="7:21" ht="14.25">
      <c r="G147" s="253"/>
      <c r="H147" s="112"/>
      <c r="I147" s="112"/>
      <c r="J147" s="112"/>
      <c r="K147" s="76"/>
      <c r="L147" s="76"/>
      <c r="M147" s="76"/>
      <c r="N147" s="76"/>
      <c r="O147" s="76"/>
      <c r="P147" s="209"/>
      <c r="Q147" s="209"/>
      <c r="R147" s="198"/>
      <c r="S147" s="76"/>
      <c r="T147" s="76"/>
      <c r="U147" s="76"/>
    </row>
    <row r="148" spans="7:21" ht="14.25">
      <c r="G148" s="253"/>
      <c r="H148" s="112"/>
      <c r="I148" s="112"/>
      <c r="J148" s="112"/>
      <c r="K148" s="76"/>
      <c r="L148" s="76"/>
      <c r="M148" s="76"/>
      <c r="N148" s="76"/>
      <c r="O148" s="76"/>
      <c r="P148" s="209"/>
      <c r="Q148" s="209"/>
      <c r="R148" s="198"/>
      <c r="S148" s="76"/>
      <c r="T148" s="76"/>
      <c r="U148" s="76"/>
    </row>
    <row r="149" spans="7:21" ht="14.25">
      <c r="G149" s="253"/>
      <c r="H149" s="112"/>
      <c r="I149" s="112"/>
      <c r="J149" s="112"/>
      <c r="K149" s="76"/>
      <c r="L149" s="76"/>
      <c r="M149" s="76"/>
      <c r="N149" s="76"/>
      <c r="O149" s="76"/>
      <c r="P149" s="209"/>
      <c r="Q149" s="209"/>
      <c r="R149" s="198"/>
      <c r="S149" s="76"/>
      <c r="T149" s="76"/>
      <c r="U149" s="76"/>
    </row>
    <row r="150" spans="7:21" ht="14.25">
      <c r="G150" s="81"/>
      <c r="H150" s="111"/>
      <c r="I150" s="111"/>
      <c r="J150" s="111"/>
      <c r="K150" s="81"/>
      <c r="L150" s="81"/>
      <c r="M150" s="81"/>
      <c r="N150" s="81"/>
      <c r="O150" s="81"/>
      <c r="P150" s="210"/>
      <c r="Q150" s="210"/>
      <c r="R150" s="199"/>
      <c r="S150" s="81"/>
      <c r="T150" s="81"/>
      <c r="U150" s="81"/>
    </row>
    <row r="151" spans="7:21" ht="14.25">
      <c r="G151" s="81"/>
      <c r="H151" s="111"/>
      <c r="I151" s="111"/>
      <c r="J151" s="111"/>
      <c r="K151" s="81"/>
      <c r="L151" s="81"/>
      <c r="M151" s="81"/>
      <c r="N151" s="81"/>
      <c r="O151" s="81"/>
      <c r="P151" s="210"/>
      <c r="Q151" s="210"/>
      <c r="R151" s="199"/>
      <c r="S151" s="81"/>
      <c r="T151" s="81"/>
      <c r="U151" s="81"/>
    </row>
    <row r="152" spans="7:21" ht="15" customHeight="1">
      <c r="G152" s="252"/>
      <c r="H152" s="111"/>
      <c r="I152" s="111"/>
      <c r="J152" s="111"/>
      <c r="K152" s="81"/>
      <c r="L152" s="81"/>
      <c r="M152" s="81"/>
      <c r="N152" s="81"/>
      <c r="O152" s="81"/>
      <c r="P152" s="210"/>
      <c r="Q152" s="210"/>
      <c r="R152" s="199"/>
      <c r="S152" s="81"/>
      <c r="T152" s="81"/>
      <c r="U152" s="81"/>
    </row>
    <row r="153" spans="7:21" ht="14.25">
      <c r="G153" s="252"/>
      <c r="H153" s="111"/>
      <c r="I153" s="111"/>
      <c r="J153" s="111"/>
      <c r="K153" s="81"/>
      <c r="L153" s="81"/>
      <c r="M153" s="81"/>
      <c r="N153" s="81"/>
      <c r="O153" s="81"/>
      <c r="P153" s="210"/>
      <c r="Q153" s="210"/>
      <c r="R153" s="199"/>
      <c r="S153" s="81"/>
      <c r="T153" s="81"/>
      <c r="U153" s="81"/>
    </row>
    <row r="154" spans="7:21" ht="14.25">
      <c r="G154" s="252"/>
      <c r="H154" s="111"/>
      <c r="I154" s="111"/>
      <c r="J154" s="111"/>
      <c r="K154" s="81"/>
      <c r="L154" s="81"/>
      <c r="M154" s="81"/>
      <c r="N154" s="81"/>
      <c r="O154" s="81"/>
      <c r="P154" s="210"/>
      <c r="Q154" s="210"/>
      <c r="R154" s="199"/>
      <c r="S154" s="81"/>
      <c r="T154" s="81"/>
      <c r="U154" s="81"/>
    </row>
    <row r="155" spans="7:21" ht="14.25">
      <c r="G155" s="76"/>
      <c r="H155" s="112"/>
      <c r="I155" s="112"/>
      <c r="J155" s="112"/>
      <c r="K155" s="76"/>
      <c r="L155" s="76"/>
      <c r="M155" s="76"/>
      <c r="N155" s="76"/>
      <c r="O155" s="76"/>
      <c r="P155" s="209"/>
      <c r="Q155" s="209"/>
      <c r="R155" s="198"/>
      <c r="S155" s="76"/>
      <c r="T155" s="76"/>
      <c r="U155" s="76"/>
    </row>
  </sheetData>
  <sheetProtection/>
  <autoFilter ref="A4:AY112"/>
  <mergeCells count="377">
    <mergeCell ref="P3:P4"/>
    <mergeCell ref="Q3:Q4"/>
    <mergeCell ref="BB58:BB59"/>
    <mergeCell ref="BB68:BB69"/>
    <mergeCell ref="BB23:BB24"/>
    <mergeCell ref="BB25:BB26"/>
    <mergeCell ref="BB27:BB28"/>
    <mergeCell ref="BB29:BB30"/>
    <mergeCell ref="BB37:BB38"/>
    <mergeCell ref="BB52:BB53"/>
    <mergeCell ref="BB5:BB7"/>
    <mergeCell ref="BB8:BB9"/>
    <mergeCell ref="BB10:BB11"/>
    <mergeCell ref="BB12:BB13"/>
    <mergeCell ref="BB14:BB17"/>
    <mergeCell ref="BB18:BB19"/>
    <mergeCell ref="AZ70:AZ71"/>
    <mergeCell ref="BA70:BA71"/>
    <mergeCell ref="BB70:BB71"/>
    <mergeCell ref="AZ5:AZ7"/>
    <mergeCell ref="BA5:BA7"/>
    <mergeCell ref="AZ8:AZ9"/>
    <mergeCell ref="BA8:BA9"/>
    <mergeCell ref="AZ10:AZ11"/>
    <mergeCell ref="BA10:BA11"/>
    <mergeCell ref="AZ39:AZ40"/>
    <mergeCell ref="AO97:AO98"/>
    <mergeCell ref="AO99:AO100"/>
    <mergeCell ref="AO103:AO104"/>
    <mergeCell ref="AO107:AO108"/>
    <mergeCell ref="AO109:AO110"/>
    <mergeCell ref="AO111:AO112"/>
    <mergeCell ref="AO68:AO69"/>
    <mergeCell ref="AO70:AO71"/>
    <mergeCell ref="AO72:AO73"/>
    <mergeCell ref="AO81:AO82"/>
    <mergeCell ref="AO90:AO91"/>
    <mergeCell ref="AO93:AO94"/>
    <mergeCell ref="AO52:AO53"/>
    <mergeCell ref="AO54:AO55"/>
    <mergeCell ref="AO56:AO57"/>
    <mergeCell ref="AO58:AO59"/>
    <mergeCell ref="AO60:AO64"/>
    <mergeCell ref="AO65:AO66"/>
    <mergeCell ref="AO33:AO34"/>
    <mergeCell ref="AO35:AO36"/>
    <mergeCell ref="AO37:AO38"/>
    <mergeCell ref="AO39:AO41"/>
    <mergeCell ref="AO44:AO45"/>
    <mergeCell ref="AO50:AO51"/>
    <mergeCell ref="AO20:AO22"/>
    <mergeCell ref="AO23:AO24"/>
    <mergeCell ref="AO25:AO26"/>
    <mergeCell ref="AO27:AO28"/>
    <mergeCell ref="AO29:AO30"/>
    <mergeCell ref="AO31:AO32"/>
    <mergeCell ref="AO3:AO4"/>
    <mergeCell ref="AO5:AO9"/>
    <mergeCell ref="AO10:AO11"/>
    <mergeCell ref="AO12:AO13"/>
    <mergeCell ref="AO14:AO17"/>
    <mergeCell ref="AO18:AO19"/>
    <mergeCell ref="AL20:AL22"/>
    <mergeCell ref="AT68:AT69"/>
    <mergeCell ref="AL70:AL71"/>
    <mergeCell ref="AA3:AA4"/>
    <mergeCell ref="AL3:AL4"/>
    <mergeCell ref="AZ3:BB3"/>
    <mergeCell ref="AL68:AL69"/>
    <mergeCell ref="AP3:AP4"/>
    <mergeCell ref="AS3:AU3"/>
    <mergeCell ref="AQ3:AR3"/>
    <mergeCell ref="AH29:AH30"/>
    <mergeCell ref="AR97:AR98"/>
    <mergeCell ref="AS70:AS71"/>
    <mergeCell ref="AT70:AT71"/>
    <mergeCell ref="AU70:AU71"/>
    <mergeCell ref="AS18:AS19"/>
    <mergeCell ref="AT54:AT59"/>
    <mergeCell ref="AU54:AU59"/>
    <mergeCell ref="AS29:AS30"/>
    <mergeCell ref="AT29:AT30"/>
    <mergeCell ref="AS68:AS69"/>
    <mergeCell ref="AR101:AR102"/>
    <mergeCell ref="AR103:AR104"/>
    <mergeCell ref="AR107:AR112"/>
    <mergeCell ref="AR18:AR19"/>
    <mergeCell ref="AR20:AR22"/>
    <mergeCell ref="AR44:AR45"/>
    <mergeCell ref="AR95:AR96"/>
    <mergeCell ref="AR70:AR71"/>
    <mergeCell ref="AR39:AR41"/>
    <mergeCell ref="AR83:AR85"/>
    <mergeCell ref="G60:G66"/>
    <mergeCell ref="G31:G34"/>
    <mergeCell ref="G35:G41"/>
    <mergeCell ref="AF48:AF49"/>
    <mergeCell ref="S33:S34"/>
    <mergeCell ref="AF70:AF71"/>
    <mergeCell ref="AD33:AD34"/>
    <mergeCell ref="AF33:AF34"/>
    <mergeCell ref="T67:T68"/>
    <mergeCell ref="T58:T59"/>
    <mergeCell ref="AL27:AL28"/>
    <mergeCell ref="AU5:AU6"/>
    <mergeCell ref="AG70:AG71"/>
    <mergeCell ref="AH70:AH71"/>
    <mergeCell ref="AT18:AT19"/>
    <mergeCell ref="AU18:AU19"/>
    <mergeCell ref="AS54:AS59"/>
    <mergeCell ref="AG56:AG57"/>
    <mergeCell ref="AH56:AH57"/>
    <mergeCell ref="AH8:AH9"/>
    <mergeCell ref="AG18:AG19"/>
    <mergeCell ref="AH18:AH19"/>
    <mergeCell ref="AF23:AF24"/>
    <mergeCell ref="AF8:AF9"/>
    <mergeCell ref="AG23:AG24"/>
    <mergeCell ref="AH23:AH24"/>
    <mergeCell ref="T14:T17"/>
    <mergeCell ref="U14:U17"/>
    <mergeCell ref="S18:S19"/>
    <mergeCell ref="AF18:AF19"/>
    <mergeCell ref="AB3:AB4"/>
    <mergeCell ref="AG8:AG9"/>
    <mergeCell ref="T8:T9"/>
    <mergeCell ref="U8:U9"/>
    <mergeCell ref="S14:S17"/>
    <mergeCell ref="AA5:AA13"/>
    <mergeCell ref="C107:C112"/>
    <mergeCell ref="B90:B112"/>
    <mergeCell ref="C72:C73"/>
    <mergeCell ref="C60:C66"/>
    <mergeCell ref="B60:B73"/>
    <mergeCell ref="C75:C89"/>
    <mergeCell ref="B74:B89"/>
    <mergeCell ref="C90:C98"/>
    <mergeCell ref="C99:C100"/>
    <mergeCell ref="C101:C106"/>
    <mergeCell ref="B3:B4"/>
    <mergeCell ref="C3:C4"/>
    <mergeCell ref="C5:C24"/>
    <mergeCell ref="C35:C41"/>
    <mergeCell ref="B5:B34"/>
    <mergeCell ref="G138:G140"/>
    <mergeCell ref="B35:B59"/>
    <mergeCell ref="C68:C71"/>
    <mergeCell ref="F76:F77"/>
    <mergeCell ref="G50:G59"/>
    <mergeCell ref="AV3:AW3"/>
    <mergeCell ref="AG33:AG34"/>
    <mergeCell ref="AH33:AH34"/>
    <mergeCell ref="AH14:AH17"/>
    <mergeCell ref="AF82:AF83"/>
    <mergeCell ref="AX3:AY3"/>
    <mergeCell ref="AF3:AH3"/>
    <mergeCell ref="AF14:AF17"/>
    <mergeCell ref="AG14:AG17"/>
    <mergeCell ref="AG82:AG83"/>
    <mergeCell ref="C25:C30"/>
    <mergeCell ref="F6:F7"/>
    <mergeCell ref="F14:F16"/>
    <mergeCell ref="G14:G24"/>
    <mergeCell ref="G25:G30"/>
    <mergeCell ref="W3:Y3"/>
    <mergeCell ref="H3:J3"/>
    <mergeCell ref="S3:U3"/>
    <mergeCell ref="R3:R4"/>
    <mergeCell ref="S8:S9"/>
    <mergeCell ref="G145:G149"/>
    <mergeCell ref="G90:G98"/>
    <mergeCell ref="G75:G80"/>
    <mergeCell ref="G81:G82"/>
    <mergeCell ref="G83:G89"/>
    <mergeCell ref="G152:G154"/>
    <mergeCell ref="G99:G100"/>
    <mergeCell ref="G101:G112"/>
    <mergeCell ref="G119:G120"/>
    <mergeCell ref="G124:G125"/>
    <mergeCell ref="A3:A4"/>
    <mergeCell ref="D3:D4"/>
    <mergeCell ref="E3:E4"/>
    <mergeCell ref="F3:F4"/>
    <mergeCell ref="G141:G143"/>
    <mergeCell ref="G126:G127"/>
    <mergeCell ref="G128:G130"/>
    <mergeCell ref="G131:G135"/>
    <mergeCell ref="G136:G137"/>
    <mergeCell ref="G3:G4"/>
    <mergeCell ref="BC3:BD3"/>
    <mergeCell ref="B1:BD1"/>
    <mergeCell ref="A2:BD2"/>
    <mergeCell ref="G68:G73"/>
    <mergeCell ref="G42:G49"/>
    <mergeCell ref="C31:C34"/>
    <mergeCell ref="C42:C49"/>
    <mergeCell ref="C50:C59"/>
    <mergeCell ref="G5:G13"/>
    <mergeCell ref="AC3:AD3"/>
    <mergeCell ref="AH82:AH83"/>
    <mergeCell ref="AG48:AG49"/>
    <mergeCell ref="AH48:AH49"/>
    <mergeCell ref="AF50:AF51"/>
    <mergeCell ref="AH50:AH51"/>
    <mergeCell ref="AF58:AF59"/>
    <mergeCell ref="AG58:AG59"/>
    <mergeCell ref="AH58:AH59"/>
    <mergeCell ref="AH52:AH53"/>
    <mergeCell ref="AF56:AF57"/>
    <mergeCell ref="S23:S24"/>
    <mergeCell ref="T23:T24"/>
    <mergeCell ref="T33:T34"/>
    <mergeCell ref="T18:T19"/>
    <mergeCell ref="U18:U19"/>
    <mergeCell ref="U33:U34"/>
    <mergeCell ref="U23:U24"/>
    <mergeCell ref="S48:S49"/>
    <mergeCell ref="T48:T49"/>
    <mergeCell ref="U48:U49"/>
    <mergeCell ref="AG52:AG53"/>
    <mergeCell ref="AG50:AG51"/>
    <mergeCell ref="S82:S83"/>
    <mergeCell ref="T82:T83"/>
    <mergeCell ref="U82:U83"/>
    <mergeCell ref="S52:S53"/>
    <mergeCell ref="T52:T53"/>
    <mergeCell ref="U52:U53"/>
    <mergeCell ref="S58:S59"/>
    <mergeCell ref="S67:S68"/>
    <mergeCell ref="U58:U59"/>
    <mergeCell ref="AG54:AG55"/>
    <mergeCell ref="S6:S7"/>
    <mergeCell ref="T6:T7"/>
    <mergeCell ref="U6:U7"/>
    <mergeCell ref="AF29:AF30"/>
    <mergeCell ref="AG29:AG30"/>
    <mergeCell ref="S50:S51"/>
    <mergeCell ref="T50:T51"/>
    <mergeCell ref="U50:U51"/>
    <mergeCell ref="AH54:AH55"/>
    <mergeCell ref="AE81:AE82"/>
    <mergeCell ref="AE3:AE4"/>
    <mergeCell ref="AE5:AE13"/>
    <mergeCell ref="AE14:AE24"/>
    <mergeCell ref="AE25:AE30"/>
    <mergeCell ref="AE31:AE34"/>
    <mergeCell ref="AE35:AE41"/>
    <mergeCell ref="AF54:AF55"/>
    <mergeCell ref="AF52:AF53"/>
    <mergeCell ref="AE83:AE89"/>
    <mergeCell ref="AE90:AE98"/>
    <mergeCell ref="AE99:AE100"/>
    <mergeCell ref="AE101:AE112"/>
    <mergeCell ref="AE42:AE49"/>
    <mergeCell ref="AE50:AE59"/>
    <mergeCell ref="AE60:AE66"/>
    <mergeCell ref="AE68:AE73"/>
    <mergeCell ref="AE75:AE80"/>
    <mergeCell ref="AS5:AS7"/>
    <mergeCell ref="AT5:AT7"/>
    <mergeCell ref="AR23:AR24"/>
    <mergeCell ref="AS23:AS24"/>
    <mergeCell ref="AT23:AT24"/>
    <mergeCell ref="AS27:AS28"/>
    <mergeCell ref="AT27:AT28"/>
    <mergeCell ref="AS35:AS36"/>
    <mergeCell ref="AT35:AT36"/>
    <mergeCell ref="AS37:AS38"/>
    <mergeCell ref="AT37:AT38"/>
    <mergeCell ref="AS39:AS41"/>
    <mergeCell ref="AT39:AT41"/>
    <mergeCell ref="AS81:AS82"/>
    <mergeCell ref="AT81:AT82"/>
    <mergeCell ref="AU81:AU82"/>
    <mergeCell ref="AL72:AL73"/>
    <mergeCell ref="AS50:AS51"/>
    <mergeCell ref="AT50:AT51"/>
    <mergeCell ref="AL52:AL53"/>
    <mergeCell ref="AS52:AS53"/>
    <mergeCell ref="AT52:AT53"/>
    <mergeCell ref="AL50:AL51"/>
    <mergeCell ref="AL90:AL91"/>
    <mergeCell ref="AL29:AL30"/>
    <mergeCell ref="AL81:AL82"/>
    <mergeCell ref="AS60:AS64"/>
    <mergeCell ref="AT60:AT64"/>
    <mergeCell ref="AL5:AL9"/>
    <mergeCell ref="AL12:AL13"/>
    <mergeCell ref="AR12:AR13"/>
    <mergeCell ref="AL14:AL17"/>
    <mergeCell ref="AL18:AL19"/>
    <mergeCell ref="AA35:AA41"/>
    <mergeCell ref="AA50:AA59"/>
    <mergeCell ref="AA60:AA66"/>
    <mergeCell ref="AL37:AL38"/>
    <mergeCell ref="AL99:AL100"/>
    <mergeCell ref="AL31:AL32"/>
    <mergeCell ref="AL60:AL64"/>
    <mergeCell ref="AL65:AL66"/>
    <mergeCell ref="AL56:AL57"/>
    <mergeCell ref="AL58:AL59"/>
    <mergeCell ref="AL25:AL26"/>
    <mergeCell ref="AL10:AL11"/>
    <mergeCell ref="R5:R13"/>
    <mergeCell ref="R14:R24"/>
    <mergeCell ref="R25:R30"/>
    <mergeCell ref="R31:R34"/>
    <mergeCell ref="AA14:AA24"/>
    <mergeCell ref="AA25:AA30"/>
    <mergeCell ref="AA31:AA34"/>
    <mergeCell ref="AL23:AL24"/>
    <mergeCell ref="R35:R41"/>
    <mergeCell ref="R50:R59"/>
    <mergeCell ref="R60:R66"/>
    <mergeCell ref="R68:R73"/>
    <mergeCell ref="R90:R94"/>
    <mergeCell ref="R42:R43"/>
    <mergeCell ref="AL54:AL55"/>
    <mergeCell ref="R81:R82"/>
    <mergeCell ref="AA81:AA82"/>
    <mergeCell ref="R103:R104"/>
    <mergeCell ref="AA103:AA104"/>
    <mergeCell ref="R105:R106"/>
    <mergeCell ref="AA105:AA106"/>
    <mergeCell ref="AA99:AA100"/>
    <mergeCell ref="AA68:AA73"/>
    <mergeCell ref="AA90:AA94"/>
    <mergeCell ref="AA111:AA112"/>
    <mergeCell ref="AA42:AA43"/>
    <mergeCell ref="R48:R49"/>
    <mergeCell ref="AA48:AA49"/>
    <mergeCell ref="R75:R77"/>
    <mergeCell ref="AA75:AA77"/>
    <mergeCell ref="R78:R79"/>
    <mergeCell ref="AA78:AA79"/>
    <mergeCell ref="AA107:AA108"/>
    <mergeCell ref="AA109:AA110"/>
    <mergeCell ref="AL44:AL45"/>
    <mergeCell ref="AL39:AL41"/>
    <mergeCell ref="AL35:AL36"/>
    <mergeCell ref="AL33:AL34"/>
    <mergeCell ref="AL111:AL112"/>
    <mergeCell ref="AL109:AL110"/>
    <mergeCell ref="AL107:AL108"/>
    <mergeCell ref="AL103:AL104"/>
    <mergeCell ref="AL93:AL94"/>
    <mergeCell ref="AL97:AL98"/>
    <mergeCell ref="BA39:BA40"/>
    <mergeCell ref="BB39:BB40"/>
    <mergeCell ref="AZ52:AZ53"/>
    <mergeCell ref="BA52:BA53"/>
    <mergeCell ref="AZ56:AZ57"/>
    <mergeCell ref="BA56:BA57"/>
    <mergeCell ref="AZ50:AZ51"/>
    <mergeCell ref="BA50:BA51"/>
    <mergeCell ref="BB56:BB57"/>
    <mergeCell ref="BB50:BB51"/>
    <mergeCell ref="AZ58:AZ59"/>
    <mergeCell ref="BA58:BA59"/>
    <mergeCell ref="AZ12:AZ13"/>
    <mergeCell ref="BA12:BA13"/>
    <mergeCell ref="AZ68:AZ69"/>
    <mergeCell ref="BA68:BA69"/>
    <mergeCell ref="AZ18:AZ19"/>
    <mergeCell ref="BA18:BA19"/>
    <mergeCell ref="AZ14:AZ17"/>
    <mergeCell ref="BA14:BA17"/>
    <mergeCell ref="AZ23:AZ24"/>
    <mergeCell ref="BA23:BA24"/>
    <mergeCell ref="AZ37:AZ38"/>
    <mergeCell ref="BA37:BA38"/>
    <mergeCell ref="AZ25:AZ26"/>
    <mergeCell ref="BA25:BA26"/>
    <mergeCell ref="AZ27:AZ28"/>
    <mergeCell ref="BA27:BA28"/>
    <mergeCell ref="AZ29:AZ30"/>
    <mergeCell ref="BA29:BA30"/>
  </mergeCells>
  <printOptions/>
  <pageMargins left="0.7" right="0.7" top="0.75" bottom="0.75" header="0.3" footer="0.3"/>
  <pageSetup orientation="landscape" paperSize="5" r:id="rId2"/>
  <ignoredErrors>
    <ignoredError sqref="AC37 AC82" formula="1"/>
  </ignoredErrors>
  <drawing r:id="rId1"/>
</worksheet>
</file>

<file path=xl/worksheets/sheet10.xml><?xml version="1.0" encoding="utf-8"?>
<worksheet xmlns="http://schemas.openxmlformats.org/spreadsheetml/2006/main" xmlns:r="http://schemas.openxmlformats.org/officeDocument/2006/relationships">
  <dimension ref="A1:B37"/>
  <sheetViews>
    <sheetView zoomScalePageLayoutView="0" workbookViewId="0" topLeftCell="A11">
      <selection activeCell="N19" sqref="N19"/>
    </sheetView>
  </sheetViews>
  <sheetFormatPr defaultColWidth="11.421875" defaultRowHeight="15"/>
  <cols>
    <col min="1" max="1" width="23.140625" style="0" customWidth="1"/>
  </cols>
  <sheetData>
    <row r="1" spans="1:2" ht="14.25">
      <c r="A1" s="60" t="s">
        <v>367</v>
      </c>
      <c r="B1" s="60" t="s">
        <v>368</v>
      </c>
    </row>
    <row r="2" spans="1:2" ht="14.25">
      <c r="A2" s="40" t="s">
        <v>369</v>
      </c>
      <c r="B2" s="40">
        <v>4</v>
      </c>
    </row>
    <row r="3" spans="1:2" ht="14.25">
      <c r="A3" s="40" t="s">
        <v>370</v>
      </c>
      <c r="B3" s="40">
        <v>17</v>
      </c>
    </row>
    <row r="4" spans="1:2" ht="14.25">
      <c r="A4" s="40" t="s">
        <v>371</v>
      </c>
      <c r="B4" s="40">
        <v>9</v>
      </c>
    </row>
    <row r="5" spans="1:2" ht="14.25">
      <c r="A5" s="40"/>
      <c r="B5" s="40"/>
    </row>
    <row r="6" spans="1:2" ht="14.25">
      <c r="A6" s="40"/>
      <c r="B6" s="40"/>
    </row>
    <row r="8" spans="1:2" ht="14.25">
      <c r="A8" s="60" t="s">
        <v>367</v>
      </c>
      <c r="B8" s="60" t="s">
        <v>368</v>
      </c>
    </row>
    <row r="9" spans="1:2" ht="14.25">
      <c r="A9" s="40" t="s">
        <v>372</v>
      </c>
      <c r="B9" s="40">
        <v>6</v>
      </c>
    </row>
    <row r="10" spans="1:2" ht="14.25">
      <c r="A10" s="40" t="s">
        <v>373</v>
      </c>
      <c r="B10" s="40">
        <v>12</v>
      </c>
    </row>
    <row r="11" spans="1:2" ht="14.25">
      <c r="A11" s="40" t="s">
        <v>371</v>
      </c>
      <c r="B11" s="40">
        <v>7</v>
      </c>
    </row>
    <row r="15" spans="1:2" ht="14.25">
      <c r="A15" s="60" t="s">
        <v>367</v>
      </c>
      <c r="B15" s="60" t="s">
        <v>368</v>
      </c>
    </row>
    <row r="16" spans="1:2" ht="14.25">
      <c r="A16" s="40" t="s">
        <v>375</v>
      </c>
      <c r="B16" s="40">
        <v>21</v>
      </c>
    </row>
    <row r="17" spans="1:2" ht="14.25">
      <c r="A17" s="40" t="s">
        <v>374</v>
      </c>
      <c r="B17" s="40">
        <v>2</v>
      </c>
    </row>
    <row r="35" spans="1:2" ht="14.25">
      <c r="A35" s="56"/>
      <c r="B35" s="56"/>
    </row>
    <row r="36" spans="1:2" ht="14.25">
      <c r="A36" s="41"/>
      <c r="B36" s="41"/>
    </row>
    <row r="37" spans="1:2" ht="14.25">
      <c r="A37" s="62"/>
      <c r="B37" s="41"/>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5"/>
  <sheetViews>
    <sheetView zoomScalePageLayoutView="0" workbookViewId="0" topLeftCell="B1">
      <pane xSplit="1" ySplit="2" topLeftCell="C4" activePane="bottomRight" state="frozen"/>
      <selection pane="topLeft" activeCell="B1" sqref="B1"/>
      <selection pane="topRight" activeCell="C1" sqref="C1"/>
      <selection pane="bottomLeft" activeCell="B3" sqref="B3"/>
      <selection pane="bottomRight" activeCell="G8" sqref="G8"/>
    </sheetView>
  </sheetViews>
  <sheetFormatPr defaultColWidth="11.421875" defaultRowHeight="15"/>
  <cols>
    <col min="1" max="1" width="26.7109375" style="40" bestFit="1" customWidth="1"/>
    <col min="2" max="2" width="14.00390625" style="40" customWidth="1"/>
    <col min="3" max="3" width="41.7109375" style="40" customWidth="1"/>
    <col min="4" max="4" width="19.8515625" style="40" bestFit="1" customWidth="1"/>
    <col min="5" max="5" width="49.28125" style="40" customWidth="1"/>
    <col min="6" max="6" width="19.8515625" style="40" customWidth="1"/>
    <col min="7" max="7" width="61.00390625" style="40" customWidth="1"/>
    <col min="8" max="8" width="13.8515625" style="40" customWidth="1"/>
    <col min="9" max="16384" width="11.421875" style="40" customWidth="1"/>
  </cols>
  <sheetData>
    <row r="1" spans="1:8" ht="14.25">
      <c r="A1" s="294" t="s">
        <v>350</v>
      </c>
      <c r="B1" s="294"/>
      <c r="C1" s="294"/>
      <c r="D1" s="294"/>
      <c r="E1" s="294"/>
      <c r="F1" s="294"/>
      <c r="G1" s="294"/>
      <c r="H1" s="294"/>
    </row>
    <row r="2" spans="1:8" ht="28.5" customHeight="1">
      <c r="A2" s="47" t="s">
        <v>259</v>
      </c>
      <c r="B2" s="47" t="s">
        <v>349</v>
      </c>
      <c r="C2" s="47" t="s">
        <v>348</v>
      </c>
      <c r="D2" s="47" t="s">
        <v>363</v>
      </c>
      <c r="E2" s="54"/>
      <c r="F2" s="53" t="s">
        <v>364</v>
      </c>
      <c r="G2" s="47" t="s">
        <v>347</v>
      </c>
      <c r="H2" s="46" t="s">
        <v>262</v>
      </c>
    </row>
    <row r="3" spans="1:8" ht="57">
      <c r="A3" s="41" t="s">
        <v>257</v>
      </c>
      <c r="B3" s="41" t="s">
        <v>266</v>
      </c>
      <c r="C3" s="45" t="s">
        <v>346</v>
      </c>
      <c r="D3" s="43">
        <v>42860</v>
      </c>
      <c r="E3" s="45" t="s">
        <v>345</v>
      </c>
      <c r="F3" s="43" t="s">
        <v>378</v>
      </c>
      <c r="G3" s="40" t="s">
        <v>377</v>
      </c>
      <c r="H3" s="41" t="s">
        <v>263</v>
      </c>
    </row>
    <row r="4" spans="1:8" ht="14.25">
      <c r="A4" s="41" t="s">
        <v>257</v>
      </c>
      <c r="B4" s="41" t="s">
        <v>286</v>
      </c>
      <c r="C4" s="45" t="s">
        <v>344</v>
      </c>
      <c r="D4" s="43">
        <v>42872</v>
      </c>
      <c r="E4" s="42" t="s">
        <v>264</v>
      </c>
      <c r="F4" s="43" t="s">
        <v>378</v>
      </c>
      <c r="G4" s="40" t="s">
        <v>379</v>
      </c>
      <c r="H4" s="41" t="s">
        <v>263</v>
      </c>
    </row>
    <row r="5" spans="1:8" ht="14.25">
      <c r="A5" s="41" t="s">
        <v>257</v>
      </c>
      <c r="B5" s="41" t="s">
        <v>285</v>
      </c>
      <c r="C5" s="41" t="s">
        <v>343</v>
      </c>
      <c r="D5" s="43">
        <v>42874</v>
      </c>
      <c r="E5" s="42" t="s">
        <v>264</v>
      </c>
      <c r="F5" s="43" t="s">
        <v>378</v>
      </c>
      <c r="G5" s="40" t="s">
        <v>380</v>
      </c>
      <c r="H5" s="41" t="s">
        <v>263</v>
      </c>
    </row>
    <row r="6" spans="1:8" ht="14.25">
      <c r="A6" s="41" t="s">
        <v>257</v>
      </c>
      <c r="B6" s="41" t="s">
        <v>283</v>
      </c>
      <c r="C6" s="41" t="s">
        <v>342</v>
      </c>
      <c r="D6" s="43">
        <v>42874</v>
      </c>
      <c r="E6" s="42" t="s">
        <v>264</v>
      </c>
      <c r="F6" s="43"/>
      <c r="H6" s="41" t="s">
        <v>263</v>
      </c>
    </row>
    <row r="7" spans="1:8" ht="14.25">
      <c r="A7" s="41" t="s">
        <v>257</v>
      </c>
      <c r="B7" s="41" t="s">
        <v>280</v>
      </c>
      <c r="C7" s="41" t="s">
        <v>341</v>
      </c>
      <c r="D7" s="43">
        <v>42878</v>
      </c>
      <c r="E7" s="42" t="s">
        <v>264</v>
      </c>
      <c r="F7" s="43"/>
      <c r="H7" s="41" t="s">
        <v>263</v>
      </c>
    </row>
    <row r="8" spans="1:8" ht="14.25">
      <c r="A8" s="41" t="s">
        <v>257</v>
      </c>
      <c r="B8" s="41" t="s">
        <v>274</v>
      </c>
      <c r="C8" s="41" t="s">
        <v>340</v>
      </c>
      <c r="D8" s="43">
        <v>42878</v>
      </c>
      <c r="E8" s="42" t="s">
        <v>264</v>
      </c>
      <c r="F8" s="43" t="s">
        <v>378</v>
      </c>
      <c r="G8" s="40" t="s">
        <v>381</v>
      </c>
      <c r="H8" s="41" t="s">
        <v>263</v>
      </c>
    </row>
    <row r="9" spans="1:8" ht="14.25">
      <c r="A9" s="41" t="s">
        <v>257</v>
      </c>
      <c r="B9" s="41" t="s">
        <v>277</v>
      </c>
      <c r="C9" s="41" t="s">
        <v>339</v>
      </c>
      <c r="D9" s="43">
        <v>42878</v>
      </c>
      <c r="E9" s="42" t="s">
        <v>264</v>
      </c>
      <c r="F9" s="43"/>
      <c r="H9" s="41" t="s">
        <v>263</v>
      </c>
    </row>
    <row r="10" spans="1:8" ht="14.25">
      <c r="A10" s="41" t="s">
        <v>257</v>
      </c>
      <c r="B10" s="41" t="s">
        <v>279</v>
      </c>
      <c r="C10" s="41" t="s">
        <v>382</v>
      </c>
      <c r="D10" s="43">
        <v>42880</v>
      </c>
      <c r="E10" s="42" t="s">
        <v>264</v>
      </c>
      <c r="F10" s="43" t="s">
        <v>378</v>
      </c>
      <c r="G10" s="40" t="s">
        <v>381</v>
      </c>
      <c r="H10" s="41" t="s">
        <v>263</v>
      </c>
    </row>
    <row r="11" spans="1:8" ht="28.5">
      <c r="A11" s="41" t="s">
        <v>257</v>
      </c>
      <c r="B11" s="41" t="s">
        <v>282</v>
      </c>
      <c r="C11" s="41" t="s">
        <v>338</v>
      </c>
      <c r="D11" s="43">
        <v>42887</v>
      </c>
      <c r="E11" s="42" t="s">
        <v>337</v>
      </c>
      <c r="F11" s="43"/>
      <c r="H11" s="41" t="s">
        <v>263</v>
      </c>
    </row>
    <row r="12" spans="1:8" ht="14.25">
      <c r="A12" s="41" t="s">
        <v>257</v>
      </c>
      <c r="B12" s="41" t="s">
        <v>276</v>
      </c>
      <c r="C12" s="41"/>
      <c r="D12" s="41"/>
      <c r="E12" s="41" t="s">
        <v>273</v>
      </c>
      <c r="F12" s="41"/>
      <c r="H12" s="41" t="s">
        <v>272</v>
      </c>
    </row>
    <row r="13" spans="1:8" ht="14.25">
      <c r="A13" s="41" t="s">
        <v>257</v>
      </c>
      <c r="B13" s="41" t="s">
        <v>275</v>
      </c>
      <c r="C13" s="41"/>
      <c r="D13" s="41"/>
      <c r="E13" s="41" t="s">
        <v>273</v>
      </c>
      <c r="F13" s="41"/>
      <c r="H13" s="41" t="s">
        <v>272</v>
      </c>
    </row>
    <row r="14" spans="1:8" ht="14.25">
      <c r="A14" s="41" t="s">
        <v>257</v>
      </c>
      <c r="B14" s="41" t="s">
        <v>281</v>
      </c>
      <c r="C14" s="41"/>
      <c r="D14" s="41"/>
      <c r="E14" s="41" t="s">
        <v>273</v>
      </c>
      <c r="F14" s="41"/>
      <c r="H14" s="41" t="s">
        <v>272</v>
      </c>
    </row>
    <row r="15" spans="1:8" ht="14.25">
      <c r="A15" s="41" t="s">
        <v>256</v>
      </c>
      <c r="B15" s="41" t="s">
        <v>266</v>
      </c>
      <c r="C15" s="41" t="s">
        <v>336</v>
      </c>
      <c r="D15" s="41"/>
      <c r="E15" s="41" t="s">
        <v>273</v>
      </c>
      <c r="F15" s="41"/>
      <c r="H15" s="41" t="s">
        <v>272</v>
      </c>
    </row>
    <row r="16" spans="1:8" ht="14.25">
      <c r="A16" s="41" t="s">
        <v>255</v>
      </c>
      <c r="B16" s="41" t="s">
        <v>266</v>
      </c>
      <c r="C16" s="41"/>
      <c r="D16" s="41"/>
      <c r="E16" s="41" t="s">
        <v>273</v>
      </c>
      <c r="F16" s="41"/>
      <c r="H16" s="41" t="s">
        <v>272</v>
      </c>
    </row>
    <row r="17" spans="1:8" ht="14.25">
      <c r="A17" s="41" t="s">
        <v>254</v>
      </c>
      <c r="B17" s="41" t="s">
        <v>290</v>
      </c>
      <c r="C17" s="41"/>
      <c r="D17" s="41"/>
      <c r="E17" s="41" t="s">
        <v>273</v>
      </c>
      <c r="F17" s="41"/>
      <c r="H17" s="41" t="s">
        <v>272</v>
      </c>
    </row>
    <row r="18" spans="1:8" ht="14.25">
      <c r="A18" s="44" t="s">
        <v>253</v>
      </c>
      <c r="B18" s="44" t="s">
        <v>277</v>
      </c>
      <c r="C18" s="41" t="s">
        <v>335</v>
      </c>
      <c r="D18" s="43">
        <v>42860</v>
      </c>
      <c r="E18" s="42" t="s">
        <v>264</v>
      </c>
      <c r="F18" s="43"/>
      <c r="H18" s="41" t="s">
        <v>263</v>
      </c>
    </row>
    <row r="19" spans="1:8" ht="14.25">
      <c r="A19" s="41" t="s">
        <v>253</v>
      </c>
      <c r="B19" s="41" t="s">
        <v>279</v>
      </c>
      <c r="C19" s="41" t="s">
        <v>334</v>
      </c>
      <c r="D19" s="43">
        <v>42877</v>
      </c>
      <c r="E19" s="42" t="s">
        <v>264</v>
      </c>
      <c r="F19" s="43"/>
      <c r="H19" s="41" t="s">
        <v>263</v>
      </c>
    </row>
    <row r="20" spans="1:8" ht="14.25">
      <c r="A20" s="41" t="s">
        <v>253</v>
      </c>
      <c r="B20" s="41" t="s">
        <v>282</v>
      </c>
      <c r="C20" s="41" t="s">
        <v>333</v>
      </c>
      <c r="D20" s="43">
        <v>42879</v>
      </c>
      <c r="E20" s="42" t="s">
        <v>264</v>
      </c>
      <c r="F20" s="43"/>
      <c r="H20" s="41" t="s">
        <v>263</v>
      </c>
    </row>
    <row r="21" spans="1:8" ht="14.25">
      <c r="A21" s="41" t="s">
        <v>253</v>
      </c>
      <c r="B21" s="41" t="s">
        <v>280</v>
      </c>
      <c r="C21" s="41" t="s">
        <v>332</v>
      </c>
      <c r="D21" s="43">
        <v>42881</v>
      </c>
      <c r="E21" s="42" t="s">
        <v>264</v>
      </c>
      <c r="F21" s="43"/>
      <c r="H21" s="41" t="s">
        <v>263</v>
      </c>
    </row>
    <row r="22" spans="1:8" ht="14.25">
      <c r="A22" s="41" t="s">
        <v>253</v>
      </c>
      <c r="B22" s="41" t="s">
        <v>266</v>
      </c>
      <c r="C22" s="41" t="s">
        <v>331</v>
      </c>
      <c r="D22" s="43">
        <v>42887</v>
      </c>
      <c r="E22" s="42" t="s">
        <v>264</v>
      </c>
      <c r="F22" s="43"/>
      <c r="H22" s="41" t="s">
        <v>263</v>
      </c>
    </row>
    <row r="23" spans="1:8" ht="14.25">
      <c r="A23" s="41" t="s">
        <v>253</v>
      </c>
      <c r="B23" s="41" t="s">
        <v>266</v>
      </c>
      <c r="C23" s="41" t="s">
        <v>330</v>
      </c>
      <c r="D23" s="43">
        <v>42887</v>
      </c>
      <c r="E23" s="42" t="s">
        <v>264</v>
      </c>
      <c r="F23" s="43"/>
      <c r="H23" s="41" t="s">
        <v>263</v>
      </c>
    </row>
    <row r="24" spans="1:8" ht="14.25">
      <c r="A24" s="41" t="s">
        <v>253</v>
      </c>
      <c r="B24" s="41" t="s">
        <v>280</v>
      </c>
      <c r="C24" s="41" t="s">
        <v>329</v>
      </c>
      <c r="D24" s="41"/>
      <c r="E24" s="41" t="s">
        <v>273</v>
      </c>
      <c r="F24" s="41"/>
      <c r="H24" s="41" t="s">
        <v>272</v>
      </c>
    </row>
    <row r="25" spans="1:8" ht="14.25">
      <c r="A25" s="41" t="s">
        <v>253</v>
      </c>
      <c r="B25" s="41" t="s">
        <v>274</v>
      </c>
      <c r="C25" s="41" t="s">
        <v>328</v>
      </c>
      <c r="D25" s="41"/>
      <c r="E25" s="41" t="s">
        <v>273</v>
      </c>
      <c r="F25" s="41"/>
      <c r="H25" s="41" t="s">
        <v>272</v>
      </c>
    </row>
    <row r="26" spans="1:8" ht="14.25">
      <c r="A26" s="41" t="s">
        <v>253</v>
      </c>
      <c r="B26" s="41" t="s">
        <v>276</v>
      </c>
      <c r="C26" s="41" t="s">
        <v>327</v>
      </c>
      <c r="D26" s="41"/>
      <c r="E26" s="41" t="s">
        <v>273</v>
      </c>
      <c r="F26" s="41"/>
      <c r="H26" s="41" t="s">
        <v>272</v>
      </c>
    </row>
    <row r="27" spans="1:8" ht="14.25">
      <c r="A27" s="41" t="s">
        <v>253</v>
      </c>
      <c r="B27" s="41" t="s">
        <v>275</v>
      </c>
      <c r="C27" s="41" t="s">
        <v>326</v>
      </c>
      <c r="D27" s="41"/>
      <c r="E27" s="41" t="s">
        <v>273</v>
      </c>
      <c r="F27" s="41"/>
      <c r="H27" s="41" t="s">
        <v>272</v>
      </c>
    </row>
    <row r="28" spans="1:8" ht="14.25">
      <c r="A28" s="41" t="s">
        <v>253</v>
      </c>
      <c r="B28" s="41" t="s">
        <v>281</v>
      </c>
      <c r="C28" s="41" t="s">
        <v>325</v>
      </c>
      <c r="D28" s="41"/>
      <c r="E28" s="41" t="s">
        <v>273</v>
      </c>
      <c r="F28" s="41"/>
      <c r="H28" s="41" t="s">
        <v>272</v>
      </c>
    </row>
    <row r="29" spans="1:8" ht="14.25">
      <c r="A29" s="44" t="s">
        <v>252</v>
      </c>
      <c r="B29" s="44" t="s">
        <v>266</v>
      </c>
      <c r="C29" s="44" t="s">
        <v>324</v>
      </c>
      <c r="D29" s="43">
        <v>42867</v>
      </c>
      <c r="E29" s="42" t="s">
        <v>264</v>
      </c>
      <c r="F29" s="43"/>
      <c r="H29" s="41" t="s">
        <v>263</v>
      </c>
    </row>
    <row r="30" spans="1:8" ht="14.25">
      <c r="A30" s="44" t="s">
        <v>252</v>
      </c>
      <c r="B30" s="44" t="s">
        <v>282</v>
      </c>
      <c r="C30" s="44" t="s">
        <v>323</v>
      </c>
      <c r="D30" s="43">
        <v>42866</v>
      </c>
      <c r="E30" s="42" t="s">
        <v>264</v>
      </c>
      <c r="F30" s="43"/>
      <c r="H30" s="41" t="s">
        <v>263</v>
      </c>
    </row>
    <row r="31" spans="1:8" ht="14.25">
      <c r="A31" s="44" t="s">
        <v>252</v>
      </c>
      <c r="B31" s="44" t="s">
        <v>266</v>
      </c>
      <c r="C31" s="44" t="s">
        <v>322</v>
      </c>
      <c r="D31" s="43">
        <v>42864</v>
      </c>
      <c r="E31" s="42" t="s">
        <v>264</v>
      </c>
      <c r="F31" s="43"/>
      <c r="H31" s="41" t="s">
        <v>263</v>
      </c>
    </row>
    <row r="32" spans="1:8" ht="14.25">
      <c r="A32" s="41" t="s">
        <v>252</v>
      </c>
      <c r="B32" s="41" t="s">
        <v>266</v>
      </c>
      <c r="C32" s="41" t="s">
        <v>321</v>
      </c>
      <c r="D32" s="43">
        <v>42870</v>
      </c>
      <c r="E32" s="42" t="s">
        <v>264</v>
      </c>
      <c r="F32" s="43"/>
      <c r="H32" s="41" t="s">
        <v>263</v>
      </c>
    </row>
    <row r="33" spans="1:8" ht="14.25">
      <c r="A33" s="41" t="s">
        <v>252</v>
      </c>
      <c r="B33" s="41" t="s">
        <v>276</v>
      </c>
      <c r="C33" s="41" t="s">
        <v>320</v>
      </c>
      <c r="D33" s="41"/>
      <c r="E33" s="41" t="s">
        <v>273</v>
      </c>
      <c r="F33" s="41"/>
      <c r="H33" s="41" t="s">
        <v>272</v>
      </c>
    </row>
    <row r="34" spans="1:8" ht="14.25">
      <c r="A34" s="41" t="s">
        <v>252</v>
      </c>
      <c r="B34" s="41" t="s">
        <v>276</v>
      </c>
      <c r="C34" s="41" t="s">
        <v>319</v>
      </c>
      <c r="D34" s="41"/>
      <c r="E34" s="41" t="s">
        <v>273</v>
      </c>
      <c r="F34" s="41"/>
      <c r="H34" s="41" t="s">
        <v>272</v>
      </c>
    </row>
    <row r="35" spans="1:8" ht="14.25">
      <c r="A35" s="41" t="s">
        <v>252</v>
      </c>
      <c r="B35" s="41" t="s">
        <v>290</v>
      </c>
      <c r="C35" s="41" t="s">
        <v>318</v>
      </c>
      <c r="D35" s="41"/>
      <c r="E35" s="41" t="s">
        <v>273</v>
      </c>
      <c r="F35" s="41"/>
      <c r="H35" s="41" t="s">
        <v>272</v>
      </c>
    </row>
    <row r="36" spans="1:8" ht="14.25">
      <c r="A36" s="41" t="s">
        <v>252</v>
      </c>
      <c r="B36" s="41" t="s">
        <v>266</v>
      </c>
      <c r="C36" s="41" t="s">
        <v>317</v>
      </c>
      <c r="D36" s="41"/>
      <c r="E36" s="41" t="s">
        <v>273</v>
      </c>
      <c r="F36" s="41"/>
      <c r="H36" s="41" t="s">
        <v>272</v>
      </c>
    </row>
    <row r="37" spans="1:8" ht="14.25">
      <c r="A37" s="41" t="s">
        <v>251</v>
      </c>
      <c r="B37" s="41" t="s">
        <v>266</v>
      </c>
      <c r="C37" s="41"/>
      <c r="D37" s="41"/>
      <c r="E37" s="41" t="s">
        <v>273</v>
      </c>
      <c r="F37" s="41"/>
      <c r="H37" s="41" t="s">
        <v>272</v>
      </c>
    </row>
    <row r="38" spans="1:8" ht="28.5">
      <c r="A38" s="41" t="s">
        <v>250</v>
      </c>
      <c r="B38" s="41" t="s">
        <v>266</v>
      </c>
      <c r="C38" s="41" t="s">
        <v>316</v>
      </c>
      <c r="D38" s="43">
        <v>42874</v>
      </c>
      <c r="E38" s="45" t="s">
        <v>315</v>
      </c>
      <c r="F38" s="43"/>
      <c r="H38" s="41" t="s">
        <v>263</v>
      </c>
    </row>
    <row r="39" spans="1:8" ht="14.25">
      <c r="A39" s="41" t="s">
        <v>249</v>
      </c>
      <c r="B39" s="41" t="s">
        <v>290</v>
      </c>
      <c r="C39" s="41" t="s">
        <v>314</v>
      </c>
      <c r="D39" s="43">
        <v>42871</v>
      </c>
      <c r="E39" s="42" t="s">
        <v>264</v>
      </c>
      <c r="F39" s="43">
        <v>42947</v>
      </c>
      <c r="H39" s="41" t="s">
        <v>263</v>
      </c>
    </row>
    <row r="40" spans="1:8" ht="14.25">
      <c r="A40" s="41" t="s">
        <v>249</v>
      </c>
      <c r="B40" s="41" t="s">
        <v>290</v>
      </c>
      <c r="C40" s="41" t="s">
        <v>313</v>
      </c>
      <c r="D40" s="43">
        <v>42877</v>
      </c>
      <c r="E40" s="42" t="s">
        <v>264</v>
      </c>
      <c r="F40" s="43"/>
      <c r="H40" s="41" t="s">
        <v>263</v>
      </c>
    </row>
    <row r="41" spans="1:8" ht="14.25">
      <c r="A41" s="41" t="s">
        <v>249</v>
      </c>
      <c r="B41" s="41" t="s">
        <v>290</v>
      </c>
      <c r="C41" s="41" t="s">
        <v>312</v>
      </c>
      <c r="D41" s="41"/>
      <c r="E41" s="41" t="s">
        <v>273</v>
      </c>
      <c r="F41" s="41"/>
      <c r="H41" s="41" t="s">
        <v>272</v>
      </c>
    </row>
    <row r="42" spans="1:8" ht="14.25">
      <c r="A42" s="41" t="s">
        <v>249</v>
      </c>
      <c r="B42" s="41" t="s">
        <v>290</v>
      </c>
      <c r="C42" s="41" t="s">
        <v>311</v>
      </c>
      <c r="D42" s="41"/>
      <c r="E42" s="41" t="s">
        <v>273</v>
      </c>
      <c r="F42" s="41"/>
      <c r="H42" s="41" t="s">
        <v>272</v>
      </c>
    </row>
    <row r="43" spans="1:8" ht="14.25">
      <c r="A43" s="41" t="s">
        <v>249</v>
      </c>
      <c r="B43" s="41" t="s">
        <v>290</v>
      </c>
      <c r="C43" s="41" t="s">
        <v>310</v>
      </c>
      <c r="D43" s="41"/>
      <c r="E43" s="41" t="s">
        <v>273</v>
      </c>
      <c r="F43" s="41"/>
      <c r="H43" s="41" t="s">
        <v>272</v>
      </c>
    </row>
    <row r="44" spans="1:8" ht="14.25">
      <c r="A44" s="41" t="s">
        <v>249</v>
      </c>
      <c r="B44" s="41" t="s">
        <v>290</v>
      </c>
      <c r="C44" s="41" t="s">
        <v>309</v>
      </c>
      <c r="D44" s="41"/>
      <c r="E44" s="41" t="s">
        <v>273</v>
      </c>
      <c r="F44" s="41"/>
      <c r="H44" s="41" t="s">
        <v>272</v>
      </c>
    </row>
    <row r="45" spans="1:8" ht="14.25">
      <c r="A45" s="41" t="s">
        <v>249</v>
      </c>
      <c r="B45" s="41" t="s">
        <v>290</v>
      </c>
      <c r="C45" s="41" t="s">
        <v>308</v>
      </c>
      <c r="D45" s="41"/>
      <c r="E45" s="41" t="s">
        <v>273</v>
      </c>
      <c r="F45" s="41"/>
      <c r="H45" s="41" t="s">
        <v>272</v>
      </c>
    </row>
    <row r="46" spans="1:8" ht="14.25">
      <c r="A46" s="41" t="s">
        <v>249</v>
      </c>
      <c r="B46" s="41" t="s">
        <v>290</v>
      </c>
      <c r="C46" s="41" t="s">
        <v>307</v>
      </c>
      <c r="D46" s="41"/>
      <c r="E46" s="41" t="s">
        <v>273</v>
      </c>
      <c r="F46" s="41"/>
      <c r="H46" s="41" t="s">
        <v>272</v>
      </c>
    </row>
    <row r="47" spans="1:8" ht="14.25">
      <c r="A47" s="41" t="s">
        <v>249</v>
      </c>
      <c r="B47" s="41" t="s">
        <v>290</v>
      </c>
      <c r="C47" s="41" t="s">
        <v>306</v>
      </c>
      <c r="D47" s="43">
        <v>42877</v>
      </c>
      <c r="E47" s="42" t="s">
        <v>264</v>
      </c>
      <c r="F47" s="43"/>
      <c r="H47" s="41" t="s">
        <v>263</v>
      </c>
    </row>
    <row r="48" spans="1:8" ht="28.5">
      <c r="A48" s="41" t="s">
        <v>248</v>
      </c>
      <c r="B48" s="41" t="s">
        <v>266</v>
      </c>
      <c r="C48" s="41" t="s">
        <v>305</v>
      </c>
      <c r="D48" s="43">
        <v>42871</v>
      </c>
      <c r="E48" s="45" t="s">
        <v>304</v>
      </c>
      <c r="F48" s="43"/>
      <c r="H48" s="41" t="s">
        <v>263</v>
      </c>
    </row>
    <row r="49" spans="1:8" ht="14.25">
      <c r="A49" s="41" t="s">
        <v>247</v>
      </c>
      <c r="B49" s="41" t="s">
        <v>266</v>
      </c>
      <c r="C49" s="41"/>
      <c r="D49" s="41"/>
      <c r="E49" s="41" t="s">
        <v>273</v>
      </c>
      <c r="F49" s="41"/>
      <c r="H49" s="41" t="s">
        <v>272</v>
      </c>
    </row>
    <row r="50" spans="1:8" ht="14.25">
      <c r="A50" s="41" t="s">
        <v>246</v>
      </c>
      <c r="B50" s="41" t="s">
        <v>266</v>
      </c>
      <c r="C50" s="41" t="s">
        <v>246</v>
      </c>
      <c r="D50" s="41"/>
      <c r="E50" s="42" t="s">
        <v>264</v>
      </c>
      <c r="F50" s="41"/>
      <c r="H50" s="41" t="s">
        <v>263</v>
      </c>
    </row>
    <row r="51" spans="1:8" ht="14.25">
      <c r="A51" s="44" t="s">
        <v>245</v>
      </c>
      <c r="B51" s="44" t="s">
        <v>266</v>
      </c>
      <c r="C51" s="41" t="s">
        <v>303</v>
      </c>
      <c r="D51" s="41"/>
      <c r="E51" s="42" t="s">
        <v>273</v>
      </c>
      <c r="F51" s="41"/>
      <c r="H51" s="41" t="s">
        <v>272</v>
      </c>
    </row>
    <row r="52" spans="1:8" ht="28.5">
      <c r="A52" s="44" t="s">
        <v>245</v>
      </c>
      <c r="B52" s="44" t="s">
        <v>266</v>
      </c>
      <c r="C52" s="44" t="s">
        <v>302</v>
      </c>
      <c r="D52" s="43">
        <v>42865</v>
      </c>
      <c r="E52" s="42" t="s">
        <v>284</v>
      </c>
      <c r="F52" s="43"/>
      <c r="H52" s="41" t="s">
        <v>263</v>
      </c>
    </row>
    <row r="53" spans="1:8" ht="14.25">
      <c r="A53" s="44" t="s">
        <v>245</v>
      </c>
      <c r="B53" s="44" t="s">
        <v>266</v>
      </c>
      <c r="C53" s="44" t="s">
        <v>301</v>
      </c>
      <c r="D53" s="43"/>
      <c r="E53" s="42" t="s">
        <v>273</v>
      </c>
      <c r="F53" s="43"/>
      <c r="H53" s="41" t="s">
        <v>272</v>
      </c>
    </row>
    <row r="54" spans="1:8" ht="28.5">
      <c r="A54" s="44" t="s">
        <v>245</v>
      </c>
      <c r="B54" s="44" t="s">
        <v>266</v>
      </c>
      <c r="C54" s="44" t="s">
        <v>300</v>
      </c>
      <c r="D54" s="43">
        <v>42865</v>
      </c>
      <c r="E54" s="42" t="s">
        <v>284</v>
      </c>
      <c r="F54" s="43"/>
      <c r="H54" s="41" t="s">
        <v>263</v>
      </c>
    </row>
    <row r="55" spans="1:8" ht="28.5">
      <c r="A55" s="41" t="s">
        <v>245</v>
      </c>
      <c r="B55" s="41" t="s">
        <v>266</v>
      </c>
      <c r="C55" s="41" t="s">
        <v>299</v>
      </c>
      <c r="D55" s="43">
        <v>42870</v>
      </c>
      <c r="E55" s="42" t="s">
        <v>284</v>
      </c>
      <c r="F55" s="43"/>
      <c r="H55" s="41" t="s">
        <v>263</v>
      </c>
    </row>
    <row r="56" spans="1:8" ht="28.5">
      <c r="A56" s="41" t="s">
        <v>245</v>
      </c>
      <c r="B56" s="41" t="s">
        <v>266</v>
      </c>
      <c r="C56" s="41" t="s">
        <v>298</v>
      </c>
      <c r="D56" s="43">
        <v>42870</v>
      </c>
      <c r="E56" s="42" t="s">
        <v>284</v>
      </c>
      <c r="F56" s="43"/>
      <c r="H56" s="41" t="s">
        <v>263</v>
      </c>
    </row>
    <row r="57" spans="1:8" ht="28.5">
      <c r="A57" s="41" t="s">
        <v>245</v>
      </c>
      <c r="B57" s="41" t="s">
        <v>266</v>
      </c>
      <c r="C57" s="41" t="s">
        <v>297</v>
      </c>
      <c r="D57" s="43">
        <v>42870</v>
      </c>
      <c r="E57" s="42" t="s">
        <v>284</v>
      </c>
      <c r="F57" s="43"/>
      <c r="H57" s="41" t="s">
        <v>263</v>
      </c>
    </row>
    <row r="58" spans="1:8" ht="28.5">
      <c r="A58" s="41" t="s">
        <v>245</v>
      </c>
      <c r="B58" s="41" t="s">
        <v>266</v>
      </c>
      <c r="C58" s="41" t="s">
        <v>296</v>
      </c>
      <c r="D58" s="43">
        <v>42873</v>
      </c>
      <c r="E58" s="42" t="s">
        <v>284</v>
      </c>
      <c r="F58" s="43"/>
      <c r="H58" s="41" t="s">
        <v>263</v>
      </c>
    </row>
    <row r="59" spans="1:8" ht="28.5">
      <c r="A59" s="41" t="s">
        <v>245</v>
      </c>
      <c r="B59" s="41" t="s">
        <v>266</v>
      </c>
      <c r="C59" s="41" t="s">
        <v>295</v>
      </c>
      <c r="D59" s="43">
        <v>42873</v>
      </c>
      <c r="E59" s="42" t="s">
        <v>284</v>
      </c>
      <c r="F59" s="43"/>
      <c r="H59" s="41" t="s">
        <v>263</v>
      </c>
    </row>
    <row r="60" spans="1:8" ht="28.5">
      <c r="A60" s="41" t="s">
        <v>245</v>
      </c>
      <c r="B60" s="41" t="s">
        <v>266</v>
      </c>
      <c r="C60" s="41" t="s">
        <v>294</v>
      </c>
      <c r="D60" s="43">
        <v>42873</v>
      </c>
      <c r="E60" s="42" t="s">
        <v>284</v>
      </c>
      <c r="F60" s="43"/>
      <c r="H60" s="41" t="s">
        <v>263</v>
      </c>
    </row>
    <row r="61" spans="1:8" ht="14.25">
      <c r="A61" s="41" t="s">
        <v>245</v>
      </c>
      <c r="B61" s="41" t="s">
        <v>266</v>
      </c>
      <c r="C61" s="41" t="s">
        <v>293</v>
      </c>
      <c r="D61" s="43"/>
      <c r="E61" s="42" t="s">
        <v>273</v>
      </c>
      <c r="F61" s="43"/>
      <c r="H61" s="41" t="s">
        <v>272</v>
      </c>
    </row>
    <row r="62" spans="1:8" ht="14.25">
      <c r="A62" s="41" t="s">
        <v>244</v>
      </c>
      <c r="B62" s="41" t="s">
        <v>266</v>
      </c>
      <c r="C62" s="41" t="s">
        <v>292</v>
      </c>
      <c r="D62" s="41"/>
      <c r="E62" s="41" t="s">
        <v>273</v>
      </c>
      <c r="F62" s="55">
        <v>42947</v>
      </c>
      <c r="G62" s="41" t="s">
        <v>365</v>
      </c>
      <c r="H62" s="41" t="s">
        <v>272</v>
      </c>
    </row>
    <row r="63" spans="1:8" ht="28.5">
      <c r="A63" s="44" t="s">
        <v>243</v>
      </c>
      <c r="B63" s="44" t="s">
        <v>266</v>
      </c>
      <c r="C63" s="44" t="s">
        <v>288</v>
      </c>
      <c r="D63" s="43">
        <v>42867</v>
      </c>
      <c r="E63" s="42" t="s">
        <v>291</v>
      </c>
      <c r="F63" s="43"/>
      <c r="H63" s="41" t="s">
        <v>263</v>
      </c>
    </row>
    <row r="64" spans="1:8" ht="14.25">
      <c r="A64" s="41" t="s">
        <v>242</v>
      </c>
      <c r="B64" s="41" t="s">
        <v>290</v>
      </c>
      <c r="C64" s="41" t="s">
        <v>289</v>
      </c>
      <c r="D64" s="43">
        <v>42870</v>
      </c>
      <c r="E64" s="42" t="s">
        <v>264</v>
      </c>
      <c r="F64" s="43"/>
      <c r="H64" s="41" t="s">
        <v>263</v>
      </c>
    </row>
    <row r="65" spans="1:8" ht="14.25">
      <c r="A65" s="41" t="s">
        <v>242</v>
      </c>
      <c r="B65" s="41" t="s">
        <v>266</v>
      </c>
      <c r="C65" s="41"/>
      <c r="D65" s="41"/>
      <c r="E65" s="41" t="s">
        <v>273</v>
      </c>
      <c r="F65" s="41"/>
      <c r="H65" s="41" t="s">
        <v>272</v>
      </c>
    </row>
    <row r="66" spans="1:8" ht="57">
      <c r="A66" s="44" t="s">
        <v>241</v>
      </c>
      <c r="B66" s="44" t="s">
        <v>266</v>
      </c>
      <c r="C66" s="41" t="s">
        <v>288</v>
      </c>
      <c r="D66" s="43">
        <v>42867</v>
      </c>
      <c r="E66" s="42" t="s">
        <v>287</v>
      </c>
      <c r="F66" s="43"/>
      <c r="H66" s="41" t="s">
        <v>263</v>
      </c>
    </row>
    <row r="67" spans="1:8" ht="14.25">
      <c r="A67" s="44" t="s">
        <v>240</v>
      </c>
      <c r="B67" s="44" t="s">
        <v>286</v>
      </c>
      <c r="C67" s="44" t="s">
        <v>278</v>
      </c>
      <c r="D67" s="43">
        <v>42867</v>
      </c>
      <c r="E67" s="42" t="s">
        <v>264</v>
      </c>
      <c r="F67" s="43" t="s">
        <v>383</v>
      </c>
      <c r="G67" s="40" t="s">
        <v>384</v>
      </c>
      <c r="H67" s="41" t="s">
        <v>263</v>
      </c>
    </row>
    <row r="68" spans="1:8" ht="28.5">
      <c r="A68" s="44" t="s">
        <v>240</v>
      </c>
      <c r="B68" s="44" t="s">
        <v>285</v>
      </c>
      <c r="C68" s="44" t="s">
        <v>278</v>
      </c>
      <c r="D68" s="43">
        <v>42864</v>
      </c>
      <c r="E68" s="42" t="s">
        <v>284</v>
      </c>
      <c r="F68" s="43"/>
      <c r="H68" s="41" t="s">
        <v>263</v>
      </c>
    </row>
    <row r="69" spans="1:8" ht="14.25">
      <c r="A69" s="44" t="s">
        <v>240</v>
      </c>
      <c r="B69" s="44" t="s">
        <v>283</v>
      </c>
      <c r="C69" s="44" t="s">
        <v>278</v>
      </c>
      <c r="D69" s="43">
        <v>42867</v>
      </c>
      <c r="E69" s="42" t="s">
        <v>264</v>
      </c>
      <c r="F69" s="43"/>
      <c r="H69" s="41" t="s">
        <v>263</v>
      </c>
    </row>
    <row r="70" spans="1:8" ht="14.25">
      <c r="A70" s="41" t="s">
        <v>240</v>
      </c>
      <c r="B70" s="41" t="s">
        <v>266</v>
      </c>
      <c r="C70" s="41" t="s">
        <v>278</v>
      </c>
      <c r="D70" s="43">
        <v>42866</v>
      </c>
      <c r="E70" s="41" t="s">
        <v>264</v>
      </c>
      <c r="F70" s="43"/>
      <c r="H70" s="41" t="s">
        <v>263</v>
      </c>
    </row>
    <row r="71" spans="1:8" ht="14.25">
      <c r="A71" s="41" t="s">
        <v>240</v>
      </c>
      <c r="B71" s="41" t="s">
        <v>282</v>
      </c>
      <c r="C71" s="41" t="s">
        <v>278</v>
      </c>
      <c r="D71" s="43">
        <v>42870</v>
      </c>
      <c r="E71" s="42" t="s">
        <v>264</v>
      </c>
      <c r="F71" s="43"/>
      <c r="H71" s="41" t="s">
        <v>263</v>
      </c>
    </row>
    <row r="72" spans="1:8" ht="14.25">
      <c r="A72" s="41" t="s">
        <v>240</v>
      </c>
      <c r="B72" s="41" t="s">
        <v>281</v>
      </c>
      <c r="C72" s="41" t="s">
        <v>278</v>
      </c>
      <c r="D72" s="43">
        <v>42872</v>
      </c>
      <c r="E72" s="42" t="s">
        <v>264</v>
      </c>
      <c r="F72" s="43"/>
      <c r="H72" s="41" t="s">
        <v>263</v>
      </c>
    </row>
    <row r="73" spans="1:8" ht="14.25">
      <c r="A73" s="41" t="s">
        <v>240</v>
      </c>
      <c r="B73" s="41" t="s">
        <v>280</v>
      </c>
      <c r="C73" s="41" t="s">
        <v>278</v>
      </c>
      <c r="D73" s="43">
        <v>42871</v>
      </c>
      <c r="E73" s="42" t="s">
        <v>264</v>
      </c>
      <c r="F73" s="43"/>
      <c r="H73" s="41" t="s">
        <v>263</v>
      </c>
    </row>
    <row r="74" spans="1:8" ht="14.25">
      <c r="A74" s="41" t="s">
        <v>240</v>
      </c>
      <c r="B74" s="41" t="s">
        <v>279</v>
      </c>
      <c r="C74" s="41" t="s">
        <v>278</v>
      </c>
      <c r="D74" s="43">
        <v>42870</v>
      </c>
      <c r="E74" s="42" t="s">
        <v>264</v>
      </c>
      <c r="F74" s="43" t="s">
        <v>378</v>
      </c>
      <c r="G74" s="40" t="s">
        <v>384</v>
      </c>
      <c r="H74" s="41" t="s">
        <v>263</v>
      </c>
    </row>
    <row r="75" spans="1:8" ht="14.25">
      <c r="A75" s="41" t="s">
        <v>240</v>
      </c>
      <c r="B75" s="41" t="s">
        <v>277</v>
      </c>
      <c r="C75" s="41"/>
      <c r="D75" s="41"/>
      <c r="E75" s="41" t="s">
        <v>273</v>
      </c>
      <c r="F75" s="41"/>
      <c r="H75" s="41" t="s">
        <v>272</v>
      </c>
    </row>
    <row r="76" spans="1:8" ht="14.25">
      <c r="A76" s="41" t="s">
        <v>240</v>
      </c>
      <c r="B76" s="41" t="s">
        <v>276</v>
      </c>
      <c r="C76" s="41"/>
      <c r="D76" s="41"/>
      <c r="E76" s="41" t="s">
        <v>273</v>
      </c>
      <c r="F76" s="41"/>
      <c r="H76" s="41" t="s">
        <v>272</v>
      </c>
    </row>
    <row r="77" spans="1:8" ht="14.25">
      <c r="A77" s="41" t="s">
        <v>240</v>
      </c>
      <c r="B77" s="41" t="s">
        <v>275</v>
      </c>
      <c r="C77" s="41"/>
      <c r="D77" s="41"/>
      <c r="E77" s="41" t="s">
        <v>273</v>
      </c>
      <c r="F77" s="41"/>
      <c r="H77" s="41" t="s">
        <v>272</v>
      </c>
    </row>
    <row r="78" spans="1:8" ht="14.25">
      <c r="A78" s="41" t="s">
        <v>240</v>
      </c>
      <c r="B78" s="41" t="s">
        <v>274</v>
      </c>
      <c r="C78" s="41"/>
      <c r="D78" s="41"/>
      <c r="E78" s="41" t="s">
        <v>273</v>
      </c>
      <c r="F78" s="41"/>
      <c r="H78" s="41" t="s">
        <v>272</v>
      </c>
    </row>
    <row r="79" spans="1:8" ht="14.25">
      <c r="A79" s="41" t="s">
        <v>239</v>
      </c>
      <c r="B79" s="41" t="s">
        <v>266</v>
      </c>
      <c r="C79" s="41"/>
      <c r="D79" s="41"/>
      <c r="E79" s="41" t="s">
        <v>273</v>
      </c>
      <c r="F79" s="41"/>
      <c r="H79" s="41" t="s">
        <v>272</v>
      </c>
    </row>
    <row r="80" spans="1:8" ht="14.25">
      <c r="A80" s="41" t="s">
        <v>238</v>
      </c>
      <c r="B80" s="41" t="s">
        <v>266</v>
      </c>
      <c r="C80" s="41"/>
      <c r="D80" s="41"/>
      <c r="E80" s="41" t="s">
        <v>273</v>
      </c>
      <c r="F80" s="41"/>
      <c r="H80" s="41" t="s">
        <v>272</v>
      </c>
    </row>
    <row r="81" spans="1:8" ht="42.75">
      <c r="A81" s="41" t="s">
        <v>237</v>
      </c>
      <c r="B81" s="41" t="s">
        <v>266</v>
      </c>
      <c r="C81" s="41" t="s">
        <v>271</v>
      </c>
      <c r="D81" s="43">
        <v>42859</v>
      </c>
      <c r="E81" s="45" t="s">
        <v>270</v>
      </c>
      <c r="F81" s="43"/>
      <c r="H81" s="41" t="s">
        <v>263</v>
      </c>
    </row>
    <row r="82" spans="1:8" ht="57">
      <c r="A82" s="41" t="s">
        <v>237</v>
      </c>
      <c r="B82" s="41" t="s">
        <v>266</v>
      </c>
      <c r="C82" s="41" t="s">
        <v>269</v>
      </c>
      <c r="D82" s="43">
        <v>42863</v>
      </c>
      <c r="E82" s="45" t="s">
        <v>268</v>
      </c>
      <c r="F82" s="43"/>
      <c r="H82" s="41" t="s">
        <v>263</v>
      </c>
    </row>
    <row r="83" spans="1:8" ht="14.25">
      <c r="A83" s="44" t="s">
        <v>237</v>
      </c>
      <c r="B83" s="44" t="s">
        <v>266</v>
      </c>
      <c r="C83" s="44" t="s">
        <v>267</v>
      </c>
      <c r="D83" s="43">
        <v>42867</v>
      </c>
      <c r="E83" s="42" t="s">
        <v>264</v>
      </c>
      <c r="F83" s="43"/>
      <c r="H83" s="41" t="s">
        <v>263</v>
      </c>
    </row>
    <row r="84" spans="1:8" ht="14.25">
      <c r="A84" s="41" t="s">
        <v>237</v>
      </c>
      <c r="B84" s="83" t="s">
        <v>266</v>
      </c>
      <c r="C84" s="83" t="s">
        <v>265</v>
      </c>
      <c r="D84" s="84">
        <v>42873</v>
      </c>
      <c r="E84" s="85" t="s">
        <v>264</v>
      </c>
      <c r="F84" s="84"/>
      <c r="H84" s="83" t="s">
        <v>263</v>
      </c>
    </row>
    <row r="85" spans="2:8" ht="28.5">
      <c r="B85" s="41" t="s">
        <v>266</v>
      </c>
      <c r="C85" s="41" t="s">
        <v>238</v>
      </c>
      <c r="D85" s="41"/>
      <c r="E85" s="41" t="s">
        <v>273</v>
      </c>
      <c r="F85" s="41" t="s">
        <v>385</v>
      </c>
      <c r="G85" s="45" t="s">
        <v>386</v>
      </c>
      <c r="H85" s="41"/>
    </row>
  </sheetData>
  <sheetProtection/>
  <autoFilter ref="A2:G84">
    <sortState ref="A3:G85">
      <sortCondition sortBy="value" ref="A3:A85"/>
    </sortState>
  </autoFilter>
  <mergeCells count="1">
    <mergeCell ref="A1:H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6"/>
  <sheetViews>
    <sheetView zoomScalePageLayoutView="0" workbookViewId="0" topLeftCell="B5">
      <selection activeCell="O14" sqref="O14"/>
    </sheetView>
  </sheetViews>
  <sheetFormatPr defaultColWidth="11.421875" defaultRowHeight="15"/>
  <cols>
    <col min="1" max="1" width="26.7109375" style="0" bestFit="1" customWidth="1"/>
    <col min="2" max="2" width="5.421875" style="0" bestFit="1" customWidth="1"/>
    <col min="4" max="4" width="26.7109375" style="0" bestFit="1" customWidth="1"/>
    <col min="5" max="5" width="9.8515625" style="0" bestFit="1" customWidth="1"/>
  </cols>
  <sheetData>
    <row r="1" spans="4:5" ht="14.25">
      <c r="D1" s="39" t="s">
        <v>262</v>
      </c>
      <c r="E1" s="38" t="s">
        <v>353</v>
      </c>
    </row>
    <row r="3" spans="1:5" ht="14.25">
      <c r="A3" s="37" t="s">
        <v>261</v>
      </c>
      <c r="B3" s="35"/>
      <c r="D3" s="37" t="s">
        <v>260</v>
      </c>
      <c r="E3" s="35"/>
    </row>
    <row r="4" spans="1:5" ht="14.25">
      <c r="A4" s="36" t="s">
        <v>259</v>
      </c>
      <c r="B4" s="35" t="s">
        <v>258</v>
      </c>
      <c r="D4" s="36" t="s">
        <v>259</v>
      </c>
      <c r="E4" s="35" t="s">
        <v>258</v>
      </c>
    </row>
    <row r="5" spans="1:5" ht="14.25">
      <c r="A5" s="33" t="s">
        <v>257</v>
      </c>
      <c r="B5" s="31">
        <v>12</v>
      </c>
      <c r="D5" s="32" t="s">
        <v>257</v>
      </c>
      <c r="E5" s="48">
        <v>12</v>
      </c>
    </row>
    <row r="6" spans="1:5" ht="14.25">
      <c r="A6" s="33" t="s">
        <v>256</v>
      </c>
      <c r="B6" s="31">
        <v>1</v>
      </c>
      <c r="D6" s="34" t="s">
        <v>256</v>
      </c>
      <c r="E6" s="49">
        <v>1</v>
      </c>
    </row>
    <row r="7" spans="1:5" ht="14.25">
      <c r="A7" s="33" t="s">
        <v>255</v>
      </c>
      <c r="B7" s="31">
        <v>1</v>
      </c>
      <c r="D7" s="34" t="s">
        <v>255</v>
      </c>
      <c r="E7" s="49">
        <v>1</v>
      </c>
    </row>
    <row r="8" spans="1:5" ht="14.25">
      <c r="A8" s="33" t="s">
        <v>254</v>
      </c>
      <c r="B8" s="31">
        <v>1</v>
      </c>
      <c r="D8" s="34" t="s">
        <v>254</v>
      </c>
      <c r="E8" s="49">
        <v>1</v>
      </c>
    </row>
    <row r="9" spans="1:5" ht="14.25">
      <c r="A9" s="33" t="s">
        <v>253</v>
      </c>
      <c r="B9" s="31">
        <v>11</v>
      </c>
      <c r="D9" s="32" t="s">
        <v>253</v>
      </c>
      <c r="E9" s="49">
        <v>11</v>
      </c>
    </row>
    <row r="10" spans="1:5" ht="14.25">
      <c r="A10" s="33" t="s">
        <v>252</v>
      </c>
      <c r="B10" s="31">
        <v>8</v>
      </c>
      <c r="D10" s="34" t="s">
        <v>252</v>
      </c>
      <c r="E10" s="49">
        <v>8</v>
      </c>
    </row>
    <row r="11" spans="1:5" ht="14.25">
      <c r="A11" s="33" t="s">
        <v>251</v>
      </c>
      <c r="B11" s="31">
        <v>1</v>
      </c>
      <c r="D11" s="50" t="s">
        <v>251</v>
      </c>
      <c r="E11" s="49">
        <v>1</v>
      </c>
    </row>
    <row r="12" spans="1:5" ht="14.25">
      <c r="A12" s="33" t="s">
        <v>250</v>
      </c>
      <c r="B12" s="31">
        <v>1</v>
      </c>
      <c r="D12" s="32" t="s">
        <v>250</v>
      </c>
      <c r="E12" s="49">
        <v>1</v>
      </c>
    </row>
    <row r="13" spans="1:5" ht="14.25">
      <c r="A13" s="33" t="s">
        <v>249</v>
      </c>
      <c r="B13" s="31">
        <v>9</v>
      </c>
      <c r="D13" s="33" t="s">
        <v>249</v>
      </c>
      <c r="E13" s="49">
        <v>9</v>
      </c>
    </row>
    <row r="14" spans="1:5" ht="14.25">
      <c r="A14" s="33" t="s">
        <v>248</v>
      </c>
      <c r="B14" s="31">
        <v>1</v>
      </c>
      <c r="D14" s="34" t="s">
        <v>248</v>
      </c>
      <c r="E14" s="49">
        <v>1</v>
      </c>
    </row>
    <row r="15" spans="1:5" ht="14.25">
      <c r="A15" s="33" t="s">
        <v>247</v>
      </c>
      <c r="B15" s="31">
        <v>1</v>
      </c>
      <c r="D15" s="33" t="s">
        <v>247</v>
      </c>
      <c r="E15" s="49">
        <v>1</v>
      </c>
    </row>
    <row r="16" spans="1:5" ht="14.25">
      <c r="A16" s="33" t="s">
        <v>246</v>
      </c>
      <c r="B16" s="31">
        <v>1</v>
      </c>
      <c r="D16" s="32" t="s">
        <v>246</v>
      </c>
      <c r="E16" s="49">
        <v>1</v>
      </c>
    </row>
    <row r="17" spans="1:5" ht="14.25">
      <c r="A17" s="33" t="s">
        <v>245</v>
      </c>
      <c r="B17" s="31">
        <v>11</v>
      </c>
      <c r="D17" s="32" t="s">
        <v>245</v>
      </c>
      <c r="E17" s="49">
        <v>11</v>
      </c>
    </row>
    <row r="18" spans="1:5" ht="14.25">
      <c r="A18" s="33" t="s">
        <v>244</v>
      </c>
      <c r="B18" s="31">
        <v>1</v>
      </c>
      <c r="D18" s="50" t="s">
        <v>244</v>
      </c>
      <c r="E18" s="49">
        <v>1</v>
      </c>
    </row>
    <row r="19" spans="1:5" ht="14.25">
      <c r="A19" s="33" t="s">
        <v>243</v>
      </c>
      <c r="B19" s="31">
        <v>1</v>
      </c>
      <c r="D19" s="32" t="s">
        <v>243</v>
      </c>
      <c r="E19" s="49">
        <v>1</v>
      </c>
    </row>
    <row r="20" spans="1:5" ht="14.25">
      <c r="A20" s="33" t="s">
        <v>242</v>
      </c>
      <c r="B20" s="31">
        <v>2</v>
      </c>
      <c r="D20" s="33" t="s">
        <v>242</v>
      </c>
      <c r="E20" s="49">
        <v>2</v>
      </c>
    </row>
    <row r="21" spans="1:5" ht="14.25">
      <c r="A21" s="33" t="s">
        <v>241</v>
      </c>
      <c r="B21" s="31">
        <v>1</v>
      </c>
      <c r="D21" s="34" t="s">
        <v>241</v>
      </c>
      <c r="E21" s="49">
        <v>1</v>
      </c>
    </row>
    <row r="22" spans="1:5" ht="14.25">
      <c r="A22" s="33" t="s">
        <v>240</v>
      </c>
      <c r="B22" s="31">
        <v>12</v>
      </c>
      <c r="D22" s="32" t="s">
        <v>240</v>
      </c>
      <c r="E22" s="49">
        <v>12</v>
      </c>
    </row>
    <row r="23" spans="1:5" ht="14.25">
      <c r="A23" s="33" t="s">
        <v>239</v>
      </c>
      <c r="B23" s="31">
        <v>1</v>
      </c>
      <c r="D23" s="34" t="s">
        <v>239</v>
      </c>
      <c r="E23" s="49">
        <v>1</v>
      </c>
    </row>
    <row r="24" spans="1:5" ht="14.25">
      <c r="A24" s="33" t="s">
        <v>238</v>
      </c>
      <c r="B24" s="31">
        <v>1</v>
      </c>
      <c r="D24" s="50" t="s">
        <v>238</v>
      </c>
      <c r="E24" s="49">
        <v>1</v>
      </c>
    </row>
    <row r="25" spans="1:5" ht="14.25">
      <c r="A25" s="33" t="s">
        <v>237</v>
      </c>
      <c r="B25" s="31">
        <v>4</v>
      </c>
      <c r="D25" s="32" t="s">
        <v>237</v>
      </c>
      <c r="E25" s="49">
        <v>4</v>
      </c>
    </row>
    <row r="26" spans="1:5" ht="14.25">
      <c r="A26" s="30" t="s">
        <v>236</v>
      </c>
      <c r="B26" s="29">
        <v>82</v>
      </c>
      <c r="D26" s="30" t="s">
        <v>236</v>
      </c>
      <c r="E26" s="51">
        <v>82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8"/>
  <sheetViews>
    <sheetView zoomScalePageLayoutView="0" workbookViewId="0" topLeftCell="A1">
      <selection activeCell="E21" sqref="E21"/>
    </sheetView>
  </sheetViews>
  <sheetFormatPr defaultColWidth="11.421875" defaultRowHeight="15"/>
  <sheetData>
    <row r="1" spans="1:2" ht="14.25">
      <c r="A1" s="52" t="s">
        <v>351</v>
      </c>
      <c r="B1" s="52" t="s">
        <v>352</v>
      </c>
    </row>
    <row r="2" spans="1:2" ht="14.25">
      <c r="A2" s="41" t="s">
        <v>387</v>
      </c>
      <c r="B2" s="41">
        <v>11</v>
      </c>
    </row>
    <row r="3" spans="1:2" ht="14.25">
      <c r="A3" s="41" t="s">
        <v>393</v>
      </c>
      <c r="B3" s="41">
        <v>11</v>
      </c>
    </row>
    <row r="4" spans="1:2" ht="14.25">
      <c r="A4" s="41" t="s">
        <v>394</v>
      </c>
      <c r="B4" s="41">
        <v>6</v>
      </c>
    </row>
    <row r="5" spans="1:2" ht="14.25">
      <c r="A5" s="44" t="s">
        <v>395</v>
      </c>
      <c r="B5" s="44">
        <v>5</v>
      </c>
    </row>
    <row r="6" spans="1:2" ht="14.25">
      <c r="A6" s="44" t="s">
        <v>396</v>
      </c>
      <c r="B6" s="44">
        <v>75</v>
      </c>
    </row>
    <row r="8" ht="14.25">
      <c r="N8" s="194"/>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K25"/>
  <sheetViews>
    <sheetView zoomScale="86" zoomScaleNormal="86" zoomScalePageLayoutView="0" workbookViewId="0" topLeftCell="A1">
      <selection activeCell="F8" sqref="F8"/>
    </sheetView>
  </sheetViews>
  <sheetFormatPr defaultColWidth="10.7109375" defaultRowHeight="15"/>
  <cols>
    <col min="1" max="1" width="5.57421875" style="0" customWidth="1"/>
    <col min="2" max="2" width="6.421875" style="0" customWidth="1"/>
    <col min="3" max="3" width="14.7109375" style="0" customWidth="1"/>
    <col min="4" max="4" width="10.7109375" style="0" customWidth="1"/>
    <col min="5" max="5" width="47.8515625" style="175" customWidth="1"/>
    <col min="6" max="6" width="11.7109375" style="0" bestFit="1" customWidth="1"/>
    <col min="7" max="7" width="5.28125" style="0" bestFit="1" customWidth="1"/>
    <col min="8" max="8" width="9.7109375" style="0" bestFit="1" customWidth="1"/>
    <col min="9" max="9" width="22.140625" style="0" bestFit="1" customWidth="1"/>
    <col min="10" max="10" width="22.57421875" style="0" bestFit="1" customWidth="1"/>
    <col min="11" max="11" width="10.7109375" style="170" customWidth="1"/>
  </cols>
  <sheetData>
    <row r="1" spans="2:11" s="136" customFormat="1" ht="116.25" customHeight="1">
      <c r="B1" s="282" t="s">
        <v>406</v>
      </c>
      <c r="C1" s="283"/>
      <c r="D1" s="283"/>
      <c r="E1" s="283"/>
      <c r="F1" s="283"/>
      <c r="G1" s="283"/>
      <c r="H1" s="283"/>
      <c r="I1" s="283"/>
      <c r="J1" s="283"/>
      <c r="K1" s="283"/>
    </row>
    <row r="2" spans="2:11" s="136" customFormat="1" ht="68.25" customHeight="1" thickBot="1">
      <c r="B2" s="284"/>
      <c r="C2" s="285" t="s">
        <v>407</v>
      </c>
      <c r="D2" s="285" t="s">
        <v>408</v>
      </c>
      <c r="E2" s="285" t="s">
        <v>409</v>
      </c>
      <c r="F2" s="286" t="s">
        <v>448</v>
      </c>
      <c r="G2" s="287"/>
      <c r="H2" s="287"/>
      <c r="I2" s="287"/>
      <c r="J2" s="287"/>
      <c r="K2" s="287"/>
    </row>
    <row r="3" spans="2:11" s="136" customFormat="1" ht="33.75" customHeight="1" thickBot="1">
      <c r="B3" s="284"/>
      <c r="C3" s="285"/>
      <c r="D3" s="285"/>
      <c r="E3" s="285"/>
      <c r="F3" s="137" t="s">
        <v>466</v>
      </c>
      <c r="G3" s="131" t="s">
        <v>467</v>
      </c>
      <c r="H3" s="138" t="s">
        <v>468</v>
      </c>
      <c r="I3" s="139" t="s">
        <v>469</v>
      </c>
      <c r="J3" s="140" t="s">
        <v>470</v>
      </c>
      <c r="K3" s="141" t="s">
        <v>410</v>
      </c>
    </row>
    <row r="4" spans="2:11" s="150" customFormat="1" ht="249" thickTop="1">
      <c r="B4" s="142">
        <v>1</v>
      </c>
      <c r="C4" s="143" t="s">
        <v>205</v>
      </c>
      <c r="D4" s="144">
        <v>30</v>
      </c>
      <c r="E4" s="16" t="s">
        <v>415</v>
      </c>
      <c r="F4" s="145"/>
      <c r="G4" s="176">
        <v>1</v>
      </c>
      <c r="H4" s="146">
        <v>2</v>
      </c>
      <c r="I4" s="147">
        <v>2</v>
      </c>
      <c r="J4" s="148">
        <v>25</v>
      </c>
      <c r="K4" s="149">
        <f>SUM(F4:J4)</f>
        <v>30</v>
      </c>
    </row>
    <row r="5" spans="2:11" s="150" customFormat="1" ht="165">
      <c r="B5" s="142">
        <v>2</v>
      </c>
      <c r="C5" s="143" t="s">
        <v>209</v>
      </c>
      <c r="D5" s="144">
        <v>25</v>
      </c>
      <c r="E5" s="16" t="s">
        <v>411</v>
      </c>
      <c r="F5" s="151">
        <v>2</v>
      </c>
      <c r="G5" s="177">
        <v>5</v>
      </c>
      <c r="H5" s="152">
        <v>1</v>
      </c>
      <c r="I5" s="153"/>
      <c r="J5" s="154">
        <v>17</v>
      </c>
      <c r="K5" s="155">
        <f>SUM(F5:J5)</f>
        <v>25</v>
      </c>
    </row>
    <row r="6" spans="2:11" s="150" customFormat="1" ht="138">
      <c r="B6" s="142">
        <v>3</v>
      </c>
      <c r="C6" s="143" t="s">
        <v>219</v>
      </c>
      <c r="D6" s="144">
        <v>14</v>
      </c>
      <c r="E6" s="16" t="s">
        <v>412</v>
      </c>
      <c r="F6" s="151"/>
      <c r="G6" s="177"/>
      <c r="H6" s="152"/>
      <c r="I6" s="153">
        <v>1</v>
      </c>
      <c r="J6" s="154">
        <v>13</v>
      </c>
      <c r="K6" s="155">
        <f>SUM(F6:J6)</f>
        <v>14</v>
      </c>
    </row>
    <row r="7" spans="2:11" s="150" customFormat="1" ht="110.25">
      <c r="B7" s="142">
        <v>4</v>
      </c>
      <c r="C7" s="143" t="s">
        <v>222</v>
      </c>
      <c r="D7" s="144">
        <v>16</v>
      </c>
      <c r="E7" s="16" t="s">
        <v>539</v>
      </c>
      <c r="F7" s="151"/>
      <c r="G7" s="177">
        <v>4</v>
      </c>
      <c r="H7" s="152"/>
      <c r="I7" s="153">
        <v>2</v>
      </c>
      <c r="J7" s="154">
        <v>10</v>
      </c>
      <c r="K7" s="155">
        <f>SUM(F7:J7)</f>
        <v>16</v>
      </c>
    </row>
    <row r="8" spans="2:11" s="150" customFormat="1" ht="74.25" customHeight="1" thickBot="1">
      <c r="B8" s="156">
        <v>5</v>
      </c>
      <c r="C8" s="157" t="s">
        <v>225</v>
      </c>
      <c r="D8" s="158">
        <v>23</v>
      </c>
      <c r="E8" s="22" t="s">
        <v>413</v>
      </c>
      <c r="F8" s="159">
        <v>9</v>
      </c>
      <c r="G8" s="178">
        <v>2</v>
      </c>
      <c r="H8" s="160">
        <v>2</v>
      </c>
      <c r="I8" s="161">
        <v>2</v>
      </c>
      <c r="J8" s="162">
        <v>8</v>
      </c>
      <c r="K8" s="179">
        <f>SUM(F8:J8)</f>
        <v>23</v>
      </c>
    </row>
    <row r="9" spans="2:11" s="164" customFormat="1" ht="83.25" customHeight="1" thickBot="1">
      <c r="B9" s="279" t="s">
        <v>414</v>
      </c>
      <c r="C9" s="280"/>
      <c r="D9" s="280"/>
      <c r="E9" s="281"/>
      <c r="F9" s="163">
        <f aca="true" t="shared" si="0" ref="F9:K9">F8+F7+F6+F5+F4</f>
        <v>11</v>
      </c>
      <c r="G9" s="163">
        <f t="shared" si="0"/>
        <v>12</v>
      </c>
      <c r="H9" s="163">
        <f t="shared" si="0"/>
        <v>5</v>
      </c>
      <c r="I9" s="163">
        <f t="shared" si="0"/>
        <v>7</v>
      </c>
      <c r="J9" s="163">
        <f t="shared" si="0"/>
        <v>73</v>
      </c>
      <c r="K9" s="180">
        <f t="shared" si="0"/>
        <v>108</v>
      </c>
    </row>
    <row r="10" spans="5:11" s="165" customFormat="1" ht="18">
      <c r="E10" s="171"/>
      <c r="F10" s="166"/>
      <c r="G10" s="166"/>
      <c r="H10" s="166"/>
      <c r="I10" s="166"/>
      <c r="J10" s="166"/>
      <c r="K10" s="166"/>
    </row>
    <row r="11" spans="5:11" s="167" customFormat="1" ht="14.25">
      <c r="E11" s="172"/>
      <c r="F11" s="168"/>
      <c r="G11" s="168"/>
      <c r="H11" s="168"/>
      <c r="I11" s="168"/>
      <c r="J11" s="168"/>
      <c r="K11" s="168"/>
    </row>
    <row r="12" s="167" customFormat="1" ht="14.25">
      <c r="E12" s="173"/>
    </row>
    <row r="13" s="167" customFormat="1" ht="14.25">
      <c r="E13" s="173"/>
    </row>
    <row r="14" s="167" customFormat="1" ht="14.25">
      <c r="E14" s="173"/>
    </row>
    <row r="15" s="167" customFormat="1" ht="14.25">
      <c r="E15" s="173"/>
    </row>
    <row r="16" s="167" customFormat="1" ht="14.25">
      <c r="E16" s="173"/>
    </row>
    <row r="17" s="167" customFormat="1" ht="14.25">
      <c r="E17" s="173"/>
    </row>
    <row r="18" s="167" customFormat="1" ht="14.25">
      <c r="E18" s="173"/>
    </row>
    <row r="19" s="167" customFormat="1" ht="14.25">
      <c r="E19" s="173"/>
    </row>
    <row r="20" s="169" customFormat="1" ht="14.25">
      <c r="E20" s="174"/>
    </row>
    <row r="21" s="169" customFormat="1" ht="14.25">
      <c r="E21" s="174"/>
    </row>
    <row r="22" s="169" customFormat="1" ht="14.25">
      <c r="E22" s="174"/>
    </row>
    <row r="23" s="169" customFormat="1" ht="14.25">
      <c r="E23" s="174"/>
    </row>
    <row r="24" s="169" customFormat="1" ht="14.25">
      <c r="E24" s="174"/>
    </row>
    <row r="25" s="169" customFormat="1" ht="14.25">
      <c r="E25" s="174"/>
    </row>
  </sheetData>
  <sheetProtection/>
  <mergeCells count="7">
    <mergeCell ref="B9:E9"/>
    <mergeCell ref="B1:K1"/>
    <mergeCell ref="B2:B3"/>
    <mergeCell ref="C2:C3"/>
    <mergeCell ref="D2:D3"/>
    <mergeCell ref="E2:E3"/>
    <mergeCell ref="F2:K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2"/>
  <sheetViews>
    <sheetView zoomScalePageLayoutView="0" workbookViewId="0" topLeftCell="A1">
      <selection activeCell="J11" sqref="J11"/>
    </sheetView>
  </sheetViews>
  <sheetFormatPr defaultColWidth="11.421875" defaultRowHeight="15"/>
  <sheetData>
    <row r="1" spans="1:2" ht="14.25">
      <c r="A1" s="212" t="s">
        <v>351</v>
      </c>
      <c r="B1" s="212" t="s">
        <v>352</v>
      </c>
    </row>
    <row r="2" spans="1:2" ht="14.25">
      <c r="A2" s="41" t="s">
        <v>387</v>
      </c>
      <c r="B2" s="41">
        <v>11</v>
      </c>
    </row>
    <row r="3" spans="1:2" ht="14.25">
      <c r="A3" s="41" t="s">
        <v>393</v>
      </c>
      <c r="B3" s="41">
        <v>11</v>
      </c>
    </row>
    <row r="4" spans="1:2" ht="14.25">
      <c r="A4" s="41" t="s">
        <v>394</v>
      </c>
      <c r="B4" s="41">
        <v>6</v>
      </c>
    </row>
    <row r="5" spans="1:2" ht="14.25">
      <c r="A5" s="44" t="s">
        <v>395</v>
      </c>
      <c r="B5" s="44">
        <v>5</v>
      </c>
    </row>
    <row r="6" spans="1:2" ht="14.25">
      <c r="A6" s="44" t="s">
        <v>396</v>
      </c>
      <c r="B6" s="44">
        <v>75</v>
      </c>
    </row>
    <row r="8" ht="14.25">
      <c r="N8" s="194"/>
    </row>
    <row r="17" spans="1:2" ht="14.25">
      <c r="A17" s="212" t="s">
        <v>351</v>
      </c>
      <c r="B17" s="212" t="s">
        <v>352</v>
      </c>
    </row>
    <row r="18" spans="1:2" ht="14.25">
      <c r="A18" s="41" t="s">
        <v>387</v>
      </c>
      <c r="B18" s="33">
        <v>24</v>
      </c>
    </row>
    <row r="19" spans="1:2" ht="14.25">
      <c r="A19" s="41" t="s">
        <v>393</v>
      </c>
      <c r="B19" s="33">
        <v>27</v>
      </c>
    </row>
    <row r="20" spans="1:2" ht="14.25">
      <c r="A20" s="41" t="s">
        <v>394</v>
      </c>
      <c r="B20" s="33">
        <v>9</v>
      </c>
    </row>
    <row r="21" spans="1:2" ht="14.25">
      <c r="A21" s="44" t="s">
        <v>395</v>
      </c>
      <c r="B21" s="33">
        <v>7</v>
      </c>
    </row>
    <row r="22" spans="1:2" ht="14.25">
      <c r="A22" s="44" t="s">
        <v>396</v>
      </c>
      <c r="B22" s="33">
        <v>41</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31"/>
  <sheetViews>
    <sheetView zoomScale="82" zoomScaleNormal="82" zoomScalePageLayoutView="0" workbookViewId="0" topLeftCell="A1">
      <selection activeCell="B19" sqref="B19"/>
    </sheetView>
  </sheetViews>
  <sheetFormatPr defaultColWidth="11.421875" defaultRowHeight="15"/>
  <cols>
    <col min="2" max="2" width="56.57421875" style="0" customWidth="1"/>
    <col min="3" max="3" width="11.421875" style="64" customWidth="1"/>
  </cols>
  <sheetData>
    <row r="1" spans="1:3" ht="14.25">
      <c r="A1" s="59" t="s">
        <v>203</v>
      </c>
      <c r="B1" s="59" t="s">
        <v>216</v>
      </c>
      <c r="C1" s="63" t="s">
        <v>6</v>
      </c>
    </row>
    <row r="2" spans="1:3" ht="14.25">
      <c r="A2" s="288" t="s">
        <v>205</v>
      </c>
      <c r="B2" s="7" t="s">
        <v>11</v>
      </c>
      <c r="C2" s="61">
        <v>1.02</v>
      </c>
    </row>
    <row r="3" spans="1:3" ht="14.25">
      <c r="A3" s="289"/>
      <c r="B3" s="57" t="s">
        <v>14</v>
      </c>
      <c r="C3" s="61">
        <v>1.55</v>
      </c>
    </row>
    <row r="4" spans="1:3" ht="14.25">
      <c r="A4" s="289"/>
      <c r="B4" s="57" t="s">
        <v>16</v>
      </c>
      <c r="C4" s="61">
        <v>1.03</v>
      </c>
    </row>
    <row r="5" spans="1:3" ht="14.25">
      <c r="A5" s="289"/>
      <c r="B5" s="57" t="s">
        <v>17</v>
      </c>
      <c r="C5" s="61">
        <v>1.4</v>
      </c>
    </row>
    <row r="6" spans="1:3" ht="14.25">
      <c r="A6" s="289"/>
      <c r="B6" s="57" t="s">
        <v>18</v>
      </c>
      <c r="C6" s="61">
        <v>1.29</v>
      </c>
    </row>
    <row r="7" spans="1:3" ht="27">
      <c r="A7" s="289"/>
      <c r="B7" s="57" t="s">
        <v>20</v>
      </c>
      <c r="C7" s="61">
        <v>0.93</v>
      </c>
    </row>
    <row r="8" spans="1:3" ht="27">
      <c r="A8" s="289"/>
      <c r="B8" s="57" t="s">
        <v>22</v>
      </c>
      <c r="C8" s="61">
        <v>0.79</v>
      </c>
    </row>
    <row r="9" spans="1:3" ht="27">
      <c r="A9" s="289"/>
      <c r="B9" s="57" t="s">
        <v>24</v>
      </c>
      <c r="C9" s="61">
        <v>0.83</v>
      </c>
    </row>
    <row r="10" spans="1:3" ht="41.25">
      <c r="A10" s="289"/>
      <c r="B10" s="57" t="s">
        <v>25</v>
      </c>
      <c r="C10" s="61">
        <v>0.55</v>
      </c>
    </row>
    <row r="11" spans="1:3" ht="14.25">
      <c r="A11" s="289"/>
      <c r="B11" s="57" t="s">
        <v>27</v>
      </c>
      <c r="C11" s="61">
        <v>0.82</v>
      </c>
    </row>
    <row r="12" spans="1:3" ht="14.25">
      <c r="A12" s="289"/>
      <c r="B12" s="57" t="s">
        <v>29</v>
      </c>
      <c r="C12" s="61">
        <v>0.67</v>
      </c>
    </row>
    <row r="13" spans="1:3" ht="14.25">
      <c r="A13" s="289"/>
      <c r="B13" s="57" t="s">
        <v>30</v>
      </c>
      <c r="C13" s="61">
        <v>0.57</v>
      </c>
    </row>
    <row r="14" spans="1:3" ht="27">
      <c r="A14" s="289"/>
      <c r="B14" s="57" t="s">
        <v>31</v>
      </c>
      <c r="C14" s="61">
        <v>1.87</v>
      </c>
    </row>
    <row r="15" spans="1:3" ht="27">
      <c r="A15" s="289"/>
      <c r="B15" s="57" t="s">
        <v>33</v>
      </c>
      <c r="C15" s="61">
        <v>0.7</v>
      </c>
    </row>
    <row r="16" spans="1:3" ht="27">
      <c r="A16" s="289"/>
      <c r="B16" s="57" t="s">
        <v>35</v>
      </c>
      <c r="C16" s="61">
        <v>0.77</v>
      </c>
    </row>
    <row r="17" spans="1:3" ht="14.25">
      <c r="A17" s="289"/>
      <c r="B17" s="57" t="s">
        <v>36</v>
      </c>
      <c r="C17" s="61">
        <v>0.1</v>
      </c>
    </row>
    <row r="18" spans="1:3" ht="27">
      <c r="A18" s="289"/>
      <c r="B18" s="57" t="s">
        <v>38</v>
      </c>
      <c r="C18" s="61">
        <v>0</v>
      </c>
    </row>
    <row r="19" spans="1:3" ht="14.25">
      <c r="A19" s="289"/>
      <c r="B19" s="57" t="s">
        <v>40</v>
      </c>
      <c r="C19" s="61">
        <v>0.04</v>
      </c>
    </row>
    <row r="20" spans="1:3" ht="14.25">
      <c r="A20" s="289"/>
      <c r="B20" s="57" t="s">
        <v>42</v>
      </c>
      <c r="C20" s="61">
        <v>0.57</v>
      </c>
    </row>
    <row r="21" spans="1:3" ht="27">
      <c r="A21" s="289"/>
      <c r="B21" s="57" t="s">
        <v>44</v>
      </c>
      <c r="C21" s="61">
        <v>4.52</v>
      </c>
    </row>
    <row r="22" spans="1:3" ht="14.25">
      <c r="A22" s="289"/>
      <c r="B22" s="57" t="s">
        <v>46</v>
      </c>
      <c r="C22" s="61">
        <v>3</v>
      </c>
    </row>
    <row r="23" spans="1:3" ht="27">
      <c r="A23" s="289"/>
      <c r="B23" s="57" t="s">
        <v>47</v>
      </c>
      <c r="C23" s="61">
        <v>0.56</v>
      </c>
    </row>
    <row r="24" spans="1:3" ht="27">
      <c r="A24" s="289"/>
      <c r="B24" s="57" t="s">
        <v>48</v>
      </c>
      <c r="C24" s="61">
        <v>1.04</v>
      </c>
    </row>
    <row r="25" spans="1:3" ht="27">
      <c r="A25" s="289"/>
      <c r="B25" s="57" t="s">
        <v>50</v>
      </c>
      <c r="C25" s="61">
        <v>0.77</v>
      </c>
    </row>
    <row r="26" spans="1:3" ht="14.25">
      <c r="A26" s="289"/>
      <c r="B26" s="57" t="s">
        <v>51</v>
      </c>
      <c r="C26" s="61">
        <v>0.71</v>
      </c>
    </row>
    <row r="27" spans="1:3" ht="27">
      <c r="A27" s="289"/>
      <c r="B27" s="57" t="s">
        <v>52</v>
      </c>
      <c r="C27" s="61">
        <v>0.99</v>
      </c>
    </row>
    <row r="28" spans="1:3" ht="27">
      <c r="A28" s="289"/>
      <c r="B28" s="57" t="s">
        <v>53</v>
      </c>
      <c r="C28" s="61">
        <v>0.92</v>
      </c>
    </row>
    <row r="29" spans="1:3" ht="14.25">
      <c r="A29" s="289"/>
      <c r="B29" s="57" t="s">
        <v>56</v>
      </c>
      <c r="C29" s="61">
        <v>0.51</v>
      </c>
    </row>
    <row r="30" spans="1:3" ht="27">
      <c r="A30" s="289"/>
      <c r="B30" s="57" t="s">
        <v>58</v>
      </c>
      <c r="C30" s="61">
        <v>1</v>
      </c>
    </row>
    <row r="31" spans="1:3" ht="27">
      <c r="A31" s="290"/>
      <c r="B31" s="57" t="s">
        <v>60</v>
      </c>
      <c r="C31" s="61">
        <v>1</v>
      </c>
    </row>
  </sheetData>
  <sheetProtection/>
  <autoFilter ref="A1:C31"/>
  <mergeCells count="1">
    <mergeCell ref="A2:A31"/>
  </mergeCells>
  <printOptions/>
  <pageMargins left="0.7" right="0.7" top="0.75" bottom="0.75" header="0.3" footer="0.3"/>
  <pageSetup horizontalDpi="600" verticalDpi="600" orientation="portrait" paperSize="5" r:id="rId1"/>
</worksheet>
</file>

<file path=xl/worksheets/sheet6.xml><?xml version="1.0" encoding="utf-8"?>
<worksheet xmlns="http://schemas.openxmlformats.org/spreadsheetml/2006/main" xmlns:r="http://schemas.openxmlformats.org/officeDocument/2006/relationships">
  <dimension ref="A1:C26"/>
  <sheetViews>
    <sheetView zoomScalePageLayoutView="0" workbookViewId="0" topLeftCell="A15">
      <selection activeCell="G28" sqref="G28"/>
    </sheetView>
  </sheetViews>
  <sheetFormatPr defaultColWidth="11.421875" defaultRowHeight="15"/>
  <cols>
    <col min="1" max="1" width="8.28125" style="64" customWidth="1"/>
    <col min="2" max="2" width="66.8515625" style="64" customWidth="1"/>
    <col min="3" max="3" width="11.421875" style="64" customWidth="1"/>
  </cols>
  <sheetData>
    <row r="1" ht="14.25">
      <c r="C1" s="63" t="s">
        <v>6</v>
      </c>
    </row>
    <row r="2" spans="1:3" ht="14.25">
      <c r="A2" s="242" t="s">
        <v>209</v>
      </c>
      <c r="B2" s="6" t="s">
        <v>61</v>
      </c>
      <c r="C2" s="61">
        <v>6</v>
      </c>
    </row>
    <row r="3" spans="1:3" ht="27">
      <c r="A3" s="243"/>
      <c r="B3" s="6" t="s">
        <v>64</v>
      </c>
      <c r="C3" s="61">
        <v>0.56</v>
      </c>
    </row>
    <row r="4" spans="1:3" ht="14.25">
      <c r="A4" s="243"/>
      <c r="B4" s="6" t="s">
        <v>65</v>
      </c>
      <c r="C4" s="61">
        <v>1.02</v>
      </c>
    </row>
    <row r="5" spans="1:3" ht="14.25">
      <c r="A5" s="243"/>
      <c r="B5" s="6" t="s">
        <v>67</v>
      </c>
      <c r="C5" s="61">
        <v>0.5</v>
      </c>
    </row>
    <row r="6" spans="1:3" ht="14.25">
      <c r="A6" s="243"/>
      <c r="B6" s="6" t="s">
        <v>69</v>
      </c>
      <c r="C6" s="61">
        <v>0.52</v>
      </c>
    </row>
    <row r="7" spans="1:3" ht="14.25">
      <c r="A7" s="243"/>
      <c r="B7" s="6" t="s">
        <v>71</v>
      </c>
      <c r="C7" s="61">
        <v>0.51</v>
      </c>
    </row>
    <row r="8" spans="1:3" ht="14.25">
      <c r="A8" s="243"/>
      <c r="B8" s="6" t="s">
        <v>73</v>
      </c>
      <c r="C8" s="61">
        <v>0.53</v>
      </c>
    </row>
    <row r="9" spans="1:3" ht="14.25">
      <c r="A9" s="243"/>
      <c r="B9" s="6" t="s">
        <v>75</v>
      </c>
      <c r="C9" s="61">
        <v>1</v>
      </c>
    </row>
    <row r="10" spans="1:3" ht="27">
      <c r="A10" s="243"/>
      <c r="B10" s="6" t="s">
        <v>78</v>
      </c>
      <c r="C10" s="61">
        <v>4.2</v>
      </c>
    </row>
    <row r="11" spans="1:3" ht="14.25">
      <c r="A11" s="243"/>
      <c r="B11" s="6" t="s">
        <v>80</v>
      </c>
      <c r="C11" s="61">
        <v>0.05</v>
      </c>
    </row>
    <row r="12" spans="1:3" ht="27">
      <c r="A12" s="243"/>
      <c r="B12" s="6" t="s">
        <v>82</v>
      </c>
      <c r="C12" s="61">
        <v>0.01</v>
      </c>
    </row>
    <row r="13" spans="1:3" ht="14.25">
      <c r="A13" s="243"/>
      <c r="B13" s="6" t="s">
        <v>84</v>
      </c>
      <c r="C13" s="61">
        <v>0.4</v>
      </c>
    </row>
    <row r="14" spans="1:3" ht="27">
      <c r="A14" s="243"/>
      <c r="B14" s="6" t="s">
        <v>86</v>
      </c>
      <c r="C14" s="61">
        <v>1</v>
      </c>
    </row>
    <row r="15" spans="1:3" ht="14.25">
      <c r="A15" s="243"/>
      <c r="B15" s="6" t="s">
        <v>88</v>
      </c>
      <c r="C15" s="61">
        <v>1</v>
      </c>
    </row>
    <row r="16" spans="1:3" ht="27">
      <c r="A16" s="243"/>
      <c r="B16" s="6" t="s">
        <v>90</v>
      </c>
      <c r="C16" s="61">
        <v>1</v>
      </c>
    </row>
    <row r="17" spans="1:3" ht="14.25">
      <c r="A17" s="243"/>
      <c r="B17" s="6" t="s">
        <v>92</v>
      </c>
      <c r="C17" s="61">
        <v>2.16</v>
      </c>
    </row>
    <row r="18" spans="1:3" ht="14.25">
      <c r="A18" s="243"/>
      <c r="B18" s="6" t="s">
        <v>95</v>
      </c>
      <c r="C18" s="61">
        <v>0.98</v>
      </c>
    </row>
    <row r="19" spans="1:3" ht="27">
      <c r="A19" s="243"/>
      <c r="B19" s="6" t="s">
        <v>217</v>
      </c>
      <c r="C19" s="61">
        <v>2.17</v>
      </c>
    </row>
    <row r="20" spans="1:3" ht="14.25">
      <c r="A20" s="243"/>
      <c r="B20" s="6" t="s">
        <v>97</v>
      </c>
      <c r="C20" s="61">
        <v>0.41</v>
      </c>
    </row>
    <row r="21" spans="1:3" ht="14.25">
      <c r="A21" s="243"/>
      <c r="B21" s="6" t="s">
        <v>98</v>
      </c>
      <c r="C21" s="61">
        <v>0.47</v>
      </c>
    </row>
    <row r="22" spans="1:3" ht="27">
      <c r="A22" s="243"/>
      <c r="B22" s="6" t="s">
        <v>100</v>
      </c>
      <c r="C22" s="61">
        <v>0.7</v>
      </c>
    </row>
    <row r="23" spans="1:3" ht="14.25">
      <c r="A23" s="243"/>
      <c r="B23" s="6" t="s">
        <v>102</v>
      </c>
      <c r="C23" s="61">
        <v>0.85</v>
      </c>
    </row>
    <row r="24" spans="1:3" ht="27">
      <c r="A24" s="243"/>
      <c r="B24" s="6" t="s">
        <v>104</v>
      </c>
      <c r="C24" s="61">
        <v>20.54</v>
      </c>
    </row>
    <row r="25" spans="1:3" ht="27">
      <c r="A25" s="243"/>
      <c r="B25" s="6" t="s">
        <v>106</v>
      </c>
      <c r="C25" s="61">
        <v>0.72</v>
      </c>
    </row>
    <row r="26" spans="1:3" ht="27">
      <c r="A26" s="244"/>
      <c r="B26" s="6" t="s">
        <v>108</v>
      </c>
      <c r="C26" s="61">
        <v>1.54</v>
      </c>
    </row>
  </sheetData>
  <sheetProtection/>
  <mergeCells count="1">
    <mergeCell ref="A2:A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5"/>
  <sheetViews>
    <sheetView zoomScalePageLayoutView="0" workbookViewId="0" topLeftCell="A1">
      <selection activeCell="C5" sqref="C5"/>
    </sheetView>
  </sheetViews>
  <sheetFormatPr defaultColWidth="11.421875" defaultRowHeight="15"/>
  <cols>
    <col min="1" max="1" width="11.421875" style="64" customWidth="1"/>
    <col min="2" max="2" width="49.57421875" style="64" customWidth="1"/>
    <col min="3" max="3" width="11.421875" style="64" customWidth="1"/>
  </cols>
  <sheetData>
    <row r="1" ht="14.25">
      <c r="C1" s="63" t="s">
        <v>6</v>
      </c>
    </row>
    <row r="2" spans="1:3" ht="41.25">
      <c r="A2" s="242" t="s">
        <v>219</v>
      </c>
      <c r="B2" s="6" t="s">
        <v>232</v>
      </c>
      <c r="C2" s="61">
        <v>1</v>
      </c>
    </row>
    <row r="3" spans="1:3" ht="27">
      <c r="A3" s="243"/>
      <c r="B3" s="6" t="s">
        <v>112</v>
      </c>
      <c r="C3" s="61">
        <v>0.58</v>
      </c>
    </row>
    <row r="4" spans="1:3" ht="41.25">
      <c r="A4" s="243"/>
      <c r="B4" s="6" t="s">
        <v>113</v>
      </c>
      <c r="C4" s="61">
        <v>1.3</v>
      </c>
    </row>
    <row r="5" spans="1:3" ht="27">
      <c r="A5" s="243"/>
      <c r="B5" s="6" t="s">
        <v>114</v>
      </c>
      <c r="C5" s="61">
        <v>1.03</v>
      </c>
    </row>
    <row r="6" spans="1:3" ht="27">
      <c r="A6" s="243"/>
      <c r="B6" s="6" t="s">
        <v>220</v>
      </c>
      <c r="C6" s="61">
        <v>7.49</v>
      </c>
    </row>
    <row r="7" spans="1:3" ht="27">
      <c r="A7" s="243"/>
      <c r="B7" s="6" t="s">
        <v>116</v>
      </c>
      <c r="C7" s="61">
        <v>0.6</v>
      </c>
    </row>
    <row r="8" spans="1:3" ht="27">
      <c r="A8" s="243"/>
      <c r="B8" s="6" t="s">
        <v>118</v>
      </c>
      <c r="C8" s="61">
        <v>0.52</v>
      </c>
    </row>
    <row r="9" spans="1:3" ht="41.25">
      <c r="A9" s="243"/>
      <c r="B9" s="65" t="s">
        <v>120</v>
      </c>
      <c r="C9" s="61">
        <v>0.51</v>
      </c>
    </row>
    <row r="10" spans="1:3" ht="27">
      <c r="A10" s="243"/>
      <c r="B10" s="6" t="s">
        <v>123</v>
      </c>
      <c r="C10" s="61">
        <v>0.65</v>
      </c>
    </row>
    <row r="11" spans="1:3" ht="27">
      <c r="A11" s="243"/>
      <c r="B11" s="6" t="s">
        <v>126</v>
      </c>
      <c r="C11" s="61">
        <v>0.9</v>
      </c>
    </row>
    <row r="12" spans="1:3" ht="82.5">
      <c r="A12" s="243"/>
      <c r="B12" s="6" t="s">
        <v>128</v>
      </c>
      <c r="C12" s="61">
        <v>0.93</v>
      </c>
    </row>
    <row r="13" spans="1:3" ht="27">
      <c r="A13" s="243"/>
      <c r="B13" s="6" t="s">
        <v>130</v>
      </c>
      <c r="C13" s="61">
        <v>0.94</v>
      </c>
    </row>
    <row r="14" spans="1:3" ht="27">
      <c r="A14" s="243"/>
      <c r="B14" s="6" t="s">
        <v>132</v>
      </c>
      <c r="C14" s="61">
        <v>0.84</v>
      </c>
    </row>
    <row r="15" spans="1:3" ht="27">
      <c r="A15" s="244"/>
      <c r="B15" s="6" t="s">
        <v>134</v>
      </c>
      <c r="C15" s="61">
        <v>0.67</v>
      </c>
    </row>
  </sheetData>
  <sheetProtection/>
  <mergeCells count="1">
    <mergeCell ref="A2:A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7"/>
  <sheetViews>
    <sheetView zoomScalePageLayoutView="0" workbookViewId="0" topLeftCell="A1">
      <selection activeCell="B8" sqref="B8"/>
    </sheetView>
  </sheetViews>
  <sheetFormatPr defaultColWidth="11.421875" defaultRowHeight="15"/>
  <cols>
    <col min="1" max="1" width="7.421875" style="64" customWidth="1"/>
    <col min="2" max="2" width="45.140625" style="64" customWidth="1"/>
    <col min="3" max="3" width="11.421875" style="64" customWidth="1"/>
  </cols>
  <sheetData>
    <row r="1" ht="14.25">
      <c r="C1" s="63" t="s">
        <v>6</v>
      </c>
    </row>
    <row r="2" spans="1:3" ht="27">
      <c r="A2" s="291" t="s">
        <v>222</v>
      </c>
      <c r="B2" s="6" t="s">
        <v>135</v>
      </c>
      <c r="C2" s="61">
        <v>1</v>
      </c>
    </row>
    <row r="3" spans="1:3" ht="27">
      <c r="A3" s="292"/>
      <c r="B3" s="6" t="s">
        <v>138</v>
      </c>
      <c r="C3" s="61">
        <v>1</v>
      </c>
    </row>
    <row r="4" spans="1:3" ht="27">
      <c r="A4" s="292"/>
      <c r="B4" s="6" t="s">
        <v>141</v>
      </c>
      <c r="C4" s="61">
        <v>1</v>
      </c>
    </row>
    <row r="5" spans="1:3" ht="27">
      <c r="A5" s="292"/>
      <c r="B5" s="6" t="s">
        <v>143</v>
      </c>
      <c r="C5" s="61">
        <v>0.58</v>
      </c>
    </row>
    <row r="6" spans="1:3" ht="27">
      <c r="A6" s="292"/>
      <c r="B6" s="6" t="s">
        <v>144</v>
      </c>
      <c r="C6" s="61">
        <v>1</v>
      </c>
    </row>
    <row r="7" spans="1:3" ht="27">
      <c r="A7" s="292"/>
      <c r="B7" s="6" t="s">
        <v>146</v>
      </c>
      <c r="C7" s="61">
        <v>1</v>
      </c>
    </row>
    <row r="8" spans="1:3" ht="41.25">
      <c r="A8" s="292"/>
      <c r="B8" s="6" t="s">
        <v>147</v>
      </c>
      <c r="C8" s="61">
        <v>1</v>
      </c>
    </row>
    <row r="9" spans="1:3" ht="27">
      <c r="A9" s="292"/>
      <c r="B9" s="6" t="s">
        <v>148</v>
      </c>
      <c r="C9" s="61">
        <v>0.6</v>
      </c>
    </row>
    <row r="10" spans="1:3" ht="27">
      <c r="A10" s="292"/>
      <c r="B10" s="6" t="s">
        <v>150</v>
      </c>
      <c r="C10" s="61">
        <v>0.53</v>
      </c>
    </row>
    <row r="11" spans="1:3" ht="27">
      <c r="A11" s="292"/>
      <c r="B11" s="6" t="s">
        <v>152</v>
      </c>
      <c r="C11" s="61">
        <v>0.5</v>
      </c>
    </row>
    <row r="12" spans="1:3" ht="27">
      <c r="A12" s="292"/>
      <c r="B12" s="6" t="s">
        <v>155</v>
      </c>
      <c r="C12" s="61">
        <v>0.5</v>
      </c>
    </row>
    <row r="13" spans="1:3" ht="27">
      <c r="A13" s="292"/>
      <c r="B13" s="6" t="s">
        <v>156</v>
      </c>
      <c r="C13" s="61">
        <v>0.53</v>
      </c>
    </row>
    <row r="14" spans="1:3" ht="41.25">
      <c r="A14" s="292"/>
      <c r="B14" s="6" t="s">
        <v>157</v>
      </c>
      <c r="C14" s="61">
        <v>1</v>
      </c>
    </row>
    <row r="15" spans="1:3" ht="27">
      <c r="A15" s="292"/>
      <c r="B15" s="6" t="s">
        <v>158</v>
      </c>
      <c r="C15" s="61">
        <v>1</v>
      </c>
    </row>
    <row r="16" spans="1:3" ht="27">
      <c r="A16" s="292"/>
      <c r="B16" s="6" t="s">
        <v>160</v>
      </c>
      <c r="C16" s="61">
        <v>0.8</v>
      </c>
    </row>
    <row r="17" spans="1:3" ht="27">
      <c r="A17" s="293"/>
      <c r="B17" s="6" t="s">
        <v>162</v>
      </c>
      <c r="C17" s="61">
        <v>0.5</v>
      </c>
    </row>
  </sheetData>
  <sheetProtection/>
  <mergeCells count="1">
    <mergeCell ref="A2:A1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4"/>
  <sheetViews>
    <sheetView zoomScalePageLayoutView="0" workbookViewId="0" topLeftCell="A14">
      <selection activeCell="B5" sqref="B5"/>
    </sheetView>
  </sheetViews>
  <sheetFormatPr defaultColWidth="11.421875" defaultRowHeight="15"/>
  <cols>
    <col min="1" max="1" width="11.421875" style="64" customWidth="1"/>
    <col min="2" max="2" width="41.7109375" style="0" customWidth="1"/>
  </cols>
  <sheetData>
    <row r="1" ht="14.25">
      <c r="C1" s="1" t="s">
        <v>6</v>
      </c>
    </row>
    <row r="2" spans="1:3" ht="27">
      <c r="A2" s="267" t="s">
        <v>225</v>
      </c>
      <c r="B2" s="58" t="s">
        <v>164</v>
      </c>
      <c r="C2" s="10">
        <v>1</v>
      </c>
    </row>
    <row r="3" spans="1:3" ht="41.25">
      <c r="A3" s="268"/>
      <c r="B3" s="58" t="s">
        <v>167</v>
      </c>
      <c r="C3" s="10">
        <v>0.14</v>
      </c>
    </row>
    <row r="4" spans="1:3" ht="27">
      <c r="A4" s="268"/>
      <c r="B4" s="58" t="s">
        <v>168</v>
      </c>
      <c r="C4" s="10">
        <v>0</v>
      </c>
    </row>
    <row r="5" spans="1:3" ht="27">
      <c r="A5" s="268"/>
      <c r="B5" s="58" t="s">
        <v>169</v>
      </c>
      <c r="C5" s="10">
        <v>0</v>
      </c>
    </row>
    <row r="6" spans="1:3" ht="41.25">
      <c r="A6" s="268"/>
      <c r="B6" s="58" t="s">
        <v>167</v>
      </c>
      <c r="C6" s="10">
        <v>0.14</v>
      </c>
    </row>
    <row r="7" spans="1:3" ht="41.25">
      <c r="A7" s="268"/>
      <c r="B7" s="58" t="s">
        <v>170</v>
      </c>
      <c r="C7" s="10">
        <v>0</v>
      </c>
    </row>
    <row r="8" spans="1:3" ht="41.25">
      <c r="A8" s="268"/>
      <c r="B8" s="58" t="s">
        <v>172</v>
      </c>
      <c r="C8" s="10">
        <v>0.14</v>
      </c>
    </row>
    <row r="9" spans="1:3" ht="41.25">
      <c r="A9" s="268"/>
      <c r="B9" s="58" t="s">
        <v>173</v>
      </c>
      <c r="C9" s="10">
        <v>0</v>
      </c>
    </row>
    <row r="10" spans="1:3" ht="41.25">
      <c r="A10" s="268"/>
      <c r="B10" s="58" t="s">
        <v>174</v>
      </c>
      <c r="C10" s="10">
        <v>0.14</v>
      </c>
    </row>
    <row r="11" spans="1:3" ht="41.25">
      <c r="A11" s="268"/>
      <c r="B11" s="58" t="s">
        <v>176</v>
      </c>
      <c r="C11" s="10">
        <v>0.4</v>
      </c>
    </row>
    <row r="12" spans="1:3" ht="41.25">
      <c r="A12" s="268"/>
      <c r="B12" s="58" t="s">
        <v>179</v>
      </c>
      <c r="C12" s="10">
        <v>0</v>
      </c>
    </row>
    <row r="13" spans="1:3" ht="27">
      <c r="A13" s="268"/>
      <c r="B13" s="58" t="s">
        <v>234</v>
      </c>
      <c r="C13" s="10">
        <v>0</v>
      </c>
    </row>
    <row r="14" spans="1:3" ht="27">
      <c r="A14" s="268"/>
      <c r="B14" s="58" t="s">
        <v>182</v>
      </c>
      <c r="C14" s="10">
        <v>0</v>
      </c>
    </row>
    <row r="15" spans="1:3" ht="27">
      <c r="A15" s="268"/>
      <c r="B15" s="58" t="s">
        <v>361</v>
      </c>
      <c r="C15" s="10">
        <v>0</v>
      </c>
    </row>
    <row r="16" spans="1:3" ht="41.25">
      <c r="A16" s="268"/>
      <c r="B16" s="58" t="s">
        <v>179</v>
      </c>
      <c r="C16" s="10">
        <v>0</v>
      </c>
    </row>
    <row r="17" spans="1:3" ht="27">
      <c r="A17" s="268"/>
      <c r="B17" s="58" t="s">
        <v>185</v>
      </c>
      <c r="C17" s="10">
        <v>1</v>
      </c>
    </row>
    <row r="18" spans="1:3" ht="27">
      <c r="A18" s="268"/>
      <c r="B18" s="58" t="s">
        <v>362</v>
      </c>
      <c r="C18" s="10">
        <v>0.02</v>
      </c>
    </row>
    <row r="19" spans="1:3" ht="41.25">
      <c r="A19" s="268"/>
      <c r="B19" s="58" t="s">
        <v>188</v>
      </c>
      <c r="C19" s="10">
        <v>0</v>
      </c>
    </row>
    <row r="20" spans="1:3" ht="54.75">
      <c r="A20" s="268"/>
      <c r="B20" s="58" t="s">
        <v>190</v>
      </c>
      <c r="C20" s="10">
        <v>0</v>
      </c>
    </row>
    <row r="21" spans="1:3" ht="41.25">
      <c r="A21" s="268"/>
      <c r="B21" s="58" t="s">
        <v>192</v>
      </c>
      <c r="C21" s="10">
        <v>0</v>
      </c>
    </row>
    <row r="22" spans="1:3" ht="27">
      <c r="A22" s="268"/>
      <c r="B22" s="58" t="s">
        <v>194</v>
      </c>
      <c r="C22" s="10">
        <v>0</v>
      </c>
    </row>
    <row r="23" spans="1:3" ht="27">
      <c r="A23" s="268"/>
      <c r="B23" s="58" t="s">
        <v>196</v>
      </c>
      <c r="C23" s="10">
        <v>0</v>
      </c>
    </row>
    <row r="24" spans="1:3" ht="27.75" thickBot="1">
      <c r="A24" s="268"/>
      <c r="B24" s="8" t="s">
        <v>197</v>
      </c>
      <c r="C24" s="10">
        <v>0</v>
      </c>
    </row>
  </sheetData>
  <sheetProtection/>
  <mergeCells count="1">
    <mergeCell ref="A2:A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AUXPLANEACION12</dc:creator>
  <cp:keywords/>
  <dc:description/>
  <cp:lastModifiedBy>AUXFAMILIA30</cp:lastModifiedBy>
  <cp:lastPrinted>2017-10-10T16:48:04Z</cp:lastPrinted>
  <dcterms:created xsi:type="dcterms:W3CDTF">2017-02-16T21:03:24Z</dcterms:created>
  <dcterms:modified xsi:type="dcterms:W3CDTF">2019-09-23T14:47:29Z</dcterms:modified>
  <cp:category/>
  <cp:version/>
  <cp:contentType/>
  <cp:contentStatus/>
</cp:coreProperties>
</file>