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3\"/>
    </mc:Choice>
  </mc:AlternateContent>
  <xr:revisionPtr revIDLastSave="0" documentId="13_ncr:1_{5DB73868-1A6B-4E1D-9650-45CC99BEDEDC}" xr6:coauthVersionLast="47" xr6:coauthVersionMax="47" xr10:uidLastSave="{00000000-0000-0000-0000-000000000000}"/>
  <bookViews>
    <workbookView xWindow="20370" yWindow="-120" windowWidth="20730" windowHeight="11160" xr2:uid="{00000000-000D-0000-FFFF-FFFF00000000}"/>
  </bookViews>
  <sheets>
    <sheet name="Matriz" sheetId="1" r:id="rId1"/>
    <sheet name="Avance Total" sheetId="9" r:id="rId2"/>
  </sheets>
  <externalReferences>
    <externalReference r:id="rId3"/>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9" l="1"/>
  <c r="CG59" i="1"/>
  <c r="CF42" i="1"/>
  <c r="CG48" i="1"/>
  <c r="CE35" i="1"/>
  <c r="CF4" i="1"/>
  <c r="CH85" i="1"/>
  <c r="CG85" i="1"/>
  <c r="CH84" i="1"/>
  <c r="CG84" i="1"/>
  <c r="CH83" i="1"/>
  <c r="CG83" i="1"/>
  <c r="CH82" i="1"/>
  <c r="CI82" i="1" s="1"/>
  <c r="CG82" i="1"/>
  <c r="CH80" i="1"/>
  <c r="CG80" i="1"/>
  <c r="CH75" i="1"/>
  <c r="CG75" i="1"/>
  <c r="CG74" i="1"/>
  <c r="CH74" i="1" s="1"/>
  <c r="CI74" i="1" s="1"/>
  <c r="CI71" i="1"/>
  <c r="CH70" i="1"/>
  <c r="CI70" i="1" s="1"/>
  <c r="CG70" i="1"/>
  <c r="CH69" i="1"/>
  <c r="CG69" i="1"/>
  <c r="CH68" i="1"/>
  <c r="CG68" i="1"/>
  <c r="CH66" i="1"/>
  <c r="CG66" i="1"/>
  <c r="CI65" i="1"/>
  <c r="CH64" i="1"/>
  <c r="CG64" i="1"/>
  <c r="CH62" i="1"/>
  <c r="CG62" i="1"/>
  <c r="CH60" i="1"/>
  <c r="CG60" i="1"/>
  <c r="CH59" i="1"/>
  <c r="CH58" i="1"/>
  <c r="CG58" i="1"/>
  <c r="CH55" i="1"/>
  <c r="CG55" i="1"/>
  <c r="CH53" i="1"/>
  <c r="CG53" i="1"/>
  <c r="CH51" i="1"/>
  <c r="CG51" i="1"/>
  <c r="CH49" i="1"/>
  <c r="CG49" i="1"/>
  <c r="CH48" i="1"/>
  <c r="CH46" i="1"/>
  <c r="CG46" i="1"/>
  <c r="CG44" i="1"/>
  <c r="CI44" i="1" s="1"/>
  <c r="CH43" i="1"/>
  <c r="CG43" i="1"/>
  <c r="CI42" i="1"/>
  <c r="CI41" i="1"/>
  <c r="CH37" i="1"/>
  <c r="CG37" i="1"/>
  <c r="CI37" i="1" s="1"/>
  <c r="CI35" i="1"/>
  <c r="CI34" i="1"/>
  <c r="CH33" i="1"/>
  <c r="CG33" i="1"/>
  <c r="CI33" i="1" s="1"/>
  <c r="CH31" i="1"/>
  <c r="CG31" i="1"/>
  <c r="CH27" i="1"/>
  <c r="CG27" i="1"/>
  <c r="CG25" i="1"/>
  <c r="CI25" i="1" s="1"/>
  <c r="CH21" i="1"/>
  <c r="CG21" i="1"/>
  <c r="CH18" i="1"/>
  <c r="CG18" i="1"/>
  <c r="CI14" i="1"/>
  <c r="CH13" i="1"/>
  <c r="CG13" i="1"/>
  <c r="CH12" i="1"/>
  <c r="CG12" i="1"/>
  <c r="CI12" i="1" s="1"/>
  <c r="CI6" i="1"/>
  <c r="CH5" i="1"/>
  <c r="CH4" i="1"/>
  <c r="CG4" i="1"/>
  <c r="CI4" i="1" s="1"/>
  <c r="H35" i="9"/>
  <c r="B7" i="9" s="1"/>
  <c r="G35" i="9"/>
  <c r="B6" i="9" s="1"/>
  <c r="F35" i="9"/>
  <c r="B5" i="9" s="1"/>
  <c r="E35" i="9"/>
  <c r="D35" i="9"/>
  <c r="B3" i="9" s="1"/>
  <c r="I34" i="9"/>
  <c r="I33" i="9"/>
  <c r="I32" i="9"/>
  <c r="I30" i="9"/>
  <c r="CN85" i="1"/>
  <c r="CF85" i="1"/>
  <c r="CN84" i="1"/>
  <c r="CF84" i="1"/>
  <c r="CN83" i="1"/>
  <c r="CN82" i="1"/>
  <c r="CF82" i="1"/>
  <c r="CN80" i="1"/>
  <c r="CF80" i="1"/>
  <c r="CN79" i="1"/>
  <c r="CF79" i="1"/>
  <c r="CF75" i="1"/>
  <c r="CN71" i="1"/>
  <c r="CN70" i="1"/>
  <c r="CN69" i="1"/>
  <c r="CF69" i="1"/>
  <c r="CN68" i="1"/>
  <c r="CF68" i="1"/>
  <c r="CN66" i="1"/>
  <c r="CF66" i="1"/>
  <c r="CF65" i="1"/>
  <c r="CF61" i="1"/>
  <c r="CF60" i="1"/>
  <c r="CF51" i="1"/>
  <c r="CF49" i="1"/>
  <c r="CN42" i="1"/>
  <c r="CN41" i="1"/>
  <c r="CN40" i="1"/>
  <c r="CM35" i="1"/>
  <c r="CN30" i="1"/>
  <c r="CF30" i="1"/>
  <c r="CN26" i="1"/>
  <c r="CF26" i="1"/>
  <c r="CN25" i="1"/>
  <c r="CL13" i="1"/>
  <c r="CN13" i="1" s="1"/>
  <c r="CN8" i="1"/>
  <c r="CN7" i="1"/>
  <c r="CF7" i="1"/>
  <c r="CN6" i="1"/>
  <c r="CF6" i="1"/>
  <c r="CN5" i="1"/>
  <c r="CF5" i="1"/>
  <c r="CN4" i="1"/>
  <c r="CA55" i="1"/>
  <c r="CI49" i="1" l="1"/>
  <c r="CI60" i="1"/>
  <c r="CF87" i="1"/>
  <c r="CI31" i="1"/>
  <c r="CI53" i="1"/>
  <c r="CI64" i="1"/>
  <c r="CI27" i="1"/>
  <c r="CI43" i="1"/>
  <c r="CI55" i="1"/>
  <c r="CI83" i="1"/>
  <c r="CI68" i="1"/>
  <c r="CI84" i="1"/>
  <c r="CI13" i="1"/>
  <c r="CI48" i="1"/>
  <c r="CI69" i="1"/>
  <c r="CI80" i="1"/>
  <c r="CI46" i="1"/>
  <c r="CI59" i="1"/>
  <c r="CI62" i="1"/>
  <c r="CI85" i="1"/>
  <c r="I35" i="9"/>
  <c r="CN87" i="1"/>
  <c r="CA35" i="1"/>
  <c r="BW35" i="1"/>
  <c r="CI87" i="1" l="1"/>
  <c r="CA53" i="1"/>
  <c r="BY51" i="1"/>
  <c r="BZ49" i="1"/>
  <c r="BY49" i="1"/>
  <c r="BY12" i="1" l="1"/>
  <c r="BX82" i="1"/>
  <c r="BZ51" i="1" l="1"/>
  <c r="BZ43" i="1"/>
  <c r="BY43" i="1"/>
  <c r="CA80" i="1" l="1"/>
  <c r="BZ46" i="1" l="1"/>
  <c r="BY46" i="1"/>
  <c r="BZ69" i="1" l="1"/>
  <c r="BZ70" i="1"/>
  <c r="BY70" i="1"/>
  <c r="BZ68" i="1"/>
  <c r="BZ66" i="1"/>
  <c r="BZ12" i="1" l="1"/>
  <c r="BZ64" i="1" l="1"/>
  <c r="BY64" i="1"/>
  <c r="BZ62" i="1"/>
  <c r="BY62" i="1"/>
  <c r="BZ60" i="1"/>
  <c r="BY60" i="1"/>
  <c r="BZ59" i="1"/>
  <c r="BY59" i="1"/>
  <c r="BZ33" i="1"/>
  <c r="BY33" i="1"/>
  <c r="BZ27" i="1" l="1"/>
  <c r="BY27" i="1"/>
  <c r="BZ5" i="1"/>
  <c r="BY4" i="1"/>
  <c r="BZ85" i="1"/>
  <c r="BY85" i="1"/>
  <c r="BZ58" i="1"/>
  <c r="BY58" i="1"/>
  <c r="BZ37" i="1"/>
  <c r="BY37" i="1"/>
  <c r="CA33" i="1"/>
  <c r="BY13" i="1"/>
  <c r="BZ13" i="1"/>
  <c r="CA84" i="1" l="1"/>
  <c r="CA83" i="1"/>
  <c r="BZ75" i="1"/>
  <c r="BZ74" i="1"/>
  <c r="CA71" i="1"/>
  <c r="CA69" i="1"/>
  <c r="CA68" i="1"/>
  <c r="CA65" i="1"/>
  <c r="CA49" i="1"/>
  <c r="CA48" i="1"/>
  <c r="CA44" i="1"/>
  <c r="CA41" i="1"/>
  <c r="CA27" i="1"/>
  <c r="CA14" i="1"/>
  <c r="CA6" i="1"/>
  <c r="CA4" i="1"/>
  <c r="BX5" i="1"/>
  <c r="CA74" i="1" l="1"/>
  <c r="CA70" i="1"/>
  <c r="BZ21" i="1"/>
  <c r="BY21" i="1"/>
  <c r="BZ82" i="1"/>
  <c r="BY82" i="1"/>
  <c r="CA62" i="1"/>
  <c r="CA59" i="1"/>
  <c r="CA46" i="1"/>
  <c r="BY31" i="1"/>
  <c r="CA31" i="1" s="1"/>
  <c r="BY25" i="1"/>
  <c r="CA25" i="1" s="1"/>
  <c r="BZ18" i="1"/>
  <c r="BY18" i="1"/>
  <c r="BX4" i="1"/>
  <c r="CA82" i="1" l="1"/>
  <c r="CA37" i="1"/>
  <c r="CA12" i="1"/>
  <c r="CA13" i="1"/>
  <c r="CA60" i="1"/>
  <c r="CA64" i="1"/>
  <c r="CA85" i="1"/>
  <c r="B9" i="9"/>
  <c r="BC69" i="1"/>
  <c r="BC68" i="1"/>
  <c r="AO66" i="1"/>
  <c r="AH66" i="1"/>
  <c r="BG18" i="1"/>
  <c r="BB61" i="1"/>
  <c r="AP25" i="1"/>
  <c r="AP24" i="1"/>
  <c r="BX85" i="1"/>
  <c r="BX84" i="1"/>
  <c r="BX80" i="1"/>
  <c r="BX79" i="1"/>
  <c r="BX75" i="1"/>
  <c r="BX69" i="1"/>
  <c r="BX68" i="1"/>
  <c r="BX66" i="1"/>
  <c r="BX65" i="1"/>
  <c r="BX61" i="1"/>
  <c r="BX60" i="1"/>
  <c r="BX51" i="1"/>
  <c r="BX49" i="1"/>
  <c r="BX42" i="1"/>
  <c r="CA42" i="1" s="1"/>
  <c r="CA34" i="1"/>
  <c r="BX30" i="1"/>
  <c r="BX26" i="1"/>
  <c r="BX7" i="1"/>
  <c r="BX6" i="1"/>
  <c r="CA87" i="1" l="1"/>
  <c r="BX87" i="1"/>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Q13" i="1" l="1"/>
  <c r="AA26" i="1" l="1"/>
  <c r="AA79" i="1"/>
  <c r="AA80" i="1"/>
  <c r="AA6" i="1"/>
  <c r="AA84" i="1"/>
  <c r="AA7" i="1"/>
  <c r="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Indeportes0314</author>
  </authors>
  <commentList>
    <comment ref="BA32" authorId="0" shapeId="0" xr:uid="{00000000-0006-0000-0000-000001000000}">
      <text>
        <r>
          <rPr>
            <b/>
            <sz val="9"/>
            <color indexed="81"/>
            <rFont val="Tahoma"/>
            <family val="2"/>
          </rPr>
          <t>AUXFAMILIA26:</t>
        </r>
        <r>
          <rPr>
            <sz val="9"/>
            <color indexed="81"/>
            <rFont val="Tahoma"/>
            <family val="2"/>
          </rPr>
          <t xml:space="preserve">
pendiente respuesta universidades </t>
        </r>
      </text>
    </comment>
    <comment ref="BA49" authorId="0" shapeId="0" xr:uid="{00000000-0006-0000-0000-000002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00000000-0006-0000-0000-000003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1" shapeId="0" xr:uid="{00000000-0006-0000-0000-000004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0" shapeId="0" xr:uid="{00000000-0006-0000-0000-000006000000}">
      <text>
        <r>
          <rPr>
            <b/>
            <sz val="9"/>
            <color indexed="81"/>
            <rFont val="Tahoma"/>
            <family val="2"/>
          </rPr>
          <t>AUXFAMILIA26:</t>
        </r>
        <r>
          <rPr>
            <sz val="9"/>
            <color indexed="81"/>
            <rFont val="Tahoma"/>
            <family val="2"/>
          </rPr>
          <t xml:space="preserve">
pendiente respuesta universidades</t>
        </r>
      </text>
    </comment>
    <comment ref="BJ74" authorId="0" shapeId="0" xr:uid="{00000000-0006-0000-0000-000007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<sst xmlns="http://schemas.openxmlformats.org/spreadsheetml/2006/main" count="2202" uniqueCount="1160">
  <si>
    <t>LINEAS ESTRATEGICAS</t>
  </si>
  <si>
    <t>No.</t>
  </si>
  <si>
    <t>ESTRATEGIAS</t>
  </si>
  <si>
    <t>ACCIONES RECOMENDADAS</t>
  </si>
  <si>
    <t>INDICADORES</t>
  </si>
  <si>
    <t>MEDIOS DE VERIFICACIÓN</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</si>
  <si>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</si>
  <si>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</si>
  <si>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</si>
  <si>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</si>
  <si>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</si>
  <si>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</si>
  <si>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</si>
  <si>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</si>
  <si>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</si>
  <si>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</si>
  <si>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</si>
  <si>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</si>
  <si>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</si>
  <si>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</si>
  <si>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</si>
  <si>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</si>
  <si>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</si>
  <si>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</si>
  <si>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</si>
  <si>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</si>
  <si>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</si>
  <si>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</si>
  <si>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</si>
  <si>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</si>
  <si>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</si>
  <si>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</si>
  <si>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</si>
  <si>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</si>
  <si>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</si>
  <si>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</si>
  <si>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</si>
  <si>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</si>
  <si>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</si>
  <si>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</si>
  <si>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</si>
  <si>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</si>
  <si>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</si>
  <si>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</si>
  <si>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</si>
  <si>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</si>
  <si>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</si>
  <si>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</si>
  <si>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</si>
  <si>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</si>
  <si>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</si>
  <si>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</si>
  <si>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</si>
  <si>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</si>
  <si>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</si>
  <si>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</si>
  <si>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</si>
  <si>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</si>
  <si>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</si>
  <si>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</si>
  <si>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</si>
  <si>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</si>
  <si>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</si>
  <si>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</si>
  <si>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</si>
  <si>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</si>
  <si>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</si>
  <si>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</si>
  <si>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</si>
  <si>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</si>
  <si>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</si>
  <si>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</si>
  <si>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</si>
  <si>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</si>
  <si>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</si>
  <si>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</si>
  <si>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</si>
  <si>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</si>
  <si>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</si>
  <si>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</si>
  <si>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</si>
  <si>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</si>
  <si>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</si>
  <si>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</si>
  <si>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</si>
  <si>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</si>
  <si>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</si>
  <si>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</si>
  <si>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</si>
  <si>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</si>
  <si>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</si>
  <si>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</si>
  <si>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</si>
  <si>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</si>
  <si>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</si>
  <si>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</si>
  <si>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</si>
  <si>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</si>
  <si>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</si>
  <si>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</si>
  <si>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</si>
  <si>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</si>
  <si>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</si>
  <si>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</si>
  <si>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</si>
  <si>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</si>
  <si>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</si>
  <si>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</si>
  <si>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</si>
  <si>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</si>
  <si>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</si>
  <si>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</si>
  <si>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</si>
  <si>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</si>
  <si>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</si>
  <si>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</si>
  <si>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</si>
  <si>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</si>
  <si>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</si>
  <si>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</si>
  <si>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</si>
  <si>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</si>
  <si>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</si>
  <si>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</si>
  <si>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</si>
  <si>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</si>
  <si>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</si>
  <si>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</si>
  <si>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</si>
  <si>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</si>
  <si>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</si>
  <si>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</si>
  <si>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</si>
  <si>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</si>
  <si>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</si>
  <si>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</si>
  <si>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</si>
  <si>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</si>
  <si>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</si>
  <si>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</si>
  <si>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</si>
  <si>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</si>
  <si>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</si>
  <si>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</si>
  <si>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</si>
  <si>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</si>
  <si>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</si>
  <si>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</si>
  <si>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</si>
  <si>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</si>
  <si>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</si>
  <si>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</si>
  <si>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</si>
  <si>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</si>
  <si>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</si>
  <si>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</si>
  <si>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</si>
  <si>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</si>
  <si>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</si>
  <si>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</si>
  <si>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</si>
  <si>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</si>
  <si>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</si>
  <si>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</si>
  <si>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</si>
  <si>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</si>
  <si>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</si>
  <si>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</si>
  <si>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</si>
  <si>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</si>
  <si>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</si>
  <si>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</si>
  <si>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</si>
  <si>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</si>
  <si>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</si>
  <si>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</si>
  <si>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</si>
  <si>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</si>
  <si>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</si>
  <si>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</si>
  <si>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</si>
  <si>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</si>
  <si>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</si>
  <si>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</si>
  <si>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</si>
  <si>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</si>
  <si>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</si>
  <si>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</si>
  <si>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</si>
  <si>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</si>
  <si>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</si>
  <si>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</si>
  <si>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</si>
  <si>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</si>
  <si>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</si>
  <si>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</si>
  <si>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</si>
  <si>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</si>
  <si>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</si>
  <si>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</si>
  <si>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</si>
  <si>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</si>
  <si>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</si>
  <si>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</si>
  <si>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</si>
  <si>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</si>
  <si>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</si>
  <si>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</si>
  <si>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</si>
  <si>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</si>
  <si>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</si>
  <si>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</si>
  <si>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</si>
  <si>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</si>
  <si>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</si>
  <si>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</si>
  <si>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</si>
  <si>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</si>
  <si>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</si>
  <si>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</si>
  <si>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</si>
  <si>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</si>
  <si>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</si>
  <si>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</si>
  <si>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</si>
  <si>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</si>
  <si>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</si>
  <si>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</si>
  <si>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</si>
  <si>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</si>
  <si>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</si>
  <si>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</si>
  <si>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</si>
  <si>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</si>
  <si>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</si>
  <si>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</si>
  <si>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</si>
  <si>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</si>
  <si>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</si>
  <si>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</si>
  <si>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</si>
  <si>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</si>
  <si>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</si>
  <si>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</si>
  <si>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</si>
  <si>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</si>
  <si>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</si>
  <si>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</si>
  <si>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</si>
  <si>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</si>
  <si>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</si>
  <si>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</si>
  <si>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</si>
  <si>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</si>
  <si>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</si>
  <si>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</si>
  <si>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</si>
  <si>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</si>
  <si>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</si>
  <si>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</si>
  <si>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</si>
  <si>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</si>
  <si>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</si>
  <si>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</si>
  <si>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</si>
  <si>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</si>
  <si>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</si>
  <si>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</si>
  <si>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</si>
  <si>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</si>
  <si>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</si>
  <si>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</si>
  <si>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</si>
  <si>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</si>
  <si>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</si>
  <si>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</si>
  <si>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</si>
  <si>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</si>
  <si>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</si>
  <si>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</si>
  <si>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</si>
  <si>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</si>
  <si>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</si>
  <si>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</si>
  <si>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</si>
  <si>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</si>
  <si>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</si>
  <si>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</si>
  <si>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</si>
  <si>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</si>
  <si>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</si>
  <si>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</si>
  <si>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</si>
  <si>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</si>
  <si>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</si>
  <si>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</si>
  <si>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</si>
  <si>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</si>
  <si>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</si>
  <si>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</si>
  <si>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</si>
  <si>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</si>
  <si>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</si>
  <si>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</si>
  <si>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</si>
  <si>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</si>
  <si>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</si>
  <si>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</si>
  <si>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</si>
  <si>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</si>
  <si>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</si>
  <si>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</si>
  <si>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</si>
  <si>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</si>
  <si>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</si>
  <si>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</si>
  <si>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</si>
  <si>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</si>
  <si>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</si>
  <si>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</si>
  <si>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</si>
  <si>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</si>
  <si>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</si>
  <si>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</si>
  <si>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</si>
  <si>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</si>
  <si>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</si>
  <si>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</si>
  <si>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</si>
  <si>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</si>
  <si>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</si>
  <si>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</si>
  <si>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</si>
  <si>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</si>
  <si>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</si>
  <si>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</si>
  <si>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</si>
  <si>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</si>
  <si>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</si>
  <si>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</si>
  <si>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</si>
  <si>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</si>
  <si>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</si>
  <si>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</si>
  <si>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</si>
  <si>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</si>
  <si>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</si>
  <si>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</si>
  <si>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</si>
  <si>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</si>
  <si>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</si>
  <si>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</si>
  <si>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</si>
  <si>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</si>
  <si>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</si>
  <si>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</si>
  <si>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</si>
  <si>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</si>
  <si>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</si>
  <si>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</si>
  <si>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</si>
  <si>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</si>
  <si>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</si>
  <si>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</si>
  <si>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</si>
  <si>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</si>
  <si>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</si>
  <si>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</si>
  <si>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</si>
  <si>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</si>
  <si>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</si>
  <si>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</si>
  <si>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</si>
  <si>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</si>
  <si>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</si>
  <si>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</si>
  <si>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</si>
  <si>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</si>
  <si>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</si>
  <si>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</si>
  <si>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</si>
  <si>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</si>
  <si>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</si>
  <si>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</si>
  <si>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</si>
  <si>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</si>
  <si>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</si>
  <si>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</si>
  <si>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</si>
  <si>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</si>
  <si>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</si>
  <si>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</si>
  <si>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</si>
  <si>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</si>
  <si>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</si>
  <si>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</si>
  <si>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</si>
  <si>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</si>
  <si>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</si>
  <si>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</si>
  <si>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</si>
  <si>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</si>
  <si>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</si>
  <si>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</si>
  <si>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</si>
  <si>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</si>
  <si>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</si>
  <si>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</si>
  <si>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</si>
  <si>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</si>
  <si>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</si>
  <si>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</si>
  <si>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</si>
  <si>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</si>
  <si>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</si>
  <si>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</si>
  <si>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</si>
  <si>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</si>
  <si>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</si>
  <si>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</si>
  <si>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</si>
  <si>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</si>
  <si>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</si>
  <si>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</si>
  <si>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</si>
  <si>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</si>
  <si>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</si>
  <si>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</si>
  <si>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</si>
  <si>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</si>
  <si>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</si>
  <si>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</si>
  <si>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</si>
  <si>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</si>
  <si>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</si>
  <si>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</si>
  <si>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</si>
  <si>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</si>
  <si>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</si>
  <si>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</si>
  <si>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</si>
  <si>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</si>
  <si>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</si>
  <si>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</si>
  <si>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</si>
  <si>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</si>
  <si>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</si>
  <si>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</si>
  <si>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</si>
  <si>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</si>
  <si>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</si>
  <si>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</si>
  <si>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</si>
  <si>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</si>
  <si>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</si>
  <si>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</si>
  <si>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</si>
  <si>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</si>
  <si>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</si>
  <si>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</si>
  <si>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</si>
  <si>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</si>
  <si>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</si>
  <si>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t>20.3%</t>
  </si>
  <si>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</si>
  <si>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</si>
  <si>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</si>
  <si>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</si>
  <si>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</si>
  <si>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</si>
  <si>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</si>
  <si>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</si>
  <si>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</si>
  <si>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</si>
  <si>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</si>
  <si>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</si>
  <si>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</si>
  <si>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</si>
  <si>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</si>
  <si>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</si>
  <si>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</si>
  <si>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</si>
  <si>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</si>
  <si>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</si>
  <si>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</si>
  <si>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</si>
  <si>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</si>
  <si>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</si>
  <si>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</si>
  <si>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</si>
  <si>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</si>
  <si>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</si>
  <si>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</si>
  <si>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</si>
  <si>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</si>
  <si>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</si>
  <si>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</si>
  <si>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</si>
  <si>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</si>
  <si>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</si>
  <si>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</si>
  <si>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</si>
  <si>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</si>
  <si>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</si>
  <si>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</si>
  <si>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</si>
  <si>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</si>
  <si>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</si>
  <si>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</si>
  <si>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</si>
  <si>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</si>
  <si>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</si>
  <si>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</si>
  <si>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</si>
  <si>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</si>
  <si>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</si>
  <si>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</si>
  <si>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</si>
  <si>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</si>
  <si>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</si>
  <si>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</si>
  <si>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</si>
  <si>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</si>
  <si>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</si>
  <si>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</si>
  <si>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</si>
  <si>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</si>
  <si>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</si>
  <si>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</si>
  <si>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</si>
  <si>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</si>
  <si>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</si>
  <si>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</si>
  <si>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</si>
  <si>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</si>
  <si>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</si>
  <si>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</si>
  <si>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</si>
  <si>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</si>
  <si>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</si>
  <si>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</si>
  <si>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</si>
  <si>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</si>
  <si>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</si>
  <si>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</si>
  <si>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</si>
  <si>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</si>
  <si>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</si>
  <si>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</si>
  <si>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</si>
  <si>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</si>
  <si>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</si>
  <si>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</si>
  <si>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</si>
  <si>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</si>
  <si>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</si>
  <si>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</si>
  <si>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</si>
  <si>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</si>
  <si>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</si>
  <si>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</si>
  <si>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</si>
  <si>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</si>
  <si>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</si>
  <si>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</si>
  <si>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</si>
  <si>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</si>
  <si>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</si>
  <si>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</si>
  <si>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</si>
  <si>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</si>
  <si>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</si>
  <si>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</si>
  <si>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</si>
  <si>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</si>
  <si>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</si>
  <si>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</si>
  <si>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</si>
  <si>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</si>
  <si>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</si>
  <si>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</si>
  <si>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</si>
  <si>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</si>
  <si>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</si>
  <si>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</si>
  <si>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</si>
  <si>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</si>
  <si>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</si>
  <si>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</si>
  <si>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</si>
  <si>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</si>
  <si>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</si>
  <si>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</si>
  <si>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</si>
  <si>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</si>
  <si>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</si>
  <si>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</si>
  <si>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</si>
  <si>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</si>
  <si>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</si>
  <si>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</si>
  <si>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</si>
  <si>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</si>
  <si>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</si>
  <si>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</si>
  <si>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</si>
  <si>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</si>
  <si>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</si>
  <si>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</si>
  <si>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</si>
  <si>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</si>
  <si>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</si>
  <si>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</si>
  <si>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</si>
  <si>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</si>
  <si>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</si>
  <si>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</si>
  <si>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</si>
  <si>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</si>
  <si>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</si>
  <si>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</si>
  <si>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</si>
  <si>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</si>
  <si>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</si>
  <si>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</si>
  <si>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</si>
  <si>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</si>
  <si>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</si>
  <si>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</si>
  <si>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</si>
  <si>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</si>
  <si>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</si>
  <si>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</si>
  <si>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</si>
  <si>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</si>
  <si>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</si>
  <si>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</si>
  <si>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</si>
  <si>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</si>
  <si>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</si>
  <si>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</si>
  <si>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</si>
  <si>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</si>
  <si>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</si>
  <si>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</si>
  <si>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</si>
  <si>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</si>
  <si>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</si>
  <si>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</si>
  <si>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</si>
  <si>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</si>
  <si>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</si>
  <si>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</si>
  <si>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</si>
  <si>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</si>
  <si>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</si>
  <si>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</si>
  <si>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</si>
  <si>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</si>
  <si>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</si>
  <si>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</si>
  <si>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</si>
  <si>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</si>
  <si>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</si>
  <si>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</si>
  <si>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</si>
  <si>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</si>
  <si>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</si>
  <si>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</si>
  <si>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</si>
  <si>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</si>
  <si>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</si>
  <si>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</si>
  <si>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</si>
  <si>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</si>
  <si>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</si>
  <si>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</si>
  <si>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</si>
  <si>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</si>
  <si>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</si>
  <si>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</si>
  <si>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</si>
  <si>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</si>
  <si>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</si>
  <si>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</si>
  <si>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</si>
  <si>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</si>
  <si>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</si>
  <si>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</si>
  <si>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</si>
  <si>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</si>
  <si>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</si>
  <si>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</si>
  <si>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</si>
  <si>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</si>
  <si>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</si>
  <si>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</si>
  <si>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</si>
  <si>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</si>
  <si>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</si>
  <si>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</si>
  <si>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</si>
  <si>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</si>
  <si>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</si>
  <si>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</si>
  <si>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</si>
  <si>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</si>
  <si>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</si>
  <si>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</si>
  <si>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</si>
  <si>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</si>
  <si>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</si>
  <si>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</si>
  <si>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</si>
  <si>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</si>
  <si>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</si>
  <si>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</si>
  <si>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</si>
  <si>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</si>
  <si>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</si>
  <si>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</si>
  <si>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</si>
  <si>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</si>
  <si>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</si>
  <si>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</si>
  <si>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</si>
  <si>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</si>
  <si>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</si>
  <si>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</si>
  <si>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</si>
  <si>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</si>
  <si>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</si>
  <si>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</si>
  <si>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</si>
  <si>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</si>
  <si>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</si>
  <si>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</si>
  <si>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</si>
  <si>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</si>
  <si>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</si>
  <si>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</si>
  <si>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</si>
  <si>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</si>
  <si>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</si>
  <si>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</si>
  <si>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</si>
  <si>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</si>
  <si>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</si>
  <si>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</si>
  <si>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</si>
  <si>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</si>
  <si>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</si>
  <si>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</si>
  <si>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</si>
  <si>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</si>
  <si>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</si>
  <si>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</si>
  <si>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</si>
  <si>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</si>
  <si>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</si>
  <si>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</si>
  <si>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</si>
  <si>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</si>
  <si>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</si>
  <si>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</si>
  <si>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</si>
  <si>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</si>
  <si>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</si>
  <si>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</si>
  <si>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</si>
  <si>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</si>
  <si>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</si>
  <si>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</si>
  <si>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</si>
  <si>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</si>
  <si>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</si>
  <si>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</si>
  <si>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</si>
  <si>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</si>
  <si>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</si>
  <si>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</si>
  <si>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</si>
  <si>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</si>
  <si>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</si>
  <si>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</si>
  <si>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</si>
  <si>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</si>
  <si>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</si>
  <si>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</si>
  <si>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</si>
  <si>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</si>
  <si>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</si>
  <si>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</si>
  <si>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</si>
  <si>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</si>
  <si>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</si>
  <si>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</si>
  <si>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</si>
  <si>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</si>
  <si>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</si>
  <si>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</si>
  <si>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</si>
  <si>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</si>
  <si>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</si>
  <si>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</si>
  <si>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</si>
  <si>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</si>
  <si>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</si>
  <si>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</si>
  <si>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</si>
  <si>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</si>
  <si>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</si>
  <si>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</si>
  <si>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</si>
  <si>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</si>
  <si>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</si>
  <si>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</si>
  <si>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</si>
  <si>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</si>
  <si>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</si>
  <si>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</si>
  <si>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</si>
  <si>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</si>
  <si>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</si>
  <si>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</si>
  <si>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</si>
  <si>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</si>
  <si>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</si>
  <si>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</si>
  <si>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</si>
  <si>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</si>
  <si>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</si>
  <si>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</si>
  <si>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</si>
  <si>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</si>
  <si>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</si>
  <si>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</si>
  <si>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</si>
  <si>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</si>
  <si>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</si>
  <si>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</si>
  <si>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</si>
  <si>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</si>
  <si>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</si>
  <si>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</si>
  <si>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</si>
  <si>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</si>
  <si>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</si>
  <si>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</si>
  <si>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</si>
  <si>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</si>
  <si>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</si>
  <si>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</si>
  <si>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</si>
  <si>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</si>
  <si>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</si>
  <si>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</si>
  <si>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</si>
  <si>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</si>
  <si>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</si>
  <si>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</si>
  <si>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</si>
  <si>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</si>
  <si>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</si>
  <si>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</si>
  <si>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</si>
  <si>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</si>
  <si>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</si>
  <si>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</si>
  <si>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</si>
  <si>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</si>
  <si>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</si>
  <si>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</si>
  <si>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</si>
  <si>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</si>
  <si>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</si>
  <si>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</si>
  <si>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</si>
  <si>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</si>
  <si>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</si>
  <si>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</si>
  <si>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</si>
  <si>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</si>
  <si>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</si>
  <si>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</si>
  <si>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</si>
  <si>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</si>
  <si>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</si>
  <si>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</si>
  <si>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</si>
  <si>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</si>
  <si>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</si>
  <si>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</si>
  <si>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</si>
  <si>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</si>
  <si>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</si>
  <si>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</si>
  <si>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</si>
  <si>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</si>
  <si>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</si>
  <si>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</si>
  <si>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</si>
  <si>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</si>
  <si>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</si>
  <si>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</si>
  <si>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</si>
  <si>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</si>
  <si>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</si>
  <si>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</si>
  <si>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</si>
  <si>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</si>
  <si>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</si>
  <si>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</si>
  <si>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</si>
  <si>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</si>
  <si>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</si>
  <si>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</si>
  <si>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</si>
  <si>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</si>
  <si>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</si>
  <si>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</si>
  <si>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</si>
  <si>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</si>
  <si>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</si>
  <si>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</si>
  <si>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</si>
  <si>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</si>
  <si>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</si>
  <si>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</si>
  <si>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</si>
  <si>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</si>
  <si>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</si>
  <si>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</si>
  <si>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</si>
  <si>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</si>
  <si>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</si>
  <si>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</si>
  <si>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</si>
  <si>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</si>
  <si>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</si>
  <si>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</si>
  <si>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</si>
  <si>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</si>
  <si>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</si>
  <si>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</si>
  <si>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</si>
  <si>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</si>
  <si>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</si>
  <si>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</si>
  <si>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</si>
  <si>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</si>
  <si>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</si>
  <si>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</si>
  <si>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</si>
  <si>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</si>
  <si>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</si>
  <si>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</si>
  <si>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</si>
  <si>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</si>
  <si>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</si>
  <si>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</si>
  <si>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</si>
  <si>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</si>
  <si>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</si>
  <si>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</si>
  <si>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</si>
  <si>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</si>
  <si>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</si>
  <si>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</si>
  <si>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</si>
  <si>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</si>
  <si>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</si>
  <si>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</si>
  <si>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</si>
  <si>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</si>
  <si>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</si>
  <si>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</si>
  <si>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</si>
  <si>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</si>
  <si>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</si>
  <si>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</si>
  <si>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</si>
  <si>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</si>
  <si>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</si>
  <si>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</si>
  <si>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</si>
  <si>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</si>
  <si>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</si>
  <si>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</si>
  <si>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</si>
  <si>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</si>
  <si>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</si>
  <si>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</si>
  <si>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</si>
  <si>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</si>
  <si>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</si>
  <si>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</si>
  <si>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</si>
  <si>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</si>
  <si>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</si>
  <si>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</si>
  <si>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</si>
  <si>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</si>
  <si>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</si>
  <si>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</si>
  <si>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</si>
  <si>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</si>
  <si>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</si>
  <si>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</si>
  <si>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</si>
  <si>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</si>
  <si>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</si>
  <si>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</si>
  <si>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</si>
  <si>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</si>
  <si>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</si>
  <si>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</si>
  <si>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</si>
  <si>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</si>
  <si>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</si>
  <si>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</si>
  <si>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</si>
  <si>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</si>
  <si>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</si>
  <si>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</si>
  <si>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</si>
  <si>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</si>
  <si>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</si>
  <si>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</si>
  <si>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</si>
  <si>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</si>
  <si>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t>PORCENTAJE DE EJECUCIÓN PRESUPUESTAL</t>
  </si>
  <si>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</si>
  <si>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</si>
  <si>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</si>
  <si>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</si>
  <si>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</si>
  <si>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</si>
  <si>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</si>
  <si>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t>Por debajo de la tasa nacional (15%)</t>
  </si>
  <si>
    <t xml:space="preserve">PORCENTAJE DE AVANCE TOTAL </t>
  </si>
  <si>
    <r>
      <t xml:space="preserve">Secretaría del Interior: </t>
    </r>
    <r>
      <rPr>
        <sz val="10"/>
        <color theme="1"/>
        <rFont val="Calibri"/>
        <family val="2"/>
        <scheme val="minor"/>
      </rPr>
      <t xml:space="preserve">Se desarrollaron campañas de sensibilización para la prevención del reclutamiento.
</t>
    </r>
    <r>
      <rPr>
        <b/>
        <sz val="10"/>
        <color theme="1"/>
        <rFont val="Calibri"/>
        <family val="2"/>
        <scheme val="minor"/>
      </rPr>
      <t xml:space="preserve">
Secretaría Familia: </t>
    </r>
    <r>
      <rPr>
        <sz val="10"/>
        <color theme="1"/>
        <rFont val="Calibri"/>
        <family val="2"/>
        <scheme val="minor"/>
      </rPr>
      <t>No Reportó información.</t>
    </r>
  </si>
  <si>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</si>
  <si>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El Municipio cuenta con el COMPOS-Consejo Municipal de Política Social, mediante el Decreto No. 085 del 26 de Diciembre del 2014,  en donde se realizaron las cuatro sesiones y cuenta con el plan de acción al cual se dio cumplimiento. Igualmente se realizaron los seguimientos a la POLÍTICA PÚBLICA  DE PRIMERA INFANCIA, INFANCIA Y ADOLESCENCIA Y FORTALECIMIENTO FAMILIAR. .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</si>
  <si>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</si>
  <si>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t xml:space="preserve">Alcaldía de Montenegro: </t>
    </r>
    <r>
      <rPr>
        <sz val="10"/>
        <color theme="1"/>
        <rFont val="Calibri"/>
        <family val="2"/>
        <scheme val="minor"/>
      </rPr>
      <t>Un sistema departamental de juventud en el cual las instancias municipales tienen participación a través de sus delegados .</t>
    </r>
    <r>
      <rPr>
        <b/>
        <sz val="10"/>
        <color theme="1"/>
        <rFont val="Calibri"/>
        <family val="2"/>
        <scheme val="minor"/>
      </rP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Actualmente el municipio de Quimbaya cuenta con CMJ, Comisión de concertación y decisión, plataforma juvenil y convoca periódicamente la asamblea municipal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de Buenavista: </t>
    </r>
    <r>
      <rPr>
        <sz val="10"/>
        <color theme="1"/>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</si>
  <si>
    <r>
      <t xml:space="preserve">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Secretaría Turismo, Industria y Comercio:</t>
    </r>
    <r>
      <rPr>
        <sz val="10"/>
        <color theme="1"/>
        <rFont val="Calibri"/>
        <family val="2"/>
        <scheme val="minor"/>
      </rPr>
      <t xml:space="preserve"> Se agotó el presupuesto en el periodo anterior.
</t>
    </r>
  </si>
  <si>
    <r>
      <rPr>
        <b/>
        <sz val="10"/>
        <color theme="1"/>
        <rFont val="Calibri"/>
        <family val="2"/>
        <scheme val="minor"/>
      </rPr>
      <t xml:space="preserve">
Cámara de Comercio de Armenia y del Quindío: Cámara de Comercio de Armenia y del Quindío: </t>
    </r>
    <r>
      <rPr>
        <sz val="10"/>
        <color theme="1"/>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</si>
  <si>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</si>
  <si>
    <r>
      <t xml:space="preserve">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65,34%. Tasa de Cobertura Neta en Educación Básica Secundaria a Diciembre de 2022.  Es importante aclarar que este indicador reportado corresponde a  datos parciales del mes de diciembre de 2022, y no a los datos definitivos de la vigencia en mención, los cuales se obtienen durante el primer semestre del año 2023.</t>
    </r>
  </si>
  <si>
    <r>
      <t xml:space="preserve">
</t>
    </r>
    <r>
      <rPr>
        <b/>
        <sz val="10"/>
        <color theme="1"/>
        <rFont val="Calibri"/>
        <family val="2"/>
        <scheme val="minor"/>
      </rPr>
      <t>Alcaldía de Buenavista</t>
    </r>
    <r>
      <rPr>
        <sz val="10"/>
        <color theme="1"/>
        <rFont val="Calibri"/>
        <family val="2"/>
        <scheme val="minor"/>
      </rPr>
      <t xml:space="preserve">: 100% de los estudiantes con cobertura en educación en básica secundaria y media vocacional.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de Córdoba garantiza la atención con estrategias de permanencia ( PAE - Programa de Alimentación Escolar y transporte escolar) a los estudiantes que cumplen los criterios de focalización.
</t>
    </r>
    <r>
      <rPr>
        <b/>
        <sz val="10"/>
        <color theme="1"/>
        <rFont val="Calibri"/>
        <family val="2"/>
        <scheme val="minor"/>
      </rPr>
      <t>Alcaldía de Montenegro:</t>
    </r>
    <r>
      <rPr>
        <sz val="10"/>
        <color theme="1"/>
        <rFont val="Calibri"/>
        <family val="2"/>
        <scheme val="minor"/>
      </rPr>
      <t xml:space="preserve">  se realiza junta municipal de educación (JUME), Comité Municipal de Educación, aporte a bolsa común del PAE.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Tasa de cobertura neta básica secundaria: 90%, 622 alumnos hasta el mes de noviembre de 2022.</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</si>
  <si>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No se han registrado casos de deserción escolar en el tercer trimestre 2022.
</t>
    </r>
    <r>
      <rPr>
        <b/>
        <sz val="10"/>
        <color theme="1"/>
        <rFont val="Calibri"/>
        <family val="2"/>
        <scheme val="minor"/>
      </rPr>
      <t>Alcaldía de Filandia:</t>
    </r>
    <r>
      <rPr>
        <sz val="10"/>
        <color theme="1"/>
        <rFont val="Calibri"/>
        <family val="2"/>
        <scheme val="minor"/>
      </rPr>
      <t xml:space="preserve"> Tasa de deserción a largo plazo (semestre 10): 15% a largo plazo.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Convenio de asociación con la Universidad del Quindío para el sostenimiento del programa Matricula Cero.
</t>
    </r>
    <r>
      <rPr>
        <b/>
        <sz val="10"/>
        <color theme="1"/>
        <rFont val="Calibri"/>
        <family val="2"/>
        <scheme val="minor"/>
      </rPr>
      <t>Alcaldía de Córdoba:</t>
    </r>
    <r>
      <rPr>
        <sz val="10"/>
        <color theme="1"/>
        <rFont val="Calibri"/>
        <family val="2"/>
        <scheme val="minor"/>
      </rPr>
      <t xml:space="preserve">  La Institución Educativa ofrece en todo el ciclo básico lo que contribuye a asegurar la continuidad y el flujo de los estudiantes a través de los niveles de  básica, secundaria y media. Además, se ofrecen dos modalidades en convenio SENA: Sistemas agropecuarios ecológicos y agroindustria alimentaria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</si>
  <si>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Secretaría de Familia:</t>
    </r>
    <r>
      <rPr>
        <sz val="10"/>
        <color theme="1"/>
        <rFont val="Calibri"/>
        <family val="2"/>
        <scheme val="minor"/>
      </rPr>
      <t xml:space="preserve"> La tasa de cobertura de educación superior es del 62,3% según reporte del Ministerio de Educación.
</t>
    </r>
    <r>
      <rPr>
        <b/>
        <sz val="10"/>
        <color rgb="FFFF0000"/>
        <rFont val="Calibri"/>
        <family val="2"/>
        <scheme val="minor"/>
      </rPr>
      <t/>
    </r>
  </si>
  <si>
    <r>
      <rPr>
        <b/>
        <sz val="10"/>
        <color theme="1"/>
        <rFont val="Calibri"/>
        <family val="2"/>
        <scheme val="minor"/>
      </rPr>
      <t xml:space="preserve">Secretaría de Familia: </t>
    </r>
    <r>
      <rPr>
        <sz val="10"/>
        <color theme="1"/>
        <rFont val="Calibri"/>
        <family val="2"/>
        <scheme val="minor"/>
      </rPr>
      <t xml:space="preserve">Se oficiaron los actores respnsables de este indicadr  por misionalidad sin embargo, no se obtuvo reporte alguno.  
</t>
    </r>
    <r>
      <rPr>
        <b/>
        <sz val="10"/>
        <color theme="1"/>
        <rFont val="Calibri"/>
        <family val="2"/>
        <scheme val="minor"/>
      </rPr>
      <t xml:space="preserve">Secretaría de Salud: </t>
    </r>
    <r>
      <rPr>
        <sz val="10"/>
        <color theme="1"/>
        <rFont val="Calibri"/>
        <family val="2"/>
        <scheme val="minor"/>
      </rPr>
      <t>se realizaron asistencias técnicas en las IPS de 11 municipios del Quindío sobre SERVICIOS DE SALUD AMIGABLES PARA ADOLESCENTES Y JOVENES SSAAJ Temas tratados: Reglamentación normas de calidad de aplicación de los SSAAJ.</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</si>
  <si>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Quimbaya: </t>
    </r>
    <r>
      <rPr>
        <sz val="10"/>
        <color theme="1"/>
        <rFont val="Calibri"/>
        <family val="2"/>
        <scheme val="minor"/>
      </rPr>
      <t>En el municipio de Quimbaya se fortalecen las escuelas de formación deportiva y se realizan eventos deportivos y recreativos con la participación de los jóvenes.</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actualmente se benefician 3781 jóvenes de las diferentes escuelas de formación del municipio (23 escuelas de formación).</t>
    </r>
    <r>
      <rPr>
        <b/>
        <sz val="10"/>
        <color theme="1"/>
        <rFont val="Calibri"/>
        <family val="2"/>
        <scheme val="minor"/>
      </rPr>
      <t xml:space="preserve">
Alcaldía de Calarcá: </t>
    </r>
    <r>
      <rPr>
        <sz val="10"/>
        <color theme="1"/>
        <rFont val="Calibri"/>
        <family val="2"/>
        <scheme val="minor"/>
      </rPr>
      <t>Se realizaron adecuaciones locativas en el parque Alto del Río para mejorar las condiciones del mismo e Incentivos para otorgar apoyo a los deportistas destacados que representan el municipio en competencias de orden departamental o nacional.</t>
    </r>
    <r>
      <rPr>
        <b/>
        <sz val="10"/>
        <color theme="1"/>
        <rFont val="Calibri"/>
        <family val="2"/>
        <scheme val="minor"/>
      </rPr>
      <t xml:space="preserve">
INDEPORTES: </t>
    </r>
    <r>
      <rPr>
        <sz val="10"/>
        <color theme="1"/>
        <rFont val="Calibri"/>
        <family val="2"/>
        <scheme val="minor"/>
      </rPr>
      <t xml:space="preserve">Se implementó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(Jóvenes impactados 14.955) 
</t>
    </r>
  </si>
  <si>
    <r>
      <rPr>
        <b/>
        <sz val="10"/>
        <color theme="1"/>
        <rFont val="Calibri"/>
        <family val="2"/>
        <scheme val="minor"/>
      </rPr>
      <t>Secretaría de Salud:</t>
    </r>
    <r>
      <rPr>
        <sz val="10"/>
        <color theme="1"/>
        <rFont val="Calibri"/>
        <family val="2"/>
        <scheme val="minor"/>
      </rPr>
      <t xml:space="preserve"> en 11 municipios centralizados del Quindío se realizaron talleres pedagógicos Salud Sexual y Reproductiva con temas tratados: Derechos sexuales y reproductivos, Prevención de ITS, Prevención de Embarazo y embarazo subsiguiente, métodos anticonceptivos, prevención de violencias sexuales. Población 1296 estudiantes. </t>
    </r>
  </si>
  <si>
    <r>
      <rPr>
        <b/>
        <sz val="10"/>
        <color theme="1"/>
        <rFont val="Calibri"/>
        <family val="2"/>
        <scheme val="minor"/>
      </rPr>
      <t xml:space="preserve">Secretaría de Salud: </t>
    </r>
    <r>
      <rPr>
        <sz val="10"/>
        <color theme="1"/>
        <rFont val="Calibri"/>
        <family val="2"/>
        <scheme val="minor"/>
      </rPr>
      <t>Desde el programa Convivencia Social y Salud Mental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Dentro de las actividades puntuales se realizaron las siguientes:* Tercera sesión consejo territorial de Salud mental.
* Capacitación a Familias y Jóvenes del Barrio las Colinas de Armenia brindando información en temas de violencias, ideación suicida y trastornos mentales.</t>
    </r>
    <r>
      <rPr>
        <b/>
        <sz val="10"/>
        <color theme="1"/>
        <rFont val="Calibri"/>
        <family val="2"/>
        <scheme val="minor"/>
      </rPr>
      <t xml:space="preserve">
</t>
    </r>
  </si>
  <si>
    <r>
      <t xml:space="preserve">
</t>
    </r>
    <r>
      <rPr>
        <b/>
        <sz val="10"/>
        <color theme="1"/>
        <rFont val="Calibri"/>
        <family val="2"/>
        <scheme val="minor"/>
      </rPr>
      <t>Secretaría del Interior:</t>
    </r>
    <r>
      <rPr>
        <sz val="10"/>
        <color theme="1"/>
        <rFont val="Calibri"/>
        <family val="2"/>
        <scheme val="minor"/>
      </rPr>
      <t xml:space="preserve"> Acompañamiento y seguimiento a los 12 municipios en la ejecución de los PISCC.
</t>
    </r>
    <r>
      <rPr>
        <b/>
        <sz val="10"/>
        <color theme="1"/>
        <rFont val="Calibri"/>
        <family val="2"/>
        <scheme val="minor"/>
      </rPr>
      <t>Policía Nacional</t>
    </r>
    <r>
      <rPr>
        <sz val="10"/>
        <color theme="1"/>
        <rFont val="Calibri"/>
        <family val="2"/>
        <scheme val="minor"/>
      </rPr>
      <t xml:space="preserve">: El Grupo de protección a la infancia y adolescencia, durante el IV trimestre realizó en los 12 municipios del Departamento más de 37 acciones de prevención, vigilancia y control en 29 instituciones educativas, beneficiando a más de  2.664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color rgb="FFFF0000"/>
        <rFont val="Calibri"/>
        <family val="2"/>
        <scheme val="minor"/>
      </rPr>
      <t/>
    </r>
  </si>
  <si>
    <r>
      <rPr>
        <b/>
        <sz val="10"/>
        <color theme="1"/>
        <rFont val="Calibri"/>
        <family val="2"/>
        <scheme val="minor"/>
      </rPr>
      <t xml:space="preserve">Secretaría del Interior: </t>
    </r>
    <r>
      <rPr>
        <sz val="10"/>
        <color theme="1"/>
        <rFont val="Calibri"/>
        <family val="2"/>
        <scheme val="minor"/>
      </rPr>
      <t xml:space="preserve">La tasa actual es de  682 por cada 100 mil jóvenes según informe de página JUACO, 2019
</t>
    </r>
    <r>
      <rPr>
        <b/>
        <sz val="10"/>
        <color theme="1"/>
        <rFont val="Calibri"/>
        <family val="2"/>
        <scheme val="minor"/>
      </rPr>
      <t>Secretaría de familia</t>
    </r>
    <r>
      <rPr>
        <sz val="10"/>
        <color theme="1"/>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Medicina Legal</t>
    </r>
    <r>
      <rPr>
        <sz val="10"/>
        <color theme="1"/>
        <rFont val="Calibri"/>
        <family val="2"/>
        <scheme val="minor"/>
      </rPr>
      <t xml:space="preserve">: Las actividades propuestas no hacen parte de la misión, ni de las funciones del Instituto Nacional de Medicina Legal y Ciencias Forenses.
</t>
    </r>
    <r>
      <rPr>
        <b/>
        <sz val="10"/>
        <color theme="1"/>
        <rFont val="Calibri"/>
        <family val="2"/>
        <scheme val="minor"/>
      </rPr>
      <t>ICBF:</t>
    </r>
    <r>
      <rPr>
        <sz val="10"/>
        <color theme="1"/>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</si>
  <si>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del 18,62% según fuente de verificación.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proceso la construcción de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 xml:space="preserve">IDTQ: </t>
    </r>
    <r>
      <rPr>
        <sz val="10"/>
        <color theme="1"/>
        <rFont val="Calibri"/>
        <family val="2"/>
        <scheme val="minor"/>
      </rPr>
      <t xml:space="preserve">Estrategia de movilidad saludable, segura y sostenible efectivamente formulada y adoptada por parte del Instituto Departamental de Tránsito del Quindío, con el acompañamiento y el aporte técnico de las acciones de la Secretaría de familia.
Realizando por parte del IDTQ aportaciones en materia de movilidad, control al transito, señalización y educación vial.
</t>
    </r>
  </si>
  <si>
    <r>
      <t xml:space="preserve">
</t>
    </r>
    <r>
      <rPr>
        <b/>
        <sz val="10"/>
        <color theme="1"/>
        <rFont val="Calibri"/>
        <family val="2"/>
        <scheme val="minor"/>
      </rPr>
      <t>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y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 coeducación en temática relacionadas a los eventos de interés en salud mental.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La Administración Municipal, por parte del Plan Local de Salud Territorial maneja la línea de salud mental, con el fin de evitar suicidios en la población del municipio. Se realizan campañas en contra del suicidio a jóvenes de la Institución Educativa José Maria Córdoba a través del convenio celebrado con el hospital San Roque PIC-Plan de Intervenciones Colectivas.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r>
      <rPr>
        <b/>
        <sz val="10"/>
        <color rgb="FFFF0000"/>
        <rFont val="Calibri"/>
        <family val="2"/>
        <scheme val="minor"/>
      </rPr>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</si>
  <si>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t>
    </r>
    <r>
      <rPr>
        <b/>
        <sz val="10"/>
        <color rgb="FFFF0000"/>
        <rFont val="Calibri"/>
        <family val="2"/>
        <scheme val="minor"/>
      </rPr>
      <t/>
    </r>
  </si>
  <si>
    <r>
      <t>Secretaría del Interior:</t>
    </r>
    <r>
      <rPr>
        <sz val="10"/>
        <color theme="1"/>
        <rFont val="Calibri"/>
        <family val="2"/>
        <scheme val="minor"/>
      </rPr>
      <t xml:space="preserve"> 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El Grupo de Protección a la Infancia y Adolescencia realizó durante el IV trimestre en los 12 municipios del departamento, diferentes acciones de prevención, vigilancia y control más de 24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642 personas, para finalizar el año 2022 no se cuenta con denuncias antes este grupo por reclutamiento de jóvenes víctimas en la región. </t>
    </r>
  </si>
  <si>
    <r>
      <rPr>
        <b/>
        <sz val="10"/>
        <color theme="1"/>
        <rFont val="Calibri"/>
        <family val="2"/>
        <scheme val="minor"/>
      </rPr>
      <t xml:space="preserve">Alcaldía Génova: </t>
    </r>
    <r>
      <rPr>
        <sz val="10"/>
        <color theme="1"/>
        <rFont val="Calibri"/>
        <family val="2"/>
        <scheme val="minor"/>
      </rPr>
      <t xml:space="preserve">Se realizan campañas sobre espacios libres de humo y consumo de sustancias,  se realiza plan de acción con  los integrantes del subcomité de sustancias psicoactivas.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Se realizan campañas de salud sexual y reproductiva a jóvenes de la Institución Educativa José Maria Córdoba a través del convenio celebrado con el hospital San Roque  PIC-Plan de Intervenciones Colectivas. Se realiza campaña de socialización de la ley 1622 de 2013 y 1757 de 2015 con apoyo de la Secretaría de Familia Departamental a través de la Jefatura de Juventud.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se realizan estrategias como la semana andina para reforzar los talleres que se dan constantemente en las instituciones educativas, no se manejan porcentajes estadísticos.
</t>
    </r>
    <r>
      <rPr>
        <b/>
        <sz val="10"/>
        <color theme="1"/>
        <rFont val="Calibri"/>
        <family val="2"/>
        <scheme val="minor"/>
      </rPr>
      <t>Alcaldía de Calarcá:</t>
    </r>
    <r>
      <rPr>
        <sz val="10"/>
        <color theme="1"/>
        <rFont val="Calibri"/>
        <family val="2"/>
        <scheme val="minor"/>
      </rPr>
      <t xml:space="preserve"> 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Secretaría de Educación:</t>
    </r>
    <r>
      <rPr>
        <sz val="10"/>
        <color theme="1"/>
        <rFont val="Calibri"/>
        <family val="2"/>
        <scheme val="minor"/>
      </rPr>
      <t xml:space="preserve"> 100% de las Instituciones Educativas Oficiales, llevan a cabo la ejecución de proyectos de Educación Sexual y Construcción de Ciudadania, además del trabajo continúo desde la dirección de calidad educativa en la revisión de los PEI para que contengan los líneamientos en los temas relacionados.</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</si>
  <si>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color theme="1"/>
        <rFont val="Calibri"/>
        <family val="2"/>
        <scheme val="minor"/>
      </rPr>
      <t>Secretaría de Familia</t>
    </r>
    <r>
      <rPr>
        <sz val="10"/>
        <color theme="1"/>
        <rFont val="Calibri"/>
        <family val="2"/>
        <scheme val="minor"/>
      </rPr>
      <t xml:space="preserve">: La prevalencia de consumo de sustancias psicoactivas último año en escolares es del  6,8% según fuente de verificación.
</t>
    </r>
    <r>
      <rPr>
        <b/>
        <sz val="10"/>
        <color theme="1"/>
        <rFont val="Calibri"/>
        <family val="2"/>
        <scheme val="minor"/>
      </rPr>
      <t>Secretaría de Educación</t>
    </r>
    <r>
      <rPr>
        <sz val="10"/>
        <color theme="1"/>
        <rFont val="Calibri"/>
        <family val="2"/>
        <scheme val="minor"/>
      </rPr>
      <t>: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t>
    </r>
  </si>
  <si>
    <r>
      <rPr>
        <b/>
        <sz val="10"/>
        <color theme="1"/>
        <rFont val="Calibri"/>
        <family val="2"/>
        <scheme val="minor"/>
      </rPr>
      <t xml:space="preserve">Indeportes: </t>
    </r>
    <r>
      <rPr>
        <sz val="10"/>
        <color theme="1"/>
        <rFont val="Calibri"/>
        <family val="2"/>
        <scheme val="minor"/>
      </rPr>
      <t xml:space="preserve">En respuesta a la Ordenanza 026 del 18 de diciembre del 2020 se llevaron a cabo los Juegos Deportivos Departamentales y Para Departamentales 2022, donde se inscribieron 1694 deportistas compitiendo en 20 deportes convencionales y 8 adaptados, los municipios de Circasia, Montenegro, Calarcá y Córdoba recibieron a los deportistas en la fase zonal y en la capital Quindiana se disputó la fase final dejando como campeón a Armenia con 189 medallas, la Tebaida en el segundo puesto con 96 medallas y Quimbaya tercer puesto con 36.
</t>
    </r>
    <r>
      <rPr>
        <b/>
        <sz val="10"/>
        <color theme="1"/>
        <rFont val="Calibri"/>
        <family val="2"/>
        <scheme val="minor"/>
      </rPr>
      <t>Alcaldía de Filandia:</t>
    </r>
    <r>
      <rPr>
        <sz val="10"/>
        <color theme="1"/>
        <rFont val="Calibri"/>
        <family val="2"/>
        <scheme val="minor"/>
      </rPr>
      <t xml:space="preserve"> 3 jóvenes con logros deportivos en eventos internacionales, de los cuales uno pertenece a sector de discapacidad.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</si>
  <si>
    <r>
      <rPr>
        <b/>
        <sz val="10"/>
        <color theme="1"/>
        <rFont val="Calibri"/>
        <family val="2"/>
        <scheme val="minor"/>
      </rPr>
      <t>Indeportes:</t>
    </r>
    <r>
      <rPr>
        <sz val="10"/>
        <color theme="1"/>
        <rFont val="Calibri"/>
        <family val="2"/>
        <scheme val="minor"/>
      </rPr>
      <t xml:space="preserve"> Se realizó asistencia técnica a 500 deportistas de reserva y altos logros deportivas en las líneas metodológica, jurídica y biomédica a niños y niñas talentos deportivos en diferentes disciplinas deportivas.</t>
    </r>
  </si>
  <si>
    <r>
      <t xml:space="preserve">Indeportes: </t>
    </r>
    <r>
      <rPr>
        <sz val="10"/>
        <color theme="1"/>
        <rFont val="Calibri"/>
        <family val="2"/>
        <scheme val="minor"/>
      </rPr>
      <t>5 deportes no convencionales apoyados.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t>
    </r>
  </si>
  <si>
    <r>
      <t>Secretaria de Turismo, Industria y Comercio:</t>
    </r>
    <r>
      <rPr>
        <sz val="10"/>
        <color theme="1"/>
        <rFont val="Calibri"/>
        <family val="2"/>
        <scheme val="minor"/>
      </rPr>
      <t xml:space="preserve"> Secretaría de Turismo Industria y Comercio: Se agotó el presupuesto en el periodo anterior.</t>
    </r>
    <r>
      <rPr>
        <b/>
        <sz val="10"/>
        <color theme="1"/>
        <rFont val="Calibri"/>
        <family val="2"/>
        <scheme val="minor"/>
      </rPr>
      <t xml:space="preserve">
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 xml:space="preserve">Alcaldía Salento: </t>
    </r>
    <r>
      <rPr>
        <sz val="10"/>
        <color theme="1"/>
        <rFont val="Calibri"/>
        <family val="2"/>
        <scheme val="minor"/>
      </rPr>
      <t>Actividades desarrolladas por parte del programa Cátedra de la Salentinidad hacia las instituciones educativas y población joven del municipio (Capacitación docentes y dotación material pedagógico).</t>
    </r>
    <r>
      <rPr>
        <b/>
        <sz val="10"/>
        <color theme="1"/>
        <rFont val="Calibri"/>
        <family val="2"/>
        <scheme val="minor"/>
      </rPr>
      <t xml:space="preserve">
Alcaldía de Córdoba: </t>
    </r>
    <r>
      <rPr>
        <sz val="10"/>
        <color theme="1"/>
        <rFont val="Calibri"/>
        <family val="2"/>
        <scheme val="minor"/>
      </rPr>
      <t xml:space="preserve"> En el Municipio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color theme="1"/>
        <rFont val="Calibri"/>
        <family val="2"/>
        <scheme val="minor"/>
      </rPr>
      <t xml:space="preserve">
Alcaldía de Calarcá: </t>
    </r>
    <r>
      <rPr>
        <sz val="10"/>
        <color theme="1"/>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</si>
  <si>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r>
      <t xml:space="preserve">   
</t>
    </r>
    <r>
      <rPr>
        <b/>
        <sz val="10"/>
        <color theme="1"/>
        <rFont val="Calibri"/>
        <family val="2"/>
        <scheme val="minor"/>
      </rPr>
      <t>Secretaría de Cultura</t>
    </r>
    <r>
      <rPr>
        <sz val="10"/>
        <color theme="1"/>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 DE PROYECTOS ARTÍSTICOS Y CULTURALES EN EL DEPARTAMENTO DEL QUINDÍO AÑO 2022 Y SE DICTAN OTRAS DISPOSICIONES, ninguno de los proyectos presentados y seleccionados benefician a este tipo de población, pero si se pueden beneficiar en la ejecución de estos 1.153 jóvenes.</t>
    </r>
  </si>
  <si>
    <r>
      <rPr>
        <b/>
        <sz val="10"/>
        <color theme="1"/>
        <rFont val="Calibri"/>
        <family val="2"/>
        <scheme val="minor"/>
      </rPr>
      <t>Secretaría de Cultura:</t>
    </r>
    <r>
      <rPr>
        <sz val="10"/>
        <color theme="1"/>
        <rFont val="Calibri"/>
        <family val="2"/>
        <scheme val="minor"/>
      </rPr>
      <t xml:space="preserve"> la Secretaría de Cultura realizó proceso de formación artística en las áreas de música, danzas, teatro y artes plásticas con la población juvenil  con el apoyo de las casas de la cultura,  en los cuales hemos contado con la asistencia de 240   jóvenes en este cuarto trimestre, para un total atendido en la vigencia de 4370 jóvenes.</t>
    </r>
  </si>
  <si>
    <r>
      <rPr>
        <b/>
        <sz val="10"/>
        <color theme="1"/>
        <rFont val="Calibri"/>
        <family val="2"/>
        <scheme val="minor"/>
      </rPr>
      <t>Secretaría de Familia</t>
    </r>
    <r>
      <rPr>
        <sz val="10"/>
        <color theme="1"/>
        <rFont val="Calibri"/>
        <family val="2"/>
        <scheme val="minor"/>
      </rPr>
      <t xml:space="preserve">: Se actualizó un micro sitio en la página web de la Gobernación orientado a difundir y socializar las actividades realizadas en el marco de la implementación de la Política Pública de Juventud.
</t>
    </r>
  </si>
  <si>
    <r>
      <t xml:space="preserve">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Semilleros de investigación Ponencias .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 xml:space="preserve">Universidad la Gran Colombia: </t>
    </r>
    <r>
      <rPr>
        <sz val="10"/>
        <color theme="1"/>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Secretaría del Interior:</t>
    </r>
    <r>
      <rPr>
        <sz val="10"/>
        <color theme="1"/>
        <rFont val="Calibri"/>
        <family val="2"/>
        <scheme val="minor"/>
      </rPr>
      <t xml:space="preserve"> Apoyo a investigaciones, establecimiento de alianzas con entidades de educación superior para el desarrollo de procesos  investigativos, diseño y puesta en marcha de un observatorio de Juventud.
</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</si>
  <si>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color theme="1"/>
        <rFont val="Calibri"/>
        <family val="2"/>
        <scheme val="minor"/>
      </rPr>
      <t>Universidad EAM:</t>
    </r>
    <r>
      <rPr>
        <sz val="10"/>
        <color theme="1"/>
        <rFont val="Calibri"/>
        <family val="2"/>
        <scheme val="minor"/>
      </rPr>
      <t xml:space="preserve"> 2 diplomados: Diplomado en Pedagogía y Docencia con 14 estudiantes y el 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Realización de cursos, seminarios y diplomados, establecimiento de alianzas con instituciones de educación superior para la oferta de programas relacionados con juventud.
</t>
    </r>
    <r>
      <rPr>
        <b/>
        <sz val="10"/>
        <color theme="1"/>
        <rFont val="Calibri"/>
        <family val="2"/>
        <scheme val="minor"/>
      </rPr>
      <t xml:space="preserve"> Secretaría de Educación:</t>
    </r>
    <r>
      <rPr>
        <sz val="10"/>
        <color theme="1"/>
        <rFont val="Calibri"/>
        <family val="2"/>
        <scheme val="minor"/>
      </rPr>
      <t>Se continúa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r>
  </si>
  <si>
    <r>
      <t xml:space="preserve">
</t>
    </r>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</si>
  <si>
    <r>
      <rPr>
        <b/>
        <sz val="10"/>
        <color theme="1"/>
        <rFont val="Calibri"/>
        <family val="2"/>
        <scheme val="minor"/>
      </rPr>
      <t xml:space="preserve">Secretaría de Planeación: </t>
    </r>
    <r>
      <rPr>
        <sz val="10"/>
        <color theme="1"/>
        <rFont val="Calibri"/>
        <family val="2"/>
        <scheme val="minor"/>
      </rPr>
      <t xml:space="preserve">La Secretaría de Planeación coordinó  durante el primer y segundo trimestre, acciones a través de Comité de Aprestamiento la Rendición Pública de Cuentas de la Administración Departamental vigencia 2021 que se llevó a cabo el día 29 de junio de 2022,  en cumplimiento de las  metas del  Plan de Desarrollo 2020-2023 , por medio de las diferentes líneas estratégicas ( Inclusión Social y Equidad, Productividad y Competitividad, Territorio, Ambiente y Desarrollo Sostenible y Liderazgo Gobernabilidad y Transparencia,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cuarto trimestre 2022,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</si>
  <si>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Aprobación de recursos por valor de $5.000.000, a través del programa Planta para el mejoramiento de la Casa de la Juventud
</t>
    </r>
    <r>
      <rPr>
        <b/>
        <sz val="10"/>
        <color theme="1"/>
        <rFont val="Calibri"/>
        <family val="2"/>
        <scheme val="minor"/>
      </rPr>
      <t xml:space="preserve">Alcaldía de Buenavista: </t>
    </r>
    <r>
      <rPr>
        <sz val="10"/>
        <color theme="1"/>
        <rFont val="Calibri"/>
        <family val="2"/>
        <scheme val="minor"/>
      </rPr>
      <t xml:space="preserve">No se cuenta con casa de la juventud en el municipio.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se cuenta con casa de la juventud, en la que los jóvenes realizan sus distintas actividades, se le han hecho mejoras gracias a la ayuda de la Secretaría de familia y otros entes.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</si>
  <si>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Así mismo en el mes de Diciembre se realiza entrega de 17 entradas al parque del café para el fortalecimiento de las instancias del consejo y plataforma de juventudes.</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</si>
  <si>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color theme="1"/>
        <rFont val="Calibri"/>
        <family val="2"/>
        <scheme val="minor"/>
      </rPr>
      <t>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</si>
  <si>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</si>
  <si>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de Córdoba: </t>
    </r>
    <r>
      <rPr>
        <sz val="10"/>
        <color theme="1"/>
        <rFont val="Calibri"/>
        <family val="2"/>
        <scheme val="minor"/>
      </rPr>
      <t>Esta información no puede ser reportada en porcentaje (%), sin embargo por parte del municipio a través de la alcaldía municipal ha realizado 2 ferias de empleo con el apoyo y acompañamiento de la Cámara de Comercio del Quindío y el Sena Regional Quindío  a través de su oficina de empleo.</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</si>
  <si>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 xml:space="preserve">Secretaría de Turismo Industria y Comercio: </t>
    </r>
    <r>
      <rPr>
        <sz val="10"/>
        <color theme="1"/>
        <rFont val="Calibri"/>
        <family val="2"/>
        <scheme val="minor"/>
      </rPr>
      <t xml:space="preserve">Se agotó el presupuesto en el periodo anterior.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Secretaría de Educación:</t>
    </r>
    <r>
      <rPr>
        <sz val="10"/>
        <color theme="1"/>
        <rFont val="Calibri"/>
        <family val="2"/>
        <scheme val="minor"/>
      </rPr>
      <t xml:space="preserve"> El 13,36%  representa el porcentaje de jóvenes matriculados en la educación media  que participan en proyectos de innovación y emprendimiento en el sector rural. Esta acción se enmarca en la estrategia de doble titulación mediante el convenio interinstitucional 004 de 2016 con el SENA, con la formulación de proyectos productivos innovadores, cumpliendo así con la etapa de certificación para el técnico laboral en cada una de las especialidades de las Instituciones Educativas. Se estima pago anual para 666 estudiantes rurales  que realizan proyectos productivos o emprendimientos innovadores en su etapa práctica, puesto que para su formación técnica es requisito indispensable. Se realiza pago anual de $32.606.000 en promedio para cubir la afiliación a riegos laborales de los estudiantes que realizan sus proyectos productivos y de emprendimiento en el sector rural.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</si>
  <si>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EAM:</t>
    </r>
    <r>
      <rPr>
        <sz val="10"/>
        <color theme="1"/>
        <rFont val="Calibri"/>
        <family val="2"/>
        <scheme val="minor"/>
      </rPr>
      <t xml:space="preserve"> Área de proyectos especiales.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</si>
  <si>
    <r>
      <t xml:space="preserve">
</t>
    </r>
    <r>
      <rPr>
        <b/>
        <sz val="10"/>
        <color theme="1"/>
        <rFont val="Calibri"/>
        <family val="2"/>
        <scheme val="minor"/>
      </rPr>
      <t>Alcaldía Buenavista:</t>
    </r>
    <r>
      <rPr>
        <sz val="10"/>
        <color theme="1"/>
        <rFont val="Calibri"/>
        <family val="2"/>
        <scheme val="minor"/>
      </rPr>
      <t xml:space="preserve"> No se registran datos en el tercer trimestre de 2022.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Secretaría de Familia: </t>
    </r>
    <r>
      <rPr>
        <sz val="10"/>
        <color theme="1"/>
        <rFont val="Calibri"/>
        <family val="2"/>
        <scheme val="minor"/>
      </rPr>
      <t xml:space="preserve">Desde la Jefatura de Juventud, 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r>
      <rPr>
        <b/>
        <sz val="10"/>
        <color theme="1"/>
        <rFont val="Calibri"/>
        <family val="2"/>
        <scheme val="minor"/>
      </rPr>
      <t/>
    </r>
  </si>
  <si>
    <r>
      <t xml:space="preserve">
</t>
    </r>
    <r>
      <rPr>
        <b/>
        <sz val="10"/>
        <color theme="1"/>
        <rFont val="Calibri"/>
        <family val="2"/>
        <scheme val="minor"/>
      </rPr>
      <t xml:space="preserve">Secretaría de Salud: </t>
    </r>
    <r>
      <rPr>
        <sz val="10"/>
        <color theme="1"/>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5 mujeres menores de 20 años en estado de embarazo.
</t>
    </r>
    <r>
      <rPr>
        <b/>
        <sz val="10"/>
        <color theme="1"/>
        <rFont val="Calibri"/>
        <family val="2"/>
        <scheme val="minor"/>
      </rPr>
      <t>Alcaldía Filandia:</t>
    </r>
    <r>
      <rPr>
        <sz val="10"/>
        <color theme="1"/>
        <rFont val="Calibri"/>
        <family val="2"/>
        <scheme val="minor"/>
      </rPr>
      <t xml:space="preserve"> No se cuenta con  el dato.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de Agentes en Derechos Sexuales y Reproductivos*Fortalecimiento del PESCC*Acompañamiento Escuela de Padres.
</t>
    </r>
    <r>
      <rPr>
        <b/>
        <sz val="10"/>
        <color theme="1"/>
        <rFont val="Calibri"/>
        <family val="2"/>
        <scheme val="minor"/>
      </rPr>
      <t>Alcaldía Quimbaya:</t>
    </r>
    <r>
      <rPr>
        <sz val="10"/>
        <color theme="1"/>
        <rFont val="Calibri"/>
        <family val="2"/>
        <scheme val="minor"/>
      </rPr>
      <t xml:space="preserve"> En el municipio de Quimbaya se conmemoró la semana andina para la prevención del embarazo en la adolescencia.</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</si>
  <si>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</si>
  <si>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 xml:space="preserve">Secretaría de Familia: Reporta que los doce municipios del Quindío, han realizado las asambleas juveniles, conforme al estatuto de ciudadanía juvenil. Y COORDINÓ LA REALIZACIÓN DE LA ASAMBLEA DE JUVENTUD  DEPARTAMENTAL EN EL RECINTO DE LA ASAMBLEA DEPARTAMENTAL EN EL MES DE DICIEMBRE.  Alcaldía de Buenavista: </t>
    </r>
    <r>
      <rPr>
        <sz val="10"/>
        <color theme="1"/>
        <rFont val="Calibri"/>
        <family val="2"/>
        <scheme val="minor"/>
      </rPr>
      <t>Se realizó Asamblea de Juventud en el mes de Junio de 2022.</t>
    </r>
    <r>
      <rPr>
        <b/>
        <sz val="10"/>
        <color theme="1"/>
        <rFont val="Calibri"/>
        <family val="2"/>
        <scheme val="minor"/>
      </rPr>
      <t xml:space="preserve">
Alcaldía de Salento: </t>
    </r>
    <r>
      <rPr>
        <sz val="10"/>
        <color theme="1"/>
        <rFont val="Calibri"/>
        <family val="2"/>
        <scheme val="minor"/>
      </rPr>
      <t>Hasta la fecha se ha realizada la Asamblea Municipal de Juventud, realizada el pasado 11 de Febrero</t>
    </r>
    <r>
      <rPr>
        <b/>
        <sz val="10"/>
        <color theme="1"/>
        <rFont val="Calibri"/>
        <family val="2"/>
        <scheme val="minor"/>
      </rPr>
      <t xml:space="preserve">
Alcaldía de Montenegro: </t>
    </r>
    <r>
      <rPr>
        <sz val="10"/>
        <color theme="1"/>
        <rFont val="Calibri"/>
        <family val="2"/>
        <scheme val="minor"/>
      </rPr>
      <t>Se han realizado las 2 asambleas de juventud que establece el estatuto de ciudadanía juvenil (ley  Estatutaria 1622 del 2013 modificada por la ley 1885 del 2018) .</t>
    </r>
    <r>
      <rPr>
        <b/>
        <sz val="10"/>
        <color theme="1"/>
        <rFont val="Calibri"/>
        <family val="2"/>
        <scheme val="minor"/>
      </rPr>
      <t xml:space="preserve">
Alcaldía de Córdoba: </t>
    </r>
    <r>
      <rPr>
        <sz val="10"/>
        <color theme="1"/>
        <rFont val="Calibri"/>
        <family val="2"/>
        <scheme val="minor"/>
      </rPr>
      <t xml:space="preserve">Las asambleas juveniles se realizaron en el primer semestre del 2022. </t>
    </r>
    <r>
      <rPr>
        <b/>
        <sz val="10"/>
        <color theme="1"/>
        <rFont val="Calibri"/>
        <family val="2"/>
        <scheme val="minor"/>
      </rPr>
      <t xml:space="preserve">
Alcaldía de la Tebaida:  </t>
    </r>
    <r>
      <rPr>
        <sz val="10"/>
        <color theme="1"/>
        <rFont val="Calibri"/>
        <family val="2"/>
        <scheme val="minor"/>
      </rPr>
      <t xml:space="preserve">El 05 de diciembre, se realizaron en el teatro municipal las 2 asambleas del año en vigencia dándole cumplimiento a la ley 1622 del 2013. En donde asistieron los consejeros de juventud, plataforma de juventud y demás miembros de colectivos juveniles.  </t>
    </r>
    <r>
      <rPr>
        <b/>
        <sz val="10"/>
        <color theme="1"/>
        <rFont val="Calibri"/>
        <family val="2"/>
        <scheme val="minor"/>
      </rPr>
      <t xml:space="preserve">
Alcaldía Armenia: </t>
    </r>
    <r>
      <rPr>
        <sz val="10"/>
        <color theme="1"/>
        <rFont val="Calibri"/>
        <family val="2"/>
        <scheme val="minor"/>
      </rPr>
      <t xml:space="preserve">Se han realizado dos asambleas juveniles en el mes de marzo y julio de 2022, impactando a 136 jóvenes. </t>
    </r>
    <r>
      <rPr>
        <b/>
        <sz val="10"/>
        <color theme="1"/>
        <rFont val="Calibri"/>
        <family val="2"/>
        <scheme val="minor"/>
      </rPr>
      <t xml:space="preserve">
Alcaldía de Filandia: </t>
    </r>
    <r>
      <rPr>
        <sz val="10"/>
        <color theme="1"/>
        <rFont val="Calibri"/>
        <family val="2"/>
        <scheme val="minor"/>
      </rPr>
      <t>1 conformada, para el periodo de octubre a diciembre no se convocó.</t>
    </r>
    <r>
      <rPr>
        <b/>
        <sz val="10"/>
        <color theme="1"/>
        <rFont val="Calibri"/>
        <family val="2"/>
        <scheme val="minor"/>
      </rPr>
      <t xml:space="preserve">
Alcaldía Quimbaya: </t>
    </r>
    <r>
      <rPr>
        <sz val="10"/>
        <color theme="1"/>
        <rFont val="Calibri"/>
        <family val="2"/>
        <scheme val="minor"/>
      </rPr>
      <t>En el municipio de Quimbaya se realizó una asamblea juvenil durante la vigencia 2022</t>
    </r>
    <r>
      <rPr>
        <b/>
        <sz val="10"/>
        <color theme="1"/>
        <rFont val="Calibri"/>
        <family val="2"/>
        <scheme val="minor"/>
      </rPr>
      <t xml:space="preserve">
Alcaldía de Génova: </t>
    </r>
    <r>
      <rPr>
        <sz val="10"/>
        <color theme="1"/>
        <rFont val="Calibri"/>
        <family val="2"/>
        <scheme val="minor"/>
      </rPr>
      <t>1 asamblea realizada.</t>
    </r>
    <r>
      <rPr>
        <b/>
        <sz val="10"/>
        <color theme="1"/>
        <rFont val="Calibri"/>
        <family val="2"/>
        <scheme val="minor"/>
      </rPr>
      <t xml:space="preserve">
</t>
    </r>
  </si>
  <si>
    <r>
      <rPr>
        <b/>
        <sz val="10"/>
        <color theme="1"/>
        <rFont val="Calibri"/>
        <family val="2"/>
        <scheme val="minor"/>
      </rPr>
      <t xml:space="preserve">Se beneficiaron: 11693 Personas 79% Por encima de la linea de base de 6500 beneficiados.    Alcaldía de Filandia: </t>
    </r>
    <r>
      <rPr>
        <sz val="10"/>
        <color theme="1"/>
        <rFont val="Calibri"/>
        <family val="2"/>
        <scheme val="minor"/>
      </rPr>
      <t>230 menores.</t>
    </r>
    <r>
      <rPr>
        <b/>
        <sz val="10"/>
        <color theme="1"/>
        <rFont val="Calibri"/>
        <family val="2"/>
        <scheme val="minor"/>
      </rPr>
      <t xml:space="preserve">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 xml:space="preserve">70 adultos.
</t>
    </r>
    <r>
      <rPr>
        <b/>
        <sz val="10"/>
        <color theme="1"/>
        <rFont val="Calibri"/>
        <family val="2"/>
        <scheme val="minor"/>
      </rPr>
      <t>Alcaldía de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 xml:space="preserve">Programa recreativo para adolescencia y juventud y programa recreativo y fitness.
</t>
    </r>
    <r>
      <rPr>
        <b/>
        <sz val="10"/>
        <color theme="1"/>
        <rFont val="Calibri"/>
        <family val="2"/>
        <scheme val="minor"/>
      </rPr>
      <t xml:space="preserve">Alcaldía de Montenegro: </t>
    </r>
    <r>
      <rPr>
        <sz val="10"/>
        <color theme="1"/>
        <rFont val="Calibri"/>
        <family val="2"/>
        <scheme val="minor"/>
      </rPr>
      <t xml:space="preserve">328 personas mayores a través de hábitos y estilos de vida saludable y actividad musicalizada y recreativa para el adulto mayor.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Indeportes: </t>
    </r>
    <r>
      <rPr>
        <sz val="10"/>
        <color theme="1"/>
        <rFont val="Calibri"/>
        <family val="2"/>
        <scheme val="minor"/>
      </rPr>
      <t>1290</t>
    </r>
  </si>
  <si>
    <t xml:space="preserve">20%
</t>
  </si>
  <si>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Alcaldía de Buenavista</t>
    </r>
    <r>
      <rPr>
        <sz val="10"/>
        <color theme="1"/>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Actualmente se benefician 3781 jóvenes de las diferentes escuelas de formación del municipio (23 escuelas de formación).
</t>
    </r>
    <r>
      <rPr>
        <b/>
        <sz val="10"/>
        <color theme="1"/>
        <rFont val="Calibri"/>
        <family val="2"/>
        <scheme val="minor"/>
      </rPr>
      <t>Alcaldía de Filandia</t>
    </r>
    <r>
      <rPr>
        <sz val="10"/>
        <color theme="1"/>
        <rFont val="Calibri"/>
        <family val="2"/>
        <scheme val="minor"/>
      </rPr>
      <t xml:space="preserve">: 230 menores 
</t>
    </r>
    <r>
      <rPr>
        <b/>
        <sz val="10"/>
        <color theme="1"/>
        <rFont val="Calibri"/>
        <family val="2"/>
        <scheme val="minor"/>
      </rPr>
      <t>Indeportes:</t>
    </r>
    <r>
      <rPr>
        <sz val="10"/>
        <color theme="1"/>
        <rFont val="Calibri"/>
        <family val="2"/>
        <scheme val="minor"/>
      </rPr>
      <t xml:space="preserve"> 900.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Universidad San  Buenaventura:</t>
    </r>
    <r>
      <rPr>
        <sz val="10"/>
        <color theme="1"/>
        <rFont val="Calibri"/>
        <family val="2"/>
        <scheme val="minor"/>
      </rPr>
      <t xml:space="preserve"> El voluntariado Transformarte de la Universidad de San Buenaventura realizó actividad recreativa a adultos de la tercera edad en el Hogar geriátrico El Carmen de Calarcá.
</t>
    </r>
    <r>
      <rPr>
        <b/>
        <sz val="10"/>
        <color theme="1"/>
        <rFont val="Calibri"/>
        <family val="2"/>
        <scheme val="minor"/>
      </rPr>
      <t>Universidad EAM:</t>
    </r>
    <r>
      <rPr>
        <sz val="10"/>
        <color theme="1"/>
        <rFont val="Calibri"/>
        <family val="2"/>
        <scheme val="minor"/>
      </rPr>
      <t xml:space="preserve"> 92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</si>
  <si>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humanos.Cada municipio tiene el plan integral de prevención de derechos humanos.  
</t>
    </r>
  </si>
  <si>
    <r>
      <t xml:space="preserve">la Red departamental de emprendimiento cuenta con un representante del Consejo Departamental de Juventudes.  Secretaría de Turismo Industria y Comercio: </t>
    </r>
    <r>
      <rPr>
        <sz val="10"/>
        <color theme="1"/>
        <rFont val="Calibri"/>
        <family val="2"/>
        <scheme val="minor"/>
      </rPr>
      <t>Durante el presente trimestre se lleva a cabo sesión o reunión de la Red Regional de Emprendimiento del Departamento del Quindío.</t>
    </r>
  </si>
  <si>
    <r>
      <rPr>
        <b/>
        <sz val="10"/>
        <color theme="1"/>
        <rFont val="Calibri"/>
        <family val="2"/>
        <scheme val="minor"/>
      </rPr>
      <t xml:space="preserve">Observación: SEGÚN REPORTE DE SEC. EDUCACIÓN SE IMPLEMENTAN 4 METODOLOGÍAS.                        </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</si>
  <si>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Alcaldía Quimbaya:</t>
    </r>
    <r>
      <rPr>
        <sz val="10"/>
        <color theme="1"/>
        <rFont val="Calibri"/>
        <family val="2"/>
        <scheme val="minor"/>
      </rPr>
      <t xml:space="preserve"> En el municipio de Quimbaya hay 40 jóvenes vinculados a proyectos de emprendimientos</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</si>
  <si>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designo a la Secretaria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P:U: de Atención a grupos Vulnerables; encargado de supervisar la ejecución del proyecto de juventud.</t>
    </r>
    <r>
      <rPr>
        <b/>
        <sz val="10"/>
        <color theme="1"/>
        <rFont val="Calibri"/>
        <family val="2"/>
        <scheme val="minor"/>
      </rPr>
      <t xml:space="preserve">
Alcaldía de Montenegro:</t>
    </r>
    <r>
      <rPr>
        <sz val="10"/>
        <color theme="1"/>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Actualmente, se cuenta con un enlace de juventud para realizar el seguimiento a la Política Pública y dinamizar los espacios de participación</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</si>
  <si>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Estímulos para el acceso y permanencia en la educación superior  1 convenio con el SENA - (TÉCNICO LABORAL EN PROCESOS AGROINDUSTRIALES.
</t>
    </r>
    <r>
      <rPr>
        <b/>
        <sz val="10"/>
        <color theme="1"/>
        <rFont val="Calibri"/>
        <family val="2"/>
        <scheme val="minor"/>
      </rPr>
      <t>Alcaldía de Filandia:</t>
    </r>
    <r>
      <rPr>
        <sz val="10"/>
        <color theme="1"/>
        <rFont val="Calibri"/>
        <family val="2"/>
        <scheme val="minor"/>
      </rPr>
      <t xml:space="preserve"> Tasa de absorción de bachilleres: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fortaleció las metodologías para la oferta educativa, en los siguientes: Escuela Nueva, enfoque Epc , Etnoeducación, flexibilización curricular programa de apoyo para estudiantes con discapacidad y trastornos del aprendizaje.
</t>
    </r>
    <r>
      <rPr>
        <b/>
        <sz val="10"/>
        <color theme="1"/>
        <rFont val="Calibri"/>
        <family val="2"/>
        <scheme val="minor"/>
      </rPr>
      <t>Alcaldía de Montenegro:</t>
    </r>
    <r>
      <rPr>
        <sz val="10"/>
        <color theme="1"/>
        <rFont val="Calibri"/>
        <family val="2"/>
        <scheme val="minor"/>
      </rPr>
      <t xml:space="preserve"> Las instituciones educativas de Marco Fidel Suarez e Instituto Montenegro, realizan educación inclusiva o flexible en donde estudian por módulos.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rgb="FFFF0000"/>
        <rFont val="Calibri"/>
        <family val="2"/>
        <scheme val="minor"/>
      </rPr>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</si>
  <si>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Se tiene un aseguramiento del 100% y se hace a través del Sistema de Afiliación Transaccional (SAT) o afiliación de oficio.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la cobertura de aseguramiento en poblacion joven es del 85%.
</t>
    </r>
  </si>
  <si>
    <r>
      <rPr>
        <b/>
        <sz val="10"/>
        <color theme="1"/>
        <rFont val="Calibri"/>
        <family val="2"/>
        <scheme val="minor"/>
      </rPr>
      <t>Indeportes: 69% de deportistas participantes jovenes quindianos en juegos nacionales</t>
    </r>
    <r>
      <rPr>
        <sz val="10"/>
        <color theme="1"/>
        <rFont val="Calibri"/>
        <family val="2"/>
        <scheme val="minor"/>
      </rPr>
      <t>.</t>
    </r>
  </si>
  <si>
    <r>
      <rPr>
        <b/>
        <sz val="10"/>
        <color theme="1"/>
        <rFont val="Calibri"/>
        <family val="2"/>
        <scheme val="minor"/>
      </rPr>
      <t xml:space="preserve">Secretaría de Cultura: </t>
    </r>
    <r>
      <rPr>
        <sz val="10"/>
        <color theme="1"/>
        <rFont val="Calibri"/>
        <family val="2"/>
        <scheme val="minor"/>
      </rPr>
      <t>se realizaron talleres de promoción de lectura y escritura en los diferentes municipios  con el apoyo de los instituciones educativas, impactando a 250  jóvenes en este cuarto  trimestre, así como también desde las bibliotecas públicas hemos atendido a 1250  jóvenes. 118 estimulos otorgados a talentos jovenes.</t>
    </r>
  </si>
  <si>
    <r>
      <t xml:space="preserve">   
</t>
    </r>
    <r>
      <rPr>
        <b/>
        <sz val="10"/>
        <color theme="1"/>
        <rFont val="Calibri"/>
        <family val="2"/>
        <scheme val="minor"/>
      </rPr>
      <t xml:space="preserve">Secretaría de Cultura: </t>
    </r>
    <r>
      <rPr>
        <sz val="10"/>
        <color theme="1"/>
        <rFont val="Calibri"/>
        <family val="2"/>
        <scheme val="minor"/>
      </rPr>
      <t>En la ejecución del programa  de concertación los proyectos siguientes fueron los que mas beneficiaron población juvenil: asociación libre teatro con un total de : 2.200 jóvenes realizando el festival calle arriba calle abajo en los municipios de Calarcá, Armenia, Quimbaya el corregimiento de Barcelona. La fundación torre de palabras realizó talleres de literatura y cine en donde se beneficiaron 500 jóvenes en los municipios de Calarcá y Armenia. La corporación los muñecos del teatro escondido realizó un proceso de realización en artes con 1100 jóvenes en el municipio de Armenia. La fundación acción para la vida realizó talleres de música y danza folclórica con 610 jóvenes en el corregimiento de Barcelona.
la fundación talento cafetero realizó un festival de música andina colombiana con la participación de 900 jóvenes. La corporación kymera realizó el laboratorio de creación audiovisual elaborando vídeos de animación con 1447 en losm12 municipios del Departamento. La corporación red apoyó la realización de talleres de formación en música con 12 jóvenes del CAE la Primavera del municipio de Montenegro . 92 proyectos de concertacion con organizaciones juveniles, culturales apoyados</t>
    </r>
  </si>
  <si>
    <t>PROGRAMADO 
(Meta al 2023)</t>
  </si>
  <si>
    <r>
      <rPr>
        <b/>
        <sz val="10"/>
        <color theme="1"/>
        <rFont val="Calibri"/>
        <family val="2"/>
        <scheme val="minor"/>
      </rPr>
      <t xml:space="preserve">Secretaría de Familia: </t>
    </r>
    <r>
      <rPr>
        <sz val="10"/>
        <color theme="1"/>
        <rFont val="Calibri"/>
        <family val="2"/>
        <scheme val="minor"/>
      </rPr>
      <t xml:space="preserve">Reporta la existencia de un Sistema Departamental de Juventud conformado por la Plataforma Departamental de Juventud, realización de Asambleas Juveniles, Comisiones de Concertación y Decisión y fortalecimiento de los Consejos de Juventud.
</t>
    </r>
  </si>
  <si>
    <t>11.5%</t>
  </si>
  <si>
    <t>3.41%</t>
  </si>
  <si>
    <t>54.3%</t>
  </si>
  <si>
    <r>
      <t xml:space="preserve">Secretaría del Interior: </t>
    </r>
    <r>
      <rPr>
        <sz val="10"/>
        <color theme="1"/>
        <rFont val="Calibri"/>
        <family val="2"/>
        <scheme val="minor"/>
      </rPr>
      <t xml:space="preserve">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nos encontramos dando aplicabilidad al programa de prevención  “Abre Tus Ojos” de la Dirección de Protección a la Infancia y adolescencia, en el Departamento del Quindío teniendo en cuenta planes de trabajo internos.   </t>
    </r>
  </si>
  <si>
    <r>
      <t>Secretaria de Turismo, Industria y Comercio:</t>
    </r>
    <r>
      <rPr>
        <sz val="10"/>
        <color theme="1"/>
        <rFont val="Calibri"/>
        <family val="2"/>
        <scheme val="minor"/>
      </rPr>
      <t xml:space="preserve"> En coordinación con el ente territorial se realizó visita técnica a la propietaria del Hotel Sierra Morena (Filandia), haciendo recomendaciones en cuanto a atención al cliente y espacios naturales.
</t>
    </r>
    <r>
      <rPr>
        <b/>
        <sz val="10"/>
        <color theme="1"/>
        <rFont val="Calibri"/>
        <family val="2"/>
        <scheme val="minor"/>
      </rPr>
      <t xml:space="preserve">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Alcaldía Salento:</t>
    </r>
    <r>
      <rPr>
        <sz val="10"/>
        <color theme="1"/>
        <rFont val="Calibri"/>
        <family val="2"/>
        <scheme val="minor"/>
      </rPr>
      <t xml:space="preserve"> Actividades desarrolladas por parte del programa Cátedra de la Salentinidad hacia las instituciones educativas y población joven del municipio (Capacitación docentes y dotación material pedagógico).
</t>
    </r>
    <r>
      <rPr>
        <b/>
        <sz val="10"/>
        <color theme="1"/>
        <rFont val="Calibri"/>
        <family val="2"/>
        <scheme val="minor"/>
      </rPr>
      <t>Alcaldía de Córdoba:</t>
    </r>
    <r>
      <rPr>
        <sz val="10"/>
        <color theme="1"/>
        <rFont val="Calibri"/>
        <family val="2"/>
        <scheme val="minor"/>
      </rPr>
      <t xml:space="preserve">  a la fecha no existen alianzas para la promoción de turismo establecida para jóvenes, sin embargo empresas privadas como Soñarte y Café restaurante 1920, Los cainos, Cáfe mujer  ubicadas en el municipio, fomentan  la promoción de turismo en jóvenes, buscando emplearlos en las diferentes áreas de dichas empresas. 
</t>
    </r>
    <r>
      <rPr>
        <b/>
        <sz val="10"/>
        <color theme="1"/>
        <rFont val="Calibri"/>
        <family val="2"/>
        <scheme val="minor"/>
      </rPr>
      <t>Alcaldía de Calarcá:</t>
    </r>
    <r>
      <rPr>
        <sz val="10"/>
        <color theme="1"/>
        <rFont val="Calibri"/>
        <family val="2"/>
        <scheme val="minor"/>
      </rPr>
      <t xml:space="preserve"> 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Alcaldía Buenavista:</t>
    </r>
    <r>
      <rPr>
        <sz val="10"/>
        <color theme="1"/>
        <rFont val="Calibri"/>
        <family val="2"/>
        <scheme val="minor"/>
      </rPr>
      <t xml:space="preserve"> no tiene reportes a la fecha.
</t>
    </r>
    <r>
      <rPr>
        <b/>
        <sz val="10"/>
        <color theme="1"/>
        <rFont val="Calibri"/>
        <family val="2"/>
        <scheme val="minor"/>
      </rPr>
      <t>Alcaldía Quimbaya:</t>
    </r>
    <r>
      <rPr>
        <sz val="10"/>
        <color theme="1"/>
        <rFont val="Calibri"/>
        <family val="2"/>
        <scheme val="minor"/>
      </rPr>
      <t xml:space="preserve"> Esta meta no se encuentra programada para ser ejecutada durante el presente trimestre
</t>
    </r>
    <r>
      <rPr>
        <b/>
        <sz val="10"/>
        <color theme="1"/>
        <rFont val="Calibri"/>
        <family val="2"/>
        <scheme val="minor"/>
      </rPr>
      <t xml:space="preserve">
</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</si>
  <si>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</si>
  <si>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rPr>
        <b/>
        <sz val="10"/>
        <color theme="1"/>
        <rFont val="Calibri"/>
        <family val="2"/>
        <scheme val="minor"/>
      </rPr>
      <t>Observación: SEGÚN REPORTE DE SEC. EDUCACIÓN SE IMPLEMENTAN 4 METODOLOGÍAS.</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r>
      <rPr>
        <b/>
        <sz val="10"/>
        <color theme="1"/>
        <rFont val="Calibri"/>
        <family val="2"/>
        <scheme val="minor"/>
      </rPr>
      <t>Alcaldía de Pijao:</t>
    </r>
    <r>
      <rPr>
        <sz val="10"/>
        <color theme="1"/>
        <rFont val="Calibri"/>
        <family val="2"/>
        <scheme val="minor"/>
      </rPr>
      <t xml:space="preserve"> no cuenta con metodologias flexibles implementadas</t>
    </r>
  </si>
  <si>
    <r>
      <rPr>
        <b/>
        <sz val="10"/>
        <color theme="1"/>
        <rFont val="Calibri"/>
        <family val="2"/>
        <scheme val="minor"/>
      </rPr>
      <t>Secretaría de Educación:</t>
    </r>
    <r>
      <rPr>
        <sz val="10"/>
        <color theme="1"/>
        <rFont val="Calibri"/>
        <family val="2"/>
        <scheme val="minor"/>
      </rPr>
      <t xml:space="preserve"> * Participación en proyecto ONDAS Quindío. 43 de 60 proyectos de investigación escolar continúan activos en los propósitos del programa ONDAS el cual es promovido por el Ministerio de Ciencias.
* Desarrollo de alianza institucional para promover la Cultura de la Ciencia, la tecnología y la innovación en las instituciones educativas del departamento.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0.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Universidad la Gran Colombia:</t>
    </r>
    <r>
      <rPr>
        <sz val="10"/>
        <color theme="1"/>
        <rFont val="Calibri"/>
        <family val="2"/>
        <scheme val="minor"/>
      </rPr>
      <t xml:space="preserve"> 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 xml:space="preserve">Universidad San Buenaventura: </t>
    </r>
    <r>
      <rPr>
        <sz val="10"/>
        <color theme="1"/>
        <rFont val="Calibri"/>
        <family val="2"/>
        <scheme val="minor"/>
      </rPr>
      <t xml:space="preserve">La Universidad De San Buenaventura tiene un proyecto que relaciona las tres facultades y su nombre es: Convivir, incluir y cohabitar: imaginarios sobre diversidad en las prácticas cotidianas de dos comunidades de educación superior en Armenia (Q.)
</t>
    </r>
  </si>
  <si>
    <t>EJECUTADO HASTA EL PRIMER TRIMESTRE DEL 2023</t>
  </si>
  <si>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manera,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Politica Pública de Juventud, "Buenavista, un lugar para crear, soñar y construir" adoptada mediante decreto 087 de diciembre 15 de 2017 con 10 años para su ejecución; ejecutándose y dándole cumplimiento.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de Montenegro cuenta con Politica Pública de Juventud la cual fue adoptada  bajo el acuerdo 07 de septiembre de 2022, al momento se encuentra en ejecución.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municipal.
</t>
    </r>
    <r>
      <rPr>
        <b/>
        <sz val="10"/>
        <color theme="1"/>
        <rFont val="Calibri"/>
        <family val="2"/>
        <scheme val="minor"/>
      </rPr>
      <t xml:space="preserve">Alcaldía de Pijao: </t>
    </r>
    <r>
      <rPr>
        <sz val="10"/>
        <color theme="1"/>
        <rFont val="Calibri"/>
        <family val="2"/>
        <scheme val="minor"/>
      </rPr>
      <t xml:space="preserve">No cuenta con Política Pública.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</si>
  <si>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designó a la Secretaría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profesional universitario de atención a grupos vulnerables, el cual es el encargado de supervisar el proyecto de juventud.</t>
    </r>
    <r>
      <rPr>
        <b/>
        <sz val="10"/>
        <color theme="1"/>
        <rFont val="Calibri"/>
        <family val="2"/>
        <scheme val="minor"/>
      </rPr>
      <t xml:space="preserve">
Alcaldía de Montenegro:</t>
    </r>
    <r>
      <rPr>
        <sz val="10"/>
        <color theme="1"/>
        <rFont val="Calibri"/>
        <family val="2"/>
        <scheme val="minor"/>
      </rPr>
      <t xml:space="preserve"> En el momento se cuenta con un programa de juventud adscrito a la Subsecretaría de Desarrollo Social Y Educativo la cual es la encargada de acompañar al consejo de juventud, a la plataforma de juventud y de hacer seguimiento a la politica pública de juventud.</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 xml:space="preserve">no cuenta con oficina de juventud, no obstante, desde la oficina de seretaria de gobierno y participación comunitaria, cuenta con un contratista quien es el encargado de realizar seguimiento y cumplimiento a algunas actividades de la politica Pública de juventud. </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</si>
  <si>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Desde el Consejo Municipal de Política Social de municipio de córdoba se realiza seguimiento a las acciones establecidas a las líneas estratégicas de las políticas públicas del municipio las cuales van armonizadas con el plan de desarrollo y el plan de acción del compos, vale resaltar que el municipio aún no cuenta con política pública de juventud.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</si>
  <si>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El municipio de Quimbaya durante el trimestre aportó la información de los delegados departamentales a la plataforma y al consejo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r>
      <rPr>
        <b/>
        <sz val="10"/>
        <color theme="1"/>
        <rFont val="Calibri"/>
        <family val="2"/>
        <scheme val="minor"/>
      </rPr>
      <t>Alcaldiía Córdoba:</t>
    </r>
    <r>
      <rPr>
        <sz val="10"/>
        <color theme="1"/>
        <rFont val="Calibri"/>
        <family val="2"/>
        <scheme val="minor"/>
      </rPr>
      <t xml:space="preserve"> El Municipio de Córdoba cuenta con el Consejo municipal de juventudes  posesionado mediante Resolución Nº06 de enero 11 de 2022 y la Plataforma de Juventudes mediante Resolución Nº023 de 13 de septiembre de 2022 expedida por la Personería Municipal.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</si>
  <si>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</si>
  <si>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Salento: </t>
    </r>
    <r>
      <rPr>
        <sz val="10"/>
        <color theme="1"/>
        <rFont val="Calibri"/>
        <family val="2"/>
        <scheme val="minor"/>
      </rPr>
      <t xml:space="preserve">Actividades desarrolladas por parte del programa Cátedra de la Salentinidad hacia las instituciones educativas (Capacitacion docentes y dotación material pedagógico)
</t>
    </r>
    <r>
      <rPr>
        <b/>
        <sz val="10"/>
        <color theme="1"/>
        <rFont val="Calibri"/>
        <family val="2"/>
        <scheme val="minor"/>
      </rPr>
      <t>Alcaldía Córdoba:</t>
    </r>
    <r>
      <rPr>
        <sz val="10"/>
        <color theme="1"/>
        <rFont val="Calibri"/>
        <family val="2"/>
        <scheme val="minor"/>
      </rPr>
      <t xml:space="preserve"> Esta información no puede ser socializada en porcentaje (%), sin embargo por parte de la Alcaldía Municipal a través de su oficina de empleo se ha realizado 1 feria de empleo con el apoyo y acompañamiento de Comfenalco Quindío, se realizan piezas y publicaciones de ofertas de empleo en los canales digitales y redes sociales de la administración . 
</t>
    </r>
    <r>
      <rPr>
        <b/>
        <sz val="10"/>
        <color theme="1"/>
        <rFont val="Calibri"/>
        <family val="2"/>
        <scheme val="minor"/>
      </rPr>
      <t xml:space="preserve">Alcaldía Buenavista: </t>
    </r>
    <r>
      <rPr>
        <sz val="10"/>
        <color theme="1"/>
        <rFont val="Calibri"/>
        <family val="2"/>
        <scheme val="minor"/>
      </rPr>
      <t>se realizó por medio de la agencia de empleo de Comfenalco Quindío, una jornada de asistencia en el municipio, dirigida a toda la comunidad.</t>
    </r>
    <r>
      <rPr>
        <b/>
        <sz val="10"/>
        <color theme="1"/>
        <rFont val="Calibri"/>
        <family val="2"/>
        <scheme val="minor"/>
      </rPr>
      <t xml:space="preserve">
Alcaldía Montenegro: </t>
    </r>
    <r>
      <rPr>
        <sz val="10"/>
        <color theme="1"/>
        <rFont val="Calibri"/>
        <family val="2"/>
        <scheme val="minor"/>
      </rPr>
      <t xml:space="preserve">al momento no se cuenta con una tasa de desempleo juvenil en el municipio, sin embargo desde la Subsecretría de Desarrollo Social y Educativo se han abierto espacios para que los jóvenes conoscan de algunas ofertas laborales.
</t>
    </r>
    <r>
      <rPr>
        <b/>
        <sz val="10"/>
        <color theme="1"/>
        <rFont val="Calibri"/>
        <family val="2"/>
        <scheme val="minor"/>
      </rPr>
      <t xml:space="preserve">Alcaldía Pijao: </t>
    </r>
    <r>
      <rPr>
        <sz val="10"/>
        <color theme="1"/>
        <rFont val="Calibri"/>
        <family val="2"/>
        <scheme val="minor"/>
      </rPr>
      <t xml:space="preserve">convocatorias y apoyo a empresas, recepción de hojas de vida.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</si>
  <si>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Buenavista:</t>
    </r>
    <r>
      <rPr>
        <sz val="10"/>
        <color theme="1"/>
        <rFont val="Calibri"/>
        <family val="2"/>
        <scheme val="minor"/>
      </rPr>
      <t xml:space="preserve"> en Buenavista se cuenta con 8 jóvenes vinculados a un proyecto de emprendimiento que busca formarlos para su vida laboral, y se llama ASOJEX.
</t>
    </r>
    <r>
      <rPr>
        <b/>
        <sz val="10"/>
        <color theme="1"/>
        <rFont val="Calibri"/>
        <family val="2"/>
        <scheme val="minor"/>
      </rPr>
      <t>Alcaldía Córdoba</t>
    </r>
    <r>
      <rPr>
        <sz val="10"/>
        <color theme="1"/>
        <rFont val="Calibri"/>
        <family val="2"/>
        <scheme val="minor"/>
      </rPr>
      <t xml:space="preserve">: Se ha relizado 1 feria gastronómica y de emprendimiento por medio de la Oficina de Turimo Muncipal donde se vincularon 6 jóvenes que poseen emprendimientos e ideas de negocio.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 xml:space="preserve">Alcaldía Montenegro: </t>
    </r>
    <r>
      <rPr>
        <sz val="10"/>
        <color theme="1"/>
        <rFont val="Calibri"/>
        <family val="2"/>
        <scheme val="minor"/>
      </rPr>
      <t xml:space="preserve">06 jóvenes vinculados a cursos de emprendimiento.
</t>
    </r>
    <r>
      <rPr>
        <b/>
        <sz val="10"/>
        <color theme="1"/>
        <rFont val="Calibri"/>
        <family val="2"/>
        <scheme val="minor"/>
      </rPr>
      <t>Alcaldía Quimbaya:</t>
    </r>
    <r>
      <rPr>
        <sz val="10"/>
        <color theme="1"/>
        <rFont val="Calibri"/>
        <family val="2"/>
        <scheme val="minor"/>
      </rPr>
      <t xml:space="preserve"> A través del apoyo a las iniciativas de emprendimiento juvenil se brinda acompañamiento a 40 jóvenes emprendedores.
</t>
    </r>
    <r>
      <rPr>
        <b/>
        <sz val="10"/>
        <color theme="1"/>
        <rFont val="Calibri"/>
        <family val="2"/>
        <scheme val="minor"/>
      </rPr>
      <t>Alcaldía de Pijao:</t>
    </r>
    <r>
      <rPr>
        <sz val="10"/>
        <color theme="1"/>
        <rFont val="Calibri"/>
        <family val="2"/>
        <scheme val="minor"/>
      </rPr>
      <t xml:space="preserve"> No cuenta con Jovenes vinculados a proyectos innovadores y de emprendimiento</t>
    </r>
  </si>
  <si>
    <r>
      <t xml:space="preserve">
Secretaría de Turismo Industria y Comercio: </t>
    </r>
    <r>
      <rPr>
        <sz val="10"/>
        <color theme="1"/>
        <rFont val="Calibri"/>
        <family val="2"/>
        <scheme val="minor"/>
      </rPr>
      <t>Durante el presente trimestre se lleva a cabo la primer sesión o reunión de la Red Regional de Emprendimiento del Departamento del Quindio, la cual cuenta con un representante del Consejo Departamental de Juventudes</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</si>
  <si>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desde la Institución Educativa se cuenta con un programa de estudio los días sábados que permite a los jóvenes con extra edad, terminar su bachillerato.
</t>
    </r>
    <r>
      <rPr>
        <b/>
        <sz val="10"/>
        <color theme="1"/>
        <rFont val="Calibri"/>
        <family val="2"/>
        <scheme val="minor"/>
      </rPr>
      <t>Alcaldía de Filandia:</t>
    </r>
    <r>
      <rPr>
        <sz val="10"/>
        <color theme="1"/>
        <rFont val="Calibri"/>
        <family val="2"/>
        <scheme val="minor"/>
      </rPr>
      <t xml:space="preserve">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se encuentra conformado el Comité Municipal de Becas Universitarias para la educación superior pública, para quienes cumplan con los requisitos y envíen la solicitud. Actualmente no se encuentran beneficiarios ya que está en vigencia la Política Nacional de Matrícula Cero y los jóvenes del municipio que estudian en la universidad pública accedieron a esta.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al momento desde la subsecretaria de desarrollo social y ecucativo no se cuenta con esos datos para el primer trimestre del año.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theme="1"/>
        <rFont val="Calibri"/>
        <family val="2"/>
        <scheme val="minor"/>
      </rPr>
      <t xml:space="preserve">Secretaría de educación: </t>
    </r>
    <r>
      <rPr>
        <sz val="10"/>
        <color theme="1"/>
        <rFont val="Calibri"/>
        <family val="2"/>
        <scheme val="minor"/>
      </rPr>
      <t xml:space="preserve">1. Qluster Didáctico Empresarial
2. Proyectos pedagógicos productivos.
3. Articulación con la Educación Superior.
4. Articulación con la Media Técnica.
5. Escuela Lider - Emprende Lider.
6. Territorio Stem + Qreativos.
7. Bilinguismo - Nativos
8. Plan de Oralidad. 
9. Laboratorios Pedagógicos Creativos.
</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</si>
  <si>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Fomenta la educación superior y por ello tiene realizado un convenio con el instituto técnico INTEP de Roldanillo Valle, el cual ha puesto su sede en el municipio, para que los jóvenes estudien una carrera universitaria; también entrega tiquetes estudiantiles para que los jóvenes que estudian en la ciudad de Armenia, con estos incentivos fomentamos la educación superior y procuramos que los jóvenes no deserten de sus carreras profesionales.
</t>
    </r>
    <r>
      <rPr>
        <b/>
        <sz val="10"/>
        <color theme="1"/>
        <rFont val="Calibri"/>
        <family val="2"/>
        <scheme val="minor"/>
      </rPr>
      <t>Alcaldía de Filandia:</t>
    </r>
    <r>
      <rPr>
        <sz val="10"/>
        <color theme="1"/>
        <rFont val="Calibri"/>
        <family val="2"/>
        <scheme val="minor"/>
      </rPr>
      <t xml:space="preserve"> 40% de los estudiantes desertan de la Universidad a lo largo de su carrera, ya sea para cambiar de carrera o abandonar el sistema Universitario (15% a largo plazo).
</t>
    </r>
    <r>
      <rPr>
        <b/>
        <sz val="10"/>
        <color theme="1"/>
        <rFont val="Calibri"/>
        <family val="2"/>
        <scheme val="minor"/>
      </rPr>
      <t>Alcaldía de Pijao:</t>
    </r>
    <r>
      <rPr>
        <sz val="10"/>
        <color theme="1"/>
        <rFont val="Calibri"/>
        <family val="2"/>
        <scheme val="minor"/>
      </rPr>
      <t xml:space="preserve"> Se cuenta con la posada estudiantil en Armenia.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Avance en la propuesta de reestablecimiento de los subsidios de transporte para estudiantes universitarios residentes en el municipio.
</t>
    </r>
    <r>
      <rPr>
        <b/>
        <sz val="10"/>
        <color theme="1"/>
        <rFont val="Calibri"/>
        <family val="2"/>
        <scheme val="minor"/>
      </rPr>
      <t>Alcaldía de Córdoba:</t>
    </r>
    <r>
      <rPr>
        <sz val="10"/>
        <color theme="1"/>
        <rFont val="Calibri"/>
        <family val="2"/>
        <scheme val="minor"/>
      </rPr>
      <t xml:space="preserve"> La Institución Educativa ofrece todo el ciclo básico lo que contribuye a asegurar la continuidad y el flujo de los estudiantes a través de los niveles de  básica, secundaria y media. Además, se ofrece dos modalidades en convenio SENA: sistemas agropecuarios ecológicos y agroindustria alimentaria.                                                                                                                                                                                                                                   Se diseñan los Planes de Mejoramiento y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-Hay flexibilidad de los modelos educativos que se implementan, que son capaces de adaptarse a las necesidades de los niños y jóvenes.                                                        
Seguimiento a través de comité de ausentismo.                                             La información no puede ser socializada en tasa por la alcaldía municipal.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</si>
  <si>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 xml:space="preserve">Secretaría de Salud: </t>
    </r>
    <r>
      <rPr>
        <sz val="10"/>
        <color theme="1"/>
        <rFont val="Calibri"/>
        <family val="2"/>
        <scheme val="minor"/>
      </rPr>
      <t>Se han realizado talleres pedagógicos en 4 municipios del Quindío para la prevención de embarazo en la adolescencia y de infecciones de transmisión sexual. Se han visitado 11 IPS de 11 municipios realizando seguimiento de la calidad en la implementación de los servicios de salud amigables para adolescentes y jóvenes SSAAJ. Se realizaron visitas a 4 IPS de 4 municipios para el seguimiento de la implementación curso de vida adolescentes. Se han realizado 4 talleres pedagógicos con estudiantes de 4 municipios para prevención y promoción de la salud sexual y reproductiva.</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</si>
  <si>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Se han realizado talleres pedagógicos en 4 municipios del Quindío para la prevención de embarazo en la adolescencia y de infecciones de transmisión sexual. Se han visitado 11 IPS de 11 municipios realizando seguimiento de la calidad en la implementación de los servicios de salud amigables para adolescentes y jóvenes SSAAJ. Se realizaron visitas a 4 IPS de 4 municipios para el seguimiento de la implementación curso de vida adolescentes . Se han realizado 4 talleres pedagógicos con estudiantes de 4 municipios para prevención y promoción de la salud sexual y reproductiva.
</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</si>
  <si>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el Municipio cuenta con tres escuelas de formación deportiva, adicionalmente se realiza de forma constante campeonatos de fútbol y de micro fútbol y la escuela de patinaje realiza festivales a nivel municipal y en ocasiones también los realizan involucrando otras escuelas del departamento.</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5.000 jóvenes impactados a través de vías activas y saludables, festivales, clases monitoreadas, campeonatos de la categoría.
</t>
    </r>
    <r>
      <rPr>
        <b/>
        <sz val="10"/>
        <color theme="1"/>
        <rFont val="Calibri"/>
        <family val="2"/>
        <scheme val="minor"/>
      </rPr>
      <t>Alcaldía de Pijao:</t>
    </r>
    <r>
      <rPr>
        <sz val="10"/>
        <color theme="1"/>
        <rFont val="Calibri"/>
        <family val="2"/>
        <scheme val="minor"/>
      </rPr>
      <t xml:space="preserve"> Entrenamientos permanentes con las escuelas deportivas, actividades recreativas con el colegio la mariela (rural), apoyo actividades eninstituciones educativas urbanas en los interclases.</t>
    </r>
    <r>
      <rPr>
        <b/>
        <sz val="10"/>
        <color theme="1"/>
        <rFont val="Calibri"/>
        <family val="2"/>
        <scheme val="minor"/>
      </rPr>
      <t xml:space="preserve">
Alcaldía de Calarcá: </t>
    </r>
    <r>
      <rPr>
        <sz val="10"/>
        <color theme="1"/>
        <rFont val="Calibri"/>
        <family val="2"/>
        <scheme val="minor"/>
      </rPr>
      <t xml:space="preserve">Se realizaron adecuaciones locativas en el parque Alto del Río para mejorar las condiciones del mismo e Incentivos para otorgar apoyo a los deportistas destacados que representan el municipio en competencias de orden departamental o nacional.
</t>
    </r>
    <r>
      <rPr>
        <b/>
        <sz val="10"/>
        <color theme="1"/>
        <rFont val="Calibri"/>
        <family val="2"/>
        <scheme val="minor"/>
      </rPr>
      <t xml:space="preserve">Alcaldía Córdoba: </t>
    </r>
    <r>
      <rPr>
        <sz val="10"/>
        <color theme="1"/>
        <rFont val="Calibri"/>
        <family val="2"/>
        <scheme val="minor"/>
      </rPr>
      <t xml:space="preserve">se cuenta con las  escuelas de formación deportiva en natación, patinaje y el centro de alto rendimiento gimnasio: NATACIÓN: 38 deportistas entre los 4 a 15 años. PATINAJE: 25 deportistas entre los 4 a 15 años GIMNASIO: 83 deportistas entre los 13 a 65 años.  La información no puede ser socializada en porcentaje (%) por el municipio.          </t>
    </r>
    <r>
      <rPr>
        <b/>
        <sz val="10"/>
        <color theme="1"/>
        <rFont val="Calibri"/>
        <family val="2"/>
        <scheme val="minor"/>
      </rPr>
      <t xml:space="preserve">
INDEPORTES:</t>
    </r>
    <r>
      <rPr>
        <sz val="10"/>
        <color theme="1"/>
        <rFont val="Calibri"/>
        <family val="2"/>
        <scheme val="minor"/>
      </rPr>
      <t xml:space="preserve"> 170 jóvenes atendidos con el Servicio de promoción de la actividad física, la recreación y el deporte, mediante Hábitos y Estilos de Vida Saludable, Acompañamiento a Grupos de Campistas Juveniles y recreación.
</t>
    </r>
  </si>
  <si>
    <r>
      <rPr>
        <b/>
        <sz val="10"/>
        <color theme="1"/>
        <rFont val="Calibri"/>
        <family val="2"/>
        <scheme val="minor"/>
      </rPr>
      <t>Secretaría de Salud:</t>
    </r>
    <r>
      <rPr>
        <sz val="10"/>
        <color theme="1"/>
        <rFont val="Calibri"/>
        <family val="2"/>
        <scheme val="minor"/>
      </rPr>
      <t xml:space="preserve">  Se han realizado talleres pedagógicos en 4 municipios del Quindío para la prevención de embarazo en la adolescencia y de infecciones de transmisión sexual. Se han Visitado 11 IPS de 11 municipios realizando seguimiento de la calidad en la implementación de los servicios de salud amigables para adolescentes y jóvenes SSAAJ. Se realizaron visitas a 4 IPS de 4 municipios para el seguimiento de la implementación curso de vida adolescentes . Se han realizado 4 talleres pedagógicos con estudiantes de 4 municipios para prevención y promoción de la salud sexual y reproductiva.</t>
    </r>
  </si>
  <si>
    <r>
      <rPr>
        <b/>
        <sz val="10"/>
        <color theme="1"/>
        <rFont val="Calibri"/>
        <family val="2"/>
        <scheme val="minor"/>
      </rPr>
      <t xml:space="preserve">Secretaría de Salud: </t>
    </r>
    <r>
      <rPr>
        <sz val="10"/>
        <color theme="1"/>
        <rFont val="Calibri"/>
        <family val="2"/>
        <scheme val="minor"/>
      </rPr>
      <t>Se realizan actividades como el seguimiento a la gestión del riesgo en los eventos violencia de género e intento de suicidio y otros trastornos mentales, en ese sentido se hace articulación con instituciones Prestadoras de Servicios de Salud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realiza generación de capacidad técnica con capacitaciones en temas de interés en salud mental como: primeros auxilios emocionales, comunicación de la noticia del suicidio enfocado a periodistas, asistencias técnicas a los planes locales en temas específicos del programa de salud mental.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t>
    </r>
  </si>
  <si>
    <r>
      <t xml:space="preserve">
</t>
    </r>
    <r>
      <rPr>
        <b/>
        <sz val="10"/>
        <color theme="1"/>
        <rFont val="Calibri"/>
        <family val="2"/>
        <scheme val="minor"/>
      </rPr>
      <t>Secretaría del Interior:</t>
    </r>
    <r>
      <rPr>
        <sz val="10"/>
        <color theme="1"/>
        <rFont val="Calibri"/>
        <family val="2"/>
        <scheme val="minor"/>
      </rPr>
      <t xml:space="preserve"> Acompañamiento y seguimiento en los municipios de Filandia, Córdoba, Montenegro y Quimbaya en la ejecución de los PISCC.
</t>
    </r>
    <r>
      <rPr>
        <b/>
        <sz val="10"/>
        <color theme="1"/>
        <rFont val="Calibri"/>
        <family val="2"/>
        <scheme val="minor"/>
      </rPr>
      <t>Policía Nacional</t>
    </r>
    <r>
      <rPr>
        <sz val="10"/>
        <color theme="1"/>
        <rFont val="Calibri"/>
        <family val="2"/>
        <scheme val="minor"/>
      </rPr>
      <t xml:space="preserve">: Nos encontramos dando aplicabilidad al programa de prevención  “Abre Tus Ojos” de la Direccion de Protección a la Infancia y Adolescencia, en el Departamento del Quindío teniendo en cuenta planes de trabajo internos.
</t>
    </r>
  </si>
  <si>
    <r>
      <rPr>
        <b/>
        <sz val="10"/>
        <color theme="1"/>
        <rFont val="Calibri"/>
        <family val="2"/>
        <scheme val="minor"/>
      </rPr>
      <t xml:space="preserve">Secretaría del Interior: </t>
    </r>
    <r>
      <rPr>
        <sz val="10"/>
        <color theme="1"/>
        <rFont val="Calibri"/>
        <family val="2"/>
        <scheme val="minor"/>
      </rPr>
      <t xml:space="preserve">La tasa actual es de 682 por cada 100 mil  jovenes según informe de página JUACO, 2019.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Comisaria de Familia Génova:</t>
    </r>
    <r>
      <rPr>
        <sz val="10"/>
        <color theme="1"/>
        <rFont val="Calibri"/>
        <family val="2"/>
        <scheme val="minor"/>
      </rPr>
      <t xml:space="preserve"> Las proyectadas de acuerdo a las actividades de los contratos (Contratista adscrita a la Inspección de Policia Municipal).
</t>
    </r>
    <r>
      <rPr>
        <b/>
        <sz val="10"/>
        <color theme="1"/>
        <rFont val="Calibri"/>
        <family val="2"/>
        <scheme val="minor"/>
      </rPr>
      <t xml:space="preserve">ICBF: </t>
    </r>
    <r>
      <rPr>
        <sz val="10"/>
        <color theme="1"/>
        <rFont val="Calibri"/>
        <family val="2"/>
        <scheme val="minor"/>
      </rPr>
      <t xml:space="preserve">Asitencias técnicas, acompañamiento en los comités municipales, divulgación ruta de convivencia escolar.
</t>
    </r>
    <r>
      <rPr>
        <b/>
        <sz val="10"/>
        <color theme="1"/>
        <rFont val="Calibri"/>
        <family val="2"/>
        <scheme val="minor"/>
      </rPr>
      <t>Alcaldía Montenegro:</t>
    </r>
    <r>
      <rPr>
        <sz val="10"/>
        <color theme="1"/>
        <rFont val="Calibri"/>
        <family val="2"/>
        <scheme val="minor"/>
      </rPr>
      <t xml:space="preserve"> Se realizan campañas en los diferentes barrios del municipio,  que permitan disminuir la violencia interpersonal, estrategias en conjunto con la policía para disminuir las riñas que se presentan en el municipio.
</t>
    </r>
    <r>
      <rPr>
        <b/>
        <sz val="10"/>
        <color theme="1"/>
        <rFont val="Calibri"/>
        <family val="2"/>
        <scheme val="minor"/>
      </rPr>
      <t xml:space="preserve">Alcaldía de Pijao: </t>
    </r>
    <r>
      <rPr>
        <sz val="10"/>
        <color theme="1"/>
        <rFont val="Calibri"/>
        <family val="2"/>
        <scheme val="minor"/>
      </rPr>
      <t>No cuenta con casos, no se adelanta ninguna acción.</t>
    </r>
  </si>
  <si>
    <r>
      <t xml:space="preserve">
</t>
    </r>
    <r>
      <rPr>
        <b/>
        <sz val="10"/>
        <color theme="1"/>
        <rFont val="Calibri"/>
        <family val="2"/>
        <scheme val="minor"/>
      </rPr>
      <t>Alcaldía Buenavista:</t>
    </r>
    <r>
      <rPr>
        <sz val="10"/>
        <color theme="1"/>
        <rFont val="Calibri"/>
        <family val="2"/>
        <scheme val="minor"/>
      </rPr>
      <t xml:space="preserve"> No cuenta con reportes a la fecha en este primer trimestre del año.
</t>
    </r>
    <r>
      <rPr>
        <b/>
        <sz val="10"/>
        <color theme="1"/>
        <rFont val="Calibri"/>
        <family val="2"/>
        <scheme val="minor"/>
      </rPr>
      <t xml:space="preserve">Alcaldía Montenegro: </t>
    </r>
    <r>
      <rPr>
        <sz val="10"/>
        <color theme="1"/>
        <rFont val="Calibri"/>
        <family val="2"/>
        <scheme val="minor"/>
      </rPr>
      <t xml:space="preserve">se han realizado consejos de seguridad, buscando estrategias para combatir y disminuir este delito y los demas que afectan la seguridad ciudadana de la comunidad montenegrina , desarrollando actividades como : comandos situacionales, con todos los organismos de seguridad.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Alcaldía de Pijao: </t>
    </r>
    <r>
      <rPr>
        <sz val="10"/>
        <color theme="1"/>
        <rFont val="Calibri"/>
        <family val="2"/>
        <scheme val="minor"/>
      </rPr>
      <t xml:space="preserve">No cuenta con casos, no se adelanta ninguna acción.
</t>
    </r>
    <r>
      <rPr>
        <b/>
        <sz val="10"/>
        <color theme="1"/>
        <rFont val="Calibri"/>
        <family val="2"/>
        <scheme val="minor"/>
      </rPr>
      <t xml:space="preserve">Secretaría de Familia: </t>
    </r>
    <r>
      <rPr>
        <sz val="10"/>
        <color theme="1"/>
        <rFont val="Calibri"/>
        <family val="2"/>
        <scheme val="minor"/>
      </rPr>
      <t xml:space="preserve">Desde la Jefatura de Juventud, se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</si>
  <si>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 Cada municipio tiene el plan integral de prevención de derechos humanos.    
</t>
    </r>
  </si>
  <si>
    <r>
      <t xml:space="preserve">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para el primer trimestre no se han realizado acciones pare este indicador, pero se ha adelantado el proceso de convenio por medio del PIC con el ESE San Roque que se encarga de estos proyectos ya que cuenta con el personal idóneo en materia de educación sexual.
</t>
    </r>
    <r>
      <rPr>
        <b/>
        <sz val="10"/>
        <color theme="1"/>
        <rFont val="Calibri"/>
        <family val="2"/>
        <scheme val="minor"/>
      </rPr>
      <t xml:space="preserve">Alcaldía de Montenegro: </t>
    </r>
    <r>
      <rPr>
        <sz val="10"/>
        <color theme="1"/>
        <rFont val="Calibri"/>
        <family val="2"/>
        <scheme val="minor"/>
      </rPr>
      <t xml:space="preserve">programas de prevención de embarazo en adolescente, enfermedades de transmisión sexual, temas de autoestima, autocuidado en todas las instituciones educativas.
</t>
    </r>
    <r>
      <rPr>
        <b/>
        <sz val="10"/>
        <color theme="1"/>
        <rFont val="Calibri"/>
        <family val="2"/>
        <scheme val="minor"/>
      </rPr>
      <t xml:space="preserve">Alcaldía de Pijao: </t>
    </r>
    <r>
      <rPr>
        <sz val="10"/>
        <color theme="1"/>
        <rFont val="Calibri"/>
        <family val="2"/>
        <scheme val="minor"/>
      </rPr>
      <t xml:space="preserve">Se llevó a cabo la proyección de la dimensión de salud sexual, derechos sexuales y reproductivos
</t>
    </r>
    <r>
      <rPr>
        <b/>
        <sz val="10"/>
        <color theme="1"/>
        <rFont val="Calibri"/>
        <family val="2"/>
        <scheme val="minor"/>
      </rPr>
      <t xml:space="preserve">Alcaldía de Calarcá: </t>
    </r>
    <r>
      <rPr>
        <sz val="10"/>
        <color theme="1"/>
        <rFont val="Calibri"/>
        <family val="2"/>
        <scheme val="minor"/>
      </rPr>
      <t xml:space="preserve">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 xml:space="preserve">Secretaría de Educación: </t>
    </r>
    <r>
      <rPr>
        <sz val="10"/>
        <color theme="1"/>
        <rFont val="Calibri"/>
        <family val="2"/>
        <scheme val="minor"/>
      </rPr>
      <t xml:space="preserve">* Cada Institución Educativa tiene dentro de sus objetivos misionales la ejecución de proyectos transversales en torno a educación sexual y construcción de ciudadanía (Gobierno Escolar) los cuales están planeados dentro de su plan de acción institucional y tienen ejecución dentro del año académico. 
* Emprende Líder: Establece la participación de los jóvenes de grados 10 y 11 en la construcción de ciudadanías conscientes para el desarrollo de territorios.  </t>
    </r>
  </si>
  <si>
    <r>
      <t xml:space="preserve">
</t>
    </r>
    <r>
      <rPr>
        <b/>
        <sz val="10"/>
        <color theme="1"/>
        <rFont val="Calibri"/>
        <family val="2"/>
        <scheme val="minor"/>
      </rPr>
      <t xml:space="preserve">Secretaría de Salud: </t>
    </r>
    <r>
      <rPr>
        <sz val="10"/>
        <color theme="1"/>
        <rFont val="Calibri"/>
        <family val="2"/>
        <scheme val="minor"/>
      </rPr>
      <t xml:space="preserve">visitas de seguimiento a las IPS, dando cumplimiento a las resoluciones 3280 mediante la garantía de seguimiento y verificación de acciones de promoción y prevención desde el programa de planificación familiar como etapa inicial hasta el puerperio, más las intervenciones de apoyo sobre la intervención voluntaria del embarazo definida por la corte constitucional bajo la sentencia C355 del 2006. Asistencia técnica en violencia sexual y violencia de género, supervisión y seguimiento a la ruta materno perinatal, ruta de violencia sexual y violencia de género, educación médica continuada a través del subcomité  de maternidad segura, asistencia técnica y supervisión del parto humanizado, asistencia sobre el plan de choque para la disminución de la mortalidad materna perinatal, asistencia técnica sobre IVE incluido la sentencia 055 2023, se realizó talleres de formación para las instituciones educativas sobre planificación familiar y enfermedades de transmisión sexual, asistencia técnica de los planes de intervenciones colectivas.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Las instituciones educativas del municipio, tiene el Proyecto Educativo Institucional PEI, en el cual abordan estos temas por medio de campañas o talleres, también debe la comisaria de familia se realizan campañas a nivel municipal, que involucran a las instituciones educativas.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al momento se registran 51 embarazos en adolescentes menores de 20 años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en Agentes en Derechos Sexuales y Reprouductivos Asistencia Téncia en temas de Prevención de Derechos Sexuales y Reproductivos 
Acompañamiento en los PESCC de las I.E del Departamento a demanda de las instituciones.
</t>
    </r>
    <r>
      <rPr>
        <b/>
        <sz val="10"/>
        <color theme="1"/>
        <rFont val="Calibri"/>
        <family val="2"/>
        <scheme val="minor"/>
      </rPr>
      <t xml:space="preserve">Alcaldía de Pijao: </t>
    </r>
    <r>
      <rPr>
        <sz val="10"/>
        <color theme="1"/>
        <rFont val="Calibri"/>
        <family val="2"/>
        <scheme val="minor"/>
      </rPr>
      <t xml:space="preserve">Se llevó a cabo la proyección de la dimensión de salud sexual, derechos sexuales y reproductivos.
</t>
    </r>
  </si>
  <si>
    <r>
      <rPr>
        <b/>
        <sz val="10"/>
        <color theme="1"/>
        <rFont val="Calibri"/>
        <family val="2"/>
        <scheme val="minor"/>
      </rPr>
      <t xml:space="preserve">Indeportes: </t>
    </r>
    <r>
      <rPr>
        <sz val="10"/>
        <color theme="1"/>
        <rFont val="Calibri"/>
        <family val="2"/>
        <scheme val="minor"/>
      </rPr>
      <t xml:space="preserve">1 deportista de la Liga de Atletismo del Quindío participó de Torneo en Sevilla-España.
</t>
    </r>
    <r>
      <rPr>
        <b/>
        <sz val="10"/>
        <color theme="1"/>
        <rFont val="Calibri"/>
        <family val="2"/>
        <scheme val="minor"/>
      </rPr>
      <t>Alcaldía de Filandia:</t>
    </r>
    <r>
      <rPr>
        <sz val="10"/>
        <color theme="1"/>
        <rFont val="Calibri"/>
        <family val="2"/>
        <scheme val="minor"/>
      </rPr>
      <t xml:space="preserve"> 1 joven.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r>
      <rPr>
        <b/>
        <sz val="10"/>
        <color theme="1"/>
        <rFont val="Calibri"/>
        <family val="2"/>
        <scheme val="minor"/>
      </rPr>
      <t>Alcaldía Córdoba:</t>
    </r>
    <r>
      <rPr>
        <sz val="10"/>
        <color theme="1"/>
        <rFont val="Calibri"/>
        <family val="2"/>
        <scheme val="minor"/>
      </rPr>
      <t xml:space="preserve"> se cuenta con las escuelas de formacion deportiva y el centro de alto rendimiento gimnasio, en donde los jóvenes realizan actividad física.  
</t>
    </r>
    <r>
      <rPr>
        <b/>
        <sz val="10"/>
        <color theme="1"/>
        <rFont val="Calibri"/>
        <family val="2"/>
        <scheme val="minor"/>
      </rPr>
      <t xml:space="preserve">Alcaldía Salento: </t>
    </r>
    <r>
      <rPr>
        <sz val="10"/>
        <color theme="1"/>
        <rFont val="Calibri"/>
        <family val="2"/>
        <scheme val="minor"/>
      </rPr>
      <t xml:space="preserve">Sostenimiento de los programas de atención psicosocial establecidos en el municipio.
</t>
    </r>
    <r>
      <rPr>
        <b/>
        <sz val="10"/>
        <color theme="1"/>
        <rFont val="Calibri"/>
        <family val="2"/>
        <scheme val="minor"/>
      </rPr>
      <t xml:space="preserve">Alcaldía de pijao: </t>
    </r>
    <r>
      <rPr>
        <sz val="10"/>
        <color theme="1"/>
        <rFont val="Calibri"/>
        <family val="2"/>
        <scheme val="minor"/>
      </rPr>
      <t xml:space="preserve">DANIEL VACA atletismo, segundo en los juegos departamentales. Selección juvenil de fútbol, segundo a nivel departamental, selección de fútbol de salon segundos a nivel departamental; baloncesto juvenil tercera a nivel departamental, selección de baloncesto femenina segunda a nivel departamental.
</t>
    </r>
  </si>
  <si>
    <r>
      <rPr>
        <b/>
        <sz val="10"/>
        <color theme="1"/>
        <rFont val="Calibri"/>
        <family val="2"/>
        <scheme val="minor"/>
      </rPr>
      <t xml:space="preserve">Indeportes: </t>
    </r>
    <r>
      <rPr>
        <sz val="10"/>
        <color theme="1"/>
        <rFont val="Calibri"/>
        <family val="2"/>
        <scheme val="minor"/>
      </rPr>
      <t>51 deportistas de alto rendimiento apoyados en la preparación para Juegos Nacionales y Paranacionales 2023.</t>
    </r>
  </si>
  <si>
    <r>
      <rPr>
        <b/>
        <sz val="10"/>
        <color theme="1"/>
        <rFont val="Calibri"/>
        <family val="2"/>
        <scheme val="minor"/>
      </rPr>
      <t>Indeportes:</t>
    </r>
    <r>
      <rPr>
        <sz val="10"/>
        <color theme="1"/>
        <rFont val="Calibri"/>
        <family val="2"/>
        <scheme val="minor"/>
      </rPr>
      <t xml:space="preserve"> 20 deportistas jóvenes de alto rendimiento apoyados económicamente de manera mensual.</t>
    </r>
  </si>
  <si>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Buenavista: </t>
    </r>
    <r>
      <rPr>
        <sz val="10"/>
        <color theme="1"/>
        <rFont val="Calibri"/>
        <family val="2"/>
        <scheme val="minor"/>
      </rPr>
      <t xml:space="preserve"> el Municipio cuenta con grupo de 30 adultos que trabajan de manera semanal aeróbicos y otro grupo de adultos que trabajan de 20 adultos que trabajan actividad física moderada y se cuenta con dos grupos de 60 adultos mayores que trabajan actividad fisica moderada de manera mensual.
</t>
    </r>
    <r>
      <rPr>
        <b/>
        <sz val="10"/>
        <color theme="1"/>
        <rFont val="Calibri"/>
        <family val="2"/>
        <scheme val="minor"/>
      </rPr>
      <t>Alcaldía Córdoba:</t>
    </r>
    <r>
      <rPr>
        <sz val="10"/>
        <color theme="1"/>
        <rFont val="Calibri"/>
        <family val="2"/>
        <scheme val="minor"/>
      </rPr>
      <t xml:space="preserve"> Por medio de las escuelas de formación deportiva participan en las actividades físicas un total de 146 personas.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vías activas y saludables, festivales, clases monitoreadas, campeonatos de la categoría 10%
</t>
    </r>
    <r>
      <rPr>
        <b/>
        <sz val="10"/>
        <color theme="1"/>
        <rFont val="Calibri"/>
        <family val="2"/>
        <scheme val="minor"/>
      </rPr>
      <t>Alcaldía Quimbaya:</t>
    </r>
    <r>
      <rPr>
        <sz val="10"/>
        <color theme="1"/>
        <rFont val="Calibri"/>
        <family val="2"/>
        <scheme val="minor"/>
      </rPr>
      <t xml:space="preserve"> A la fecha de corte del presente trimestre no se aportó la información que de cuenta de este indicador. 
</t>
    </r>
    <r>
      <rPr>
        <b/>
        <sz val="10"/>
        <color theme="1"/>
        <rFont val="Calibri"/>
        <family val="2"/>
        <scheme val="minor"/>
      </rPr>
      <t xml:space="preserve">Alcaldía de Filandia: </t>
    </r>
    <r>
      <rPr>
        <sz val="10"/>
        <color theme="1"/>
        <rFont val="Calibri"/>
        <family val="2"/>
        <scheme val="minor"/>
      </rPr>
      <t xml:space="preserve">230 menores.
</t>
    </r>
    <r>
      <rPr>
        <b/>
        <sz val="10"/>
        <color theme="1"/>
        <rFont val="Calibri"/>
        <family val="2"/>
        <scheme val="minor"/>
      </rPr>
      <t xml:space="preserve">Alcaldía de Pijao: </t>
    </r>
    <r>
      <rPr>
        <sz val="10"/>
        <color theme="1"/>
        <rFont val="Calibri"/>
        <family val="2"/>
        <scheme val="minor"/>
      </rPr>
      <t xml:space="preserve"> entrenamiento diarios de escuelas deportivas a nivel urbano y rural.
</t>
    </r>
    <r>
      <rPr>
        <b/>
        <sz val="10"/>
        <color theme="1"/>
        <rFont val="Calibri"/>
        <family val="2"/>
        <scheme val="minor"/>
      </rPr>
      <t>Indeportes:</t>
    </r>
    <r>
      <rPr>
        <sz val="10"/>
        <color theme="1"/>
        <rFont val="Calibri"/>
        <family val="2"/>
        <scheme val="minor"/>
      </rPr>
      <t xml:space="preserve"> 51 deportistas jóvenes que invierten como mínimo 60 minutos diarios en actividad física con intensidad moderada a vigorosa.
</t>
    </r>
    <r>
      <rPr>
        <b/>
        <sz val="10"/>
        <color theme="1"/>
        <rFont val="Calibri"/>
        <family val="2"/>
        <scheme val="minor"/>
      </rPr>
      <t>Universidad del Quindío:</t>
    </r>
    <r>
      <rPr>
        <sz val="10"/>
        <color theme="1"/>
        <rFont val="Calibri"/>
        <family val="2"/>
        <scheme val="minor"/>
      </rPr>
      <t xml:space="preserve">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 xml:space="preserve">Universidad San  Buenaventura: </t>
    </r>
    <r>
      <rPr>
        <sz val="10"/>
        <color theme="1"/>
        <rFont val="Calibri"/>
        <family val="2"/>
        <scheme val="minor"/>
      </rPr>
      <t xml:space="preserve">En la universidad de San Buenaventura,103 de 122 estudiantes, entre las edades de 19 a 27 años, practican actividad física de 60 minutos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</si>
  <si>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
Se beneficiaron: 11693 Personas 79% Por encima de la línea de base de 6500 beneficiados.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70 adultos.</t>
    </r>
    <r>
      <rPr>
        <b/>
        <sz val="10"/>
        <color theme="1"/>
        <rFont val="Calibri"/>
        <family val="2"/>
        <scheme val="minor"/>
      </rPr>
      <t xml:space="preserve">
Alcaldía de Salento: </t>
    </r>
    <r>
      <rPr>
        <sz val="10"/>
        <color theme="1"/>
        <rFont val="Calibri"/>
        <family val="2"/>
        <scheme val="minor"/>
      </rPr>
      <t xml:space="preserve">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Programa recreativo para adolescencia y juventud y programa recreativo y fitness.</t>
    </r>
    <r>
      <rPr>
        <b/>
        <sz val="10"/>
        <color theme="1"/>
        <rFont val="Calibri"/>
        <family val="2"/>
        <scheme val="minor"/>
      </rPr>
      <t xml:space="preserve">
Alcaldía de Montenegro: </t>
    </r>
    <r>
      <rPr>
        <sz val="10"/>
        <color theme="1"/>
        <rFont val="Calibri"/>
        <family val="2"/>
        <scheme val="minor"/>
      </rPr>
      <t>250 personas dedicadas  a la actividad física acompañamiento de monitoreos y de actividad física</t>
    </r>
    <r>
      <rPr>
        <b/>
        <sz val="10"/>
        <color theme="1"/>
        <rFont val="Calibri"/>
        <family val="2"/>
        <scheme val="minor"/>
      </rPr>
      <t xml:space="preserve">
Alcaldía Filandia: </t>
    </r>
    <r>
      <rPr>
        <sz val="10"/>
        <color theme="1"/>
        <rFont val="Calibri"/>
        <family val="2"/>
        <scheme val="minor"/>
      </rPr>
      <t xml:space="preserve">270 adultos
</t>
    </r>
    <r>
      <rPr>
        <b/>
        <sz val="10"/>
        <color theme="1"/>
        <rFont val="Calibri"/>
        <family val="2"/>
        <scheme val="minor"/>
      </rPr>
      <t xml:space="preserve">Alcaldia de pijao:  </t>
    </r>
    <r>
      <rPr>
        <sz val="10"/>
        <color theme="1"/>
        <rFont val="Calibri"/>
        <family val="2"/>
        <scheme val="minor"/>
      </rPr>
      <t>120 adultos en los diferentes equipos participantes</t>
    </r>
    <r>
      <rPr>
        <b/>
        <sz val="10"/>
        <color theme="1"/>
        <rFont val="Calibri"/>
        <family val="2"/>
        <scheme val="minor"/>
      </rPr>
      <t xml:space="preserve">
Alcaldía de Buenavista: </t>
    </r>
    <r>
      <rPr>
        <sz val="10"/>
        <color theme="1"/>
        <rFont val="Calibri"/>
        <family val="2"/>
        <scheme val="minor"/>
      </rPr>
      <t>El municipio cuenta con grupo de 30 adultos que trabajan de manera semanal aeróbicos y otro grupo de adultos que trabajan de 20 adultos que trabajan actividad física moderada y se cuenta con dos grupos de 60 adultos mayores que trabajan actividad física moderada de manera mensual.</t>
    </r>
    <r>
      <rPr>
        <b/>
        <sz val="10"/>
        <color theme="1"/>
        <rFont val="Calibri"/>
        <family val="2"/>
        <scheme val="minor"/>
      </rPr>
      <t xml:space="preserve">
Alcaldía Córdoba: </t>
    </r>
    <r>
      <rPr>
        <sz val="10"/>
        <color theme="1"/>
        <rFont val="Calibri"/>
        <family val="2"/>
        <scheme val="minor"/>
      </rPr>
      <t xml:space="preserve">Se realizan actividades recreativas, rumba terapias y actividad física con los adultos internos y externos pertenecientes al CBA Hogar Adulto Mayor Humberto López Vázquez, también con los dos grupos de adulto mayor del municipio Amor y vida y Vida Activa. 
La información no puede ser socializada en porcentaje (%) por el municipio.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
Universidad EAM: </t>
    </r>
    <r>
      <rPr>
        <sz val="10"/>
        <color theme="1"/>
        <rFont val="Calibri"/>
        <family val="2"/>
        <scheme val="minor"/>
      </rPr>
      <t>92 personas en promedio por mes.</t>
    </r>
    <r>
      <rPr>
        <b/>
        <sz val="10"/>
        <color theme="1"/>
        <rFont val="Calibri"/>
        <family val="2"/>
        <scheme val="minor"/>
      </rPr>
      <t xml:space="preserve">
Universidad la Gran Colombia: </t>
    </r>
    <r>
      <rPr>
        <sz val="10"/>
        <color theme="1"/>
        <rFont val="Calibri"/>
        <family val="2"/>
        <scheme val="minor"/>
      </rPr>
      <t xml:space="preserve">La UGCA no realizó actividades de promoción de la actividad física con entornos comunitarios.
</t>
    </r>
    <r>
      <rPr>
        <b/>
        <sz val="10"/>
        <color theme="1"/>
        <rFont val="Calibri"/>
        <family val="2"/>
        <scheme val="minor"/>
      </rPr>
      <t xml:space="preserve">Universidad San Buenaventura: </t>
    </r>
    <r>
      <rPr>
        <sz val="10"/>
        <color theme="1"/>
        <rFont val="Calibri"/>
        <family val="2"/>
        <scheme val="minor"/>
      </rPr>
      <t xml:space="preserve">En la Universidad De San Buenaventura, 19 de 122 estudiantes, entre de las edades de 28 a 46 años,  practican entre 150 y 75 minutos de actividad física
</t>
    </r>
    <r>
      <rPr>
        <b/>
        <sz val="10"/>
        <color theme="1"/>
        <rFont val="Calibri"/>
        <family val="2"/>
        <scheme val="minor"/>
      </rPr>
      <t>Indeportes:</t>
    </r>
    <r>
      <rPr>
        <sz val="10"/>
        <color theme="1"/>
        <rFont val="Calibri"/>
        <family val="2"/>
        <scheme val="minor"/>
      </rPr>
      <t xml:space="preserve"> 358 adultos que  dedican como mínimo 150 minutos semanales a la práctica de actividad física aeróbica, de intensidad moderada, o bien 75 minutos de actividad física aeróbica vigorosa cada semana, o bien una combinación equivalente de actividades moderadas y vigorosas.</t>
    </r>
  </si>
  <si>
    <r>
      <t xml:space="preserve">Indeportes: </t>
    </r>
    <r>
      <rPr>
        <sz val="10"/>
        <color theme="1"/>
        <rFont val="Calibri"/>
        <family val="2"/>
        <scheme val="minor"/>
      </rPr>
      <t>11 modalidades de deporte no convencional apoyadas, en el primer trimestre 2023 con apoyo técnico y metodológico, y 1 con apoyo para realización de exámenes médicos especializados.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 xml:space="preserve">
Alcaldía Buenavista: E</t>
    </r>
    <r>
      <rPr>
        <sz val="10"/>
        <color theme="1"/>
        <rFont val="Calibri"/>
        <family val="2"/>
        <scheme val="minor"/>
      </rPr>
      <t>l municipio cuenta con un grupo de 10 jóvenes que asisten a campamentos juveniles, el cual es liderado por un contratista de la gobernación del Quindío.</t>
    </r>
    <r>
      <rPr>
        <b/>
        <sz val="10"/>
        <color theme="1"/>
        <rFont val="Calibri"/>
        <family val="2"/>
        <scheme val="minor"/>
      </rPr>
      <t xml:space="preserve">
Alcaldía Quimbaya: </t>
    </r>
    <r>
      <rPr>
        <sz val="10"/>
        <color theme="1"/>
        <rFont val="Calibri"/>
        <family val="2"/>
        <scheme val="minor"/>
      </rPr>
      <t xml:space="preserve">Actualmente se cuenta con escuela formativa de boxeo, tejo y BMX. 
</t>
    </r>
    <r>
      <rPr>
        <b/>
        <sz val="10"/>
        <color theme="1"/>
        <rFont val="Calibri"/>
        <family val="2"/>
        <scheme val="minor"/>
      </rPr>
      <t xml:space="preserve">Alcaldía Montenegro: </t>
    </r>
    <r>
      <rPr>
        <sz val="10"/>
        <color theme="1"/>
        <rFont val="Calibri"/>
        <family val="2"/>
        <scheme val="minor"/>
      </rPr>
      <t>4: skatepark, porrismo, gimnasia y hapkido</t>
    </r>
    <r>
      <rPr>
        <b/>
        <sz val="10"/>
        <color theme="1"/>
        <rFont val="Calibri"/>
        <family val="2"/>
        <scheme val="minor"/>
      </rPr>
      <t xml:space="preserve">
Alcaldia de pijao: </t>
    </r>
    <r>
      <rPr>
        <sz val="10"/>
        <color theme="1"/>
        <rFont val="Calibri"/>
        <family val="2"/>
        <scheme val="minor"/>
      </rPr>
      <t>natacion y patinaje</t>
    </r>
  </si>
  <si>
    <r>
      <rPr>
        <b/>
        <sz val="10"/>
        <color theme="1"/>
        <rFont val="Calibri"/>
        <family val="2"/>
        <scheme val="minor"/>
      </rPr>
      <t>Secretaría de Cultura:</t>
    </r>
    <r>
      <rPr>
        <sz val="10"/>
        <color theme="1"/>
        <rFont val="Calibri"/>
        <family val="2"/>
        <scheme val="minor"/>
      </rPr>
      <t xml:space="preserve"> En la casa de la cultura de Circasia  se participó con presentación de los trovadores en  la integración del consejo de Juventud. Acompañamiento en la asamblea de juventudes realizada en el recinto departamental.
show de trova en apoyo a la elección del personero estudiantil en la Institución Educativa Baudilio Montoya de Calarcá ,Temas: incentivar a una buena elección y a ejercer su derecho al voto.</t>
    </r>
  </si>
  <si>
    <r>
      <t xml:space="preserve">   
</t>
    </r>
    <r>
      <rPr>
        <b/>
        <sz val="10"/>
        <color theme="1"/>
        <rFont val="Calibri"/>
        <family val="2"/>
        <scheme val="minor"/>
      </rPr>
      <t xml:space="preserve">Secretaría de Cultura: </t>
    </r>
    <r>
      <rPr>
        <sz val="10"/>
        <color theme="1"/>
        <rFont val="Calibri"/>
        <family val="2"/>
        <scheme val="minor"/>
      </rPr>
      <t xml:space="preserve"> El 31 de Marzo se dio apertura a  la convocatoria de concertación y estímulos, cual da paso para la presentación de proyectos y propuestas culturales y desarrollarlas en todo el territorio Quindiano.  </t>
    </r>
  </si>
  <si>
    <r>
      <t xml:space="preserve">   
</t>
    </r>
    <r>
      <rPr>
        <b/>
        <sz val="10"/>
        <color theme="1"/>
        <rFont val="Calibri"/>
        <family val="2"/>
        <scheme val="minor"/>
      </rPr>
      <t>Secretaría de Cultura</t>
    </r>
    <r>
      <rPr>
        <sz val="10"/>
        <color theme="1"/>
        <rFont val="Calibri"/>
        <family val="2"/>
        <scheme val="minor"/>
      </rPr>
      <t>: 76 jóvenes fueron regsitrados en la plataforma soy cultura.</t>
    </r>
  </si>
  <si>
    <r>
      <rPr>
        <b/>
        <sz val="10"/>
        <color theme="1"/>
        <rFont val="Calibri"/>
        <family val="2"/>
        <scheme val="minor"/>
      </rPr>
      <t>Secretaría de Cultura:</t>
    </r>
    <r>
      <rPr>
        <sz val="10"/>
        <color theme="1"/>
        <rFont val="Calibri"/>
        <family val="2"/>
        <scheme val="minor"/>
      </rPr>
      <t xml:space="preserve"> Formación en las diferentes áreas como música , teatro, danza,  artes plásticas en los diferentes municipios de Quimbaya, Circasia, Armenia , Salento, Barcelona, contando con la participación de 228.
realización de talleres de trova en instituciones educativa Policarpa del municipio de Quimbaya  de los grados de 9-10-y 11 con una participación de 20 jóvenes.  taller de trova la institución educativa Sagrado corazón de Jesús del municipio de Quimbaya de los grados 4 y 5 con participación de 11 jóvenes.</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</si>
  <si>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La Univerisdad De San Buenaventura tiene las facultades de psicologia, arquitectura y licenciatura en eduacación infantil estan el proceso de desarollo en cursos, seminarios y diplomados para ofertar en eldepartamento del Quindio 
</t>
    </r>
    <r>
      <rPr>
        <b/>
        <sz val="10"/>
        <color theme="1"/>
        <rFont val="Calibri"/>
        <family val="2"/>
        <scheme val="minor"/>
      </rPr>
      <t>Universidad EAM:</t>
    </r>
    <r>
      <rPr>
        <sz val="10"/>
        <color theme="1"/>
        <rFont val="Calibri"/>
        <family val="2"/>
        <scheme val="minor"/>
      </rPr>
      <t xml:space="preserve"> 2 diplomados:Diplomado en pedagogía y Docencia 14 estudiantes.Diplomado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La secretaria del Interior no tiene acciones debido a que no tenemos competencia en esta meta.</t>
    </r>
    <r>
      <rPr>
        <b/>
        <sz val="10"/>
        <color theme="1"/>
        <rFont val="Calibri"/>
        <family val="2"/>
        <scheme val="minor"/>
      </rPr>
      <t xml:space="preserve">
ICBF: </t>
    </r>
    <r>
      <rPr>
        <sz val="10"/>
        <color theme="1"/>
        <rFont val="Calibri"/>
        <family val="2"/>
        <scheme val="minor"/>
      </rPr>
      <t xml:space="preserve">Formación en Agentes en Derechos Sexuales y Reprouductivos Asistencia Téncia en temas de Prevención de Derechos Sexuales y Reproductivos 
Acompañamiento en los PESCC de las I.E del Departamento a demanda de las instotuiones A la fecha se realizo la foirmación de 47 agentes de la meta para el 2023 de 95
</t>
    </r>
    <r>
      <rPr>
        <b/>
        <sz val="10"/>
        <color theme="1"/>
        <rFont val="Calibri"/>
        <family val="2"/>
        <scheme val="minor"/>
      </rPr>
      <t xml:space="preserve"> Secretaría de Educación: </t>
    </r>
    <r>
      <rPr>
        <sz val="10"/>
        <color theme="1"/>
        <rFont val="Calibri"/>
        <family val="2"/>
        <scheme val="minor"/>
      </rPr>
      <t>* Articulación de la Educación Media con el Servicio Nacional de Aprendizaje SENA en torno a la doble titulación de los estudiantes de grado 10 y 11, fortaleciendo el perfil productivo del territorio y creando una nueva generación de emprendedores jóvenes en el departamento del Quindío.
* Instituciones atendidas con programa de emrpendimiento de la Universidad del Quindío.</t>
    </r>
  </si>
  <si>
    <r>
      <rPr>
        <b/>
        <sz val="10"/>
        <color theme="1"/>
        <rFont val="Calibri"/>
        <family val="2"/>
        <scheme val="minor"/>
      </rPr>
      <t xml:space="preserve">Secretaría de Planeación: </t>
    </r>
    <r>
      <rPr>
        <sz val="10"/>
        <color theme="1"/>
        <rFont val="Calibri"/>
        <family val="2"/>
        <scheme val="minor"/>
      </rPr>
      <t xml:space="preserve">La secretaria de Planeación adelanta acciones a través del Comité de Aprestamiento para realizar la Rendición Pública de Cuentas de la Administración Departamental vigencia 2022, que se llevarà a cabo en el primer semestre del 2023. En cumplimiento de las  metas del  Plan de Desarrollo 2020-2023 , por medio de las diferentes líneas estratégicas ( Inclusión Social y Equidad, Productividad y Competitividad, Territorio, Ambiente y Desarrollo Sostenible y Liderazgo Gobernabilidad y Transparencia ,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primer trimestre 2023,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</si>
  <si>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Casa de la Juventud en funcionamiento, activa la oficina para el CMJ y Plataforma
</t>
    </r>
    <r>
      <rPr>
        <b/>
        <sz val="10"/>
        <color theme="1"/>
        <rFont val="Calibri"/>
        <family val="2"/>
        <scheme val="minor"/>
      </rPr>
      <t>Alcaldía de Buenavista: S</t>
    </r>
    <r>
      <rPr>
        <sz val="10"/>
        <color theme="1"/>
        <rFont val="Calibri"/>
        <family val="2"/>
        <scheme val="minor"/>
      </rPr>
      <t xml:space="preserve">e cuenta con una casa de juventud pero no esta funcionando.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Al momento existe un espacio asignado por la Alcaldía en el coliseo nuevo de la Aldea Suiza.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1 casa de la juventud funcionando.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no se cuenta con casa de la Juventud municipal, sin embargo se habilitaron las instalaciones de la casa de la cultura y el Honorable Concejo Municipal para la realizacion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</si>
  <si>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t>
    </r>
    <r>
      <rPr>
        <b/>
        <sz val="10"/>
        <color theme="1"/>
        <rFont val="Calibri"/>
        <family val="2"/>
        <scheme val="minor"/>
      </rPr>
      <t xml:space="preserve">
Alcaldía Buenavista: </t>
    </r>
    <r>
      <rPr>
        <sz val="10"/>
        <color theme="1"/>
        <rFont val="Calibri"/>
        <family val="2"/>
        <scheme val="minor"/>
      </rPr>
      <t>Se cuenta con un consejo de juventud funcionando y se posesionó por medio del decreto 007 del 11 enero del 2022.</t>
    </r>
    <r>
      <rPr>
        <b/>
        <sz val="10"/>
        <color theme="1"/>
        <rFont val="Calibri"/>
        <family val="2"/>
        <scheme val="minor"/>
      </rPr>
      <t xml:space="preserve"> 
Alcaldía Córdoba. </t>
    </r>
    <r>
      <rPr>
        <sz val="10"/>
        <color theme="1"/>
        <rFont val="Calibri"/>
        <family val="2"/>
        <scheme val="minor"/>
      </rPr>
      <t xml:space="preserve">Se cuenta con el consejo municipal de Juventud mediante Resolución Nº06 de enero 11 de 2022. El día 28 de febrero del 2023, realizó sesión ordinaria para la postulación y elección del delegado y/o representante al CDJ. El día 21 de marzo del 2023, realizó sesión ordinaria para la aprobación de la agenda municipal de juventud. 
</t>
    </r>
    <r>
      <rPr>
        <b/>
        <sz val="10"/>
        <color theme="1"/>
        <rFont val="Calibri"/>
        <family val="2"/>
        <scheme val="minor"/>
      </rPr>
      <t xml:space="preserve">Alcaldía Montenegro: </t>
    </r>
    <r>
      <rPr>
        <sz val="10"/>
        <color theme="1"/>
        <rFont val="Calibri"/>
        <family val="2"/>
        <scheme val="minor"/>
      </rPr>
      <t xml:space="preserve">al momento hay un consejo de juventud con 4 integrantes del partido MIRA funcionando activamente y que participaron de la creación de la agenda juvenil.
</t>
    </r>
    <r>
      <rPr>
        <b/>
        <sz val="10"/>
        <color theme="1"/>
        <rFont val="Calibri"/>
        <family val="2"/>
        <scheme val="minor"/>
      </rPr>
      <t>Alcaldía Quimbaya:</t>
    </r>
    <r>
      <rPr>
        <sz val="10"/>
        <color theme="1"/>
        <rFont val="Calibri"/>
        <family val="2"/>
        <scheme val="minor"/>
      </rPr>
      <t xml:space="preserve"> El CMJ se encuentra operando de manera autónoma.
</t>
    </r>
    <r>
      <rPr>
        <b/>
        <sz val="10"/>
        <color theme="1"/>
        <rFont val="Calibri"/>
        <family val="2"/>
        <scheme val="minor"/>
      </rPr>
      <t>Alcaldía de Pijao:</t>
    </r>
    <r>
      <rPr>
        <sz val="10"/>
        <color theme="1"/>
        <rFont val="Calibri"/>
        <family val="2"/>
        <scheme val="minor"/>
      </rPr>
      <t xml:space="preserve"> 1 Consejo de Juvetud funcionando. </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</si>
  <si>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Resolución Nº023 de13 de septiembre de 2022 de la personeria municipal. 
</t>
    </r>
    <r>
      <rPr>
        <b/>
        <sz val="10"/>
        <color theme="1"/>
        <rFont val="Calibri"/>
        <family val="2"/>
        <scheme val="minor"/>
      </rPr>
      <t>Alcaldía Filandia:</t>
    </r>
    <r>
      <rPr>
        <sz val="10"/>
        <color theme="1"/>
        <rFont val="Calibri"/>
        <family val="2"/>
        <scheme val="minor"/>
      </rPr>
      <t xml:space="preserve"> 1 en actualización de la línea base.
</t>
    </r>
    <r>
      <rPr>
        <b/>
        <sz val="10"/>
        <color theme="1"/>
        <rFont val="Calibri"/>
        <family val="2"/>
        <scheme val="minor"/>
      </rPr>
      <t>Alcaldía Buenavista:</t>
    </r>
    <r>
      <rPr>
        <sz val="10"/>
        <color theme="1"/>
        <rFont val="Calibri"/>
        <family val="2"/>
        <scheme val="minor"/>
      </rPr>
      <t xml:space="preserve"> se encuentra en proceso de ser actualizada.
</t>
    </r>
    <r>
      <rPr>
        <b/>
        <sz val="10"/>
        <color theme="1"/>
        <rFont val="Calibri"/>
        <family val="2"/>
        <scheme val="minor"/>
      </rPr>
      <t xml:space="preserve">Alcaldía Quimbaya: </t>
    </r>
    <r>
      <rPr>
        <sz val="10"/>
        <color theme="1"/>
        <rFont val="Calibri"/>
        <family val="2"/>
        <scheme val="minor"/>
      </rPr>
      <t xml:space="preserve">La Plataforma Municipal se encuentra funcionando normalmente. 
</t>
    </r>
    <r>
      <rPr>
        <b/>
        <sz val="10"/>
        <color theme="1"/>
        <rFont val="Calibri"/>
        <family val="2"/>
        <scheme val="minor"/>
      </rPr>
      <t>Alcaldía Montenegro:</t>
    </r>
    <r>
      <rPr>
        <sz val="10"/>
        <color theme="1"/>
        <rFont val="Calibri"/>
        <family val="2"/>
        <scheme val="minor"/>
      </rPr>
      <t xml:space="preserve"> al momento hay una Plataforma Juvenil funcionando activamente con 10 jóvenes que participaron de la creación de la agenda juvenil.</t>
    </r>
    <r>
      <rPr>
        <b/>
        <sz val="10"/>
        <color theme="1"/>
        <rFont val="Calibri"/>
        <family val="2"/>
        <scheme val="minor"/>
      </rPr>
      <t xml:space="preserve">
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está en proceso de actualización.
</t>
    </r>
    <r>
      <rPr>
        <b/>
        <sz val="10"/>
        <color theme="1"/>
        <rFont val="Calibri"/>
        <family val="2"/>
        <scheme val="minor"/>
      </rPr>
      <t>Alcaldía de Pijao</t>
    </r>
    <r>
      <rPr>
        <sz val="10"/>
        <color theme="1"/>
        <rFont val="Calibri"/>
        <family val="2"/>
        <scheme val="minor"/>
      </rPr>
      <t xml:space="preserve">: 1 Consejo de Juventud fundionando.
</t>
    </r>
    <r>
      <rPr>
        <b/>
        <sz val="10"/>
        <color theme="1"/>
        <rFont val="Calibri"/>
        <family val="2"/>
        <scheme val="minor"/>
      </rPr>
      <t xml:space="preserve">Alcaldía de Filandia: </t>
    </r>
    <r>
      <rPr>
        <sz val="10"/>
        <color theme="1"/>
        <rFont val="Calibri"/>
        <family val="2"/>
        <scheme val="minor"/>
      </rPr>
      <t>1 Consejo de Juventud operando.</t>
    </r>
  </si>
  <si>
    <r>
      <t xml:space="preserve">Secretaría de Familia: </t>
    </r>
    <r>
      <rPr>
        <sz val="10"/>
        <color theme="1"/>
        <rFont val="Calibri"/>
        <family val="2"/>
        <scheme val="minor"/>
      </rPr>
      <t>Reporta que los doce municipios del Quindío, han realizado las asambleas juveniles, conforme al estatuto de ciudadanía juvenil. Además se realizó de la asamblea de juventud  departamental en el recinto de la asamblea departamental en el mes de marzo de 2023.</t>
    </r>
    <r>
      <rPr>
        <b/>
        <sz val="10"/>
        <color theme="1"/>
        <rFont val="Calibri"/>
        <family val="2"/>
        <scheme val="minor"/>
      </rPr>
      <t xml:space="preserve">
Alcaldía de Buenavista: </t>
    </r>
    <r>
      <rPr>
        <sz val="10"/>
        <color theme="1"/>
        <rFont val="Calibri"/>
        <family val="2"/>
        <scheme val="minor"/>
      </rPr>
      <t>se encuentra en proceso de ser convocada.</t>
    </r>
    <r>
      <rPr>
        <b/>
        <sz val="10"/>
        <color theme="1"/>
        <rFont val="Calibri"/>
        <family val="2"/>
        <scheme val="minor"/>
      </rPr>
      <t xml:space="preserve">
Alcaldía de Salento: </t>
    </r>
    <r>
      <rPr>
        <sz val="10"/>
        <color theme="1"/>
        <rFont val="Calibri"/>
        <family val="2"/>
        <scheme val="minor"/>
      </rPr>
      <t>Hasta la fecha se han realizado una Asamblea Municipal de Juventud, el día 8 de Febrero.</t>
    </r>
    <r>
      <rPr>
        <b/>
        <sz val="10"/>
        <color theme="1"/>
        <rFont val="Calibri"/>
        <family val="2"/>
        <scheme val="minor"/>
      </rPr>
      <t xml:space="preserve">
Alcaldía Quimbaya: </t>
    </r>
    <r>
      <rPr>
        <sz val="10"/>
        <color theme="1"/>
        <rFont val="Calibri"/>
        <family val="2"/>
        <scheme val="minor"/>
      </rPr>
      <t xml:space="preserve">Durante la vigencia el CMJ no ha convocado a la asamblea municipal de juventud. </t>
    </r>
    <r>
      <rPr>
        <b/>
        <sz val="10"/>
        <color theme="1"/>
        <rFont val="Calibri"/>
        <family val="2"/>
        <scheme val="minor"/>
      </rPr>
      <t xml:space="preserve">
Alcaldía Montenegro: </t>
    </r>
    <r>
      <rPr>
        <sz val="10"/>
        <color theme="1"/>
        <rFont val="Calibri"/>
        <family val="2"/>
        <scheme val="minor"/>
      </rPr>
      <t>al momento no se ha realizado la primera asamblea juvenil del presente año.</t>
    </r>
    <r>
      <rPr>
        <b/>
        <sz val="10"/>
        <color theme="1"/>
        <rFont val="Calibri"/>
        <family val="2"/>
        <scheme val="minor"/>
      </rPr>
      <t xml:space="preserve">
Alcaldía de Pijao: </t>
    </r>
    <r>
      <rPr>
        <sz val="10"/>
        <color theme="1"/>
        <rFont val="Calibri"/>
        <family val="2"/>
        <scheme val="minor"/>
      </rPr>
      <t>No se han realizado Asambleas de Juventud en este periodo.</t>
    </r>
  </si>
  <si>
    <r>
      <rPr>
        <b/>
        <sz val="10"/>
        <color theme="1"/>
        <rFont val="Calibri"/>
        <family val="2"/>
        <scheme val="minor"/>
      </rPr>
      <t>OBSERVACIONES:</t>
    </r>
    <r>
      <rPr>
        <sz val="10"/>
        <color theme="1"/>
        <rFont val="Calibri"/>
        <family val="2"/>
        <scheme val="minor"/>
      </rPr>
      <t xml:space="preserve"> Segun el último reporte por el Reporte de la Gran Encuesta Integrada de Hogares-DANE; La tasa de trabajo infantil es del 3 % y la tasa de trabajo infantil ampliado es del 5,3 %.
</t>
    </r>
    <r>
      <rPr>
        <b/>
        <sz val="10"/>
        <color theme="1"/>
        <rFont val="Calibri"/>
        <family val="2"/>
        <scheme val="minor"/>
      </rPr>
      <t xml:space="preserve">Secretaría de Familia: </t>
    </r>
    <r>
      <rPr>
        <sz val="10"/>
        <color theme="1"/>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 campañas y movilizaciones sociales
*Remisiones autoridades administrativas competenetes para restableciminto de derecho.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r>
      <rPr>
        <b/>
        <sz val="10"/>
        <color theme="1"/>
        <rFont val="Calibri"/>
        <family val="2"/>
        <scheme val="minor"/>
      </rPr>
      <t>Alcaldía Quimbaya:</t>
    </r>
    <r>
      <rPr>
        <sz val="10"/>
        <color theme="1"/>
        <rFont val="Calibri"/>
        <family val="2"/>
        <scheme val="minor"/>
      </rPr>
      <t xml:space="preserve"> El municipio no cuenta con esta información en tasa. 
</t>
    </r>
    <r>
      <rPr>
        <b/>
        <sz val="10"/>
        <color theme="1"/>
        <rFont val="Calibri"/>
        <family val="2"/>
        <scheme val="minor"/>
      </rPr>
      <t>Alcaldía Buenavista:</t>
    </r>
    <r>
      <rPr>
        <sz val="10"/>
        <color theme="1"/>
        <rFont val="Calibri"/>
        <family val="2"/>
        <scheme val="minor"/>
      </rPr>
      <t xml:space="preserve"> No cuenta con reportes de trabajo infantil, no obstante se realizan campañas para prevenir esta problemática.
</t>
    </r>
    <r>
      <rPr>
        <b/>
        <sz val="10"/>
        <color theme="1"/>
        <rFont val="Calibri"/>
        <family val="2"/>
        <scheme val="minor"/>
      </rPr>
      <t xml:space="preserve">Alcaldía Montenegro: </t>
    </r>
    <r>
      <rPr>
        <sz val="10"/>
        <color theme="1"/>
        <rFont val="Calibri"/>
        <family val="2"/>
        <scheme val="minor"/>
      </rPr>
      <t xml:space="preserve">Campañas en las instituciones educativas y en la poblacion en general con el fin de disminuir la taza de trabajo infantil.
</t>
    </r>
    <r>
      <rPr>
        <b/>
        <sz val="10"/>
        <color theme="1"/>
        <rFont val="Calibri"/>
        <family val="2"/>
        <scheme val="minor"/>
      </rPr>
      <t xml:space="preserve">Alcaldía Salento: </t>
    </r>
    <r>
      <rPr>
        <sz val="10"/>
        <color theme="1"/>
        <rFont val="Calibri"/>
        <family val="2"/>
        <scheme val="minor"/>
      </rPr>
      <t xml:space="preserve">Campañas de sensibilización entorno a la prevención del trabajo infantil en los establecimientos de servicios turísticos.
</t>
    </r>
    <r>
      <rPr>
        <b/>
        <sz val="10"/>
        <color theme="1"/>
        <rFont val="Calibri"/>
        <family val="2"/>
        <scheme val="minor"/>
      </rPr>
      <t>Alcaldía de Pijao</t>
    </r>
    <r>
      <rPr>
        <sz val="10"/>
        <color theme="1"/>
        <rFont val="Calibri"/>
        <family val="2"/>
        <scheme val="minor"/>
      </rPr>
      <t xml:space="preserve">: Comité de radicación del trabajo infantil implementado  bajo el decreto 021 de 01/08/2016. No se presentan casos.
</t>
    </r>
  </si>
  <si>
    <r>
      <rPr>
        <b/>
        <sz val="10"/>
        <color theme="1"/>
        <rFont val="Calibri"/>
        <family val="2"/>
        <scheme val="minor"/>
      </rPr>
      <t xml:space="preserve">Secretaría de familia: </t>
    </r>
    <r>
      <rPr>
        <sz val="10"/>
        <color theme="1"/>
        <rFont val="Calibri"/>
        <family val="2"/>
        <scheme val="minor"/>
      </rPr>
      <t xml:space="preserve">La información reportada por los actores responsables no es la adecuada para medir el indicador en porcentaje.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Secretaría de Turismo Industria y Comercio: </t>
    </r>
    <r>
      <rPr>
        <sz val="10"/>
        <color theme="1"/>
        <rFont val="Calibri"/>
        <family val="2"/>
        <scheme val="minor"/>
      </rPr>
      <t xml:space="preserve">Para la promoción de emprendimiento de jóvenes de origen rural o étnico, se realizaron las siguientes acciones:  Se realizaron  acercamiento con el gobernador de la comunidad Embera Chamí del municipio de Córdoba Quindío identificando lo siguiente:
1. Se identificó un total de 25 Jóvenes entre  los 18 a 28 años de un total de 110 que integran la comunidad; equivalente al 22,7% 2. 0% de jóvenes que participan en proyectos de innovación y emprendimiento fomentado por el sector público o demás instituciones. NOTA: El representante de la comunidad, manifestó posibles emprendimientos relacionados con el sector agropecuario (Café y plátano); Pero, según la versión del gobernador, los mismos tienen bajo  impacto en la comunidad y el desarrollo del territorio.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 xml:space="preserve">Secretaría de Educación: </t>
    </r>
    <r>
      <rPr>
        <sz val="10"/>
        <color theme="1"/>
        <rFont val="Calibri"/>
        <family val="2"/>
        <scheme val="minor"/>
      </rPr>
      <t xml:space="preserve">* Ejecución de estrategias para cumplimiento de etapa productiva dentro del programa de doble tituclación con el SENA. Ideas de negocio por cada estudiante aspirante a la titulación de Técnico laboral. De acuerdo a la acción 730 jóvenes de los cuales 7 pertenecen a población indigena ubicada en zona rural, 18 población indígena ubicada en la zona urbana y 705 referenciados en la población mayoritaria.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</si>
  <si>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Porcentaje de Ideas de Negocio que reciben estimulo financiero. La Secretaría de Turismo, Industria y Comercio ejecuta el proyecto de inversión "Fortalecimiento del ecosistema de emprendimiento mediante el acompañamiento técnico y servicio de apoyo financiero para emprendedores en el Departamento del Quindío." CÓDIGO BPPIN: 2021003630014, financiado con recursos del Sistema General de Regalías (SGR), a través del cual se darán dieciocho (18) apoyos financieros para la creación de empresas en el marco de la DHESIÓN No. 0005 AL CONTRATO INTERADMINISTRATIVO No. CO1.PCCNTR.3451677 de 2022, SUSCRITO ENTRE EL SERVICIO NACIONAL DE APRENDIZAJE (SENA), LA UNIVERSIDAD DISTRITAL FRANCISCO JOSÉ DE CALDAS (UDFJC) Y EL DEPARTAMENTO DEL QUINDÍO. Los aportes para cada plan de negocios, será hasta de ochenta millones de pesos ($ 80.000.000), y las convocatorias para el Departamento del Quindío se abrirán a partir del 24 de marzo de 2023.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San Buenaventura:</t>
    </r>
    <r>
      <rPr>
        <sz val="10"/>
        <color theme="1"/>
        <rFont val="Calibri"/>
        <family val="2"/>
        <scheme val="minor"/>
      </rPr>
      <t xml:space="preserve"> Programa de Becas y/o descuentos: La Universidad de San Buenaventura cada semestre cuenta con el programa de Becas y/o descuentos donde se otorga descuentos a estudiantes de egresados de colegios bachillerato que cumplen con los requisitos exigidos por la Resolución de Rectoría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víctimas de conflicto armado y comunidades indígenas y también a egresados de instituciones que tienen convenio con la Universidad.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No hay actividades planeadas sobre el tema para mención para este periodo de tiempo.
</t>
    </r>
    <r>
      <rPr>
        <b/>
        <sz val="10"/>
        <color theme="1"/>
        <rFont val="Calibri"/>
        <family val="2"/>
        <scheme val="minor"/>
      </rPr>
      <t xml:space="preserve">Secretaría de familia: </t>
    </r>
    <r>
      <rPr>
        <sz val="10"/>
        <color theme="1"/>
        <rFont val="Calibri"/>
        <family val="2"/>
        <scheme val="minor"/>
      </rPr>
      <t xml:space="preserve">La información reportada por los actores responsables no es la adecuada para medir el indicador en porcentaje.
</t>
    </r>
  </si>
  <si>
    <r>
      <rPr>
        <b/>
        <sz val="10"/>
        <color theme="1"/>
        <rFont val="Calibri"/>
        <family val="2"/>
        <scheme val="minor"/>
      </rPr>
      <t xml:space="preserve">Secretaría de familia: </t>
    </r>
    <r>
      <rPr>
        <sz val="10"/>
        <color theme="1"/>
        <rFont val="Calibri"/>
        <family val="2"/>
        <scheme val="minor"/>
      </rPr>
      <t xml:space="preserve">La tasa de cobertura básica secundaria reportadda por el ministerio de educación corresponde al 63,34 %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Desde las I.E se realiza la oferta a los 11 municipios no certificados y es aprobada por la Secretaria Departamental y el MEN. 
</t>
    </r>
    <r>
      <rPr>
        <b/>
        <sz val="10"/>
        <color theme="1"/>
        <rFont val="Calibri"/>
        <family val="2"/>
        <scheme val="minor"/>
      </rPr>
      <t>Alcaldía Córdoba:</t>
    </r>
    <r>
      <rPr>
        <sz val="10"/>
        <color theme="1"/>
        <rFont val="Calibri"/>
        <family val="2"/>
        <scheme val="minor"/>
      </rPr>
      <t xml:space="preserve"> Garantizó la atención con estrategias de permanencia ( PAE - Programa de Alimentacion Escolar y transorte escolar) a los estudiantes que cumplen los criterios de focalizacion, igualmente se llevó a cabo la articulacion con el SENA  para ofrecer  dos modalidades  Tecnicas (Técnico en Agroindustria alimentaria  y Técnico en Sistemas Agropecuarios Ecológicos).</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</si>
  <si>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131 según fuente de verificación, sin embargo la tasa nacional no fue encontrada en esta fuente.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ejecución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Alcaldía Buenavista:</t>
    </r>
    <r>
      <rPr>
        <sz val="10"/>
        <color theme="1"/>
        <rFont val="Calibri"/>
        <family val="2"/>
        <scheme val="minor"/>
      </rPr>
      <t xml:space="preserve"> no cuenta con reportes a la fecha en este primer trimestre del año.
</t>
    </r>
    <r>
      <rPr>
        <b/>
        <sz val="10"/>
        <color theme="1"/>
        <rFont val="Calibri"/>
        <family val="2"/>
        <scheme val="minor"/>
      </rPr>
      <t>Alcaldía de Pijao</t>
    </r>
    <r>
      <rPr>
        <sz val="10"/>
        <color theme="1"/>
        <rFont val="Calibri"/>
        <family val="2"/>
        <scheme val="minor"/>
      </rPr>
      <t xml:space="preserve">: No cuenta con casos, no se adelanta ninguna acción.
</t>
    </r>
    <r>
      <rPr>
        <b/>
        <sz val="10"/>
        <color theme="1"/>
        <rFont val="Calibri"/>
        <family val="2"/>
        <scheme val="minor"/>
      </rPr>
      <t xml:space="preserve">Alcaldía Montenegro: </t>
    </r>
    <r>
      <rPr>
        <sz val="10"/>
        <color theme="1"/>
        <rFont val="Calibri"/>
        <family val="2"/>
        <scheme val="minor"/>
      </rPr>
      <t xml:space="preserve">se han realizado consejos de seguridad, buscando estrategias para combatir y disminuir este delito y los demás que afectan la seguridad ciudadana de la comunidad montenegrina , desarrollando actividades como : comandos situacionales, con todos los organismos de seguridad.
</t>
    </r>
    <r>
      <rPr>
        <b/>
        <sz val="10"/>
        <color theme="1"/>
        <rFont val="Calibri"/>
        <family val="2"/>
        <scheme val="minor"/>
      </rPr>
      <t xml:space="preserve">IDTQ: </t>
    </r>
    <r>
      <rPr>
        <sz val="10"/>
        <color theme="1"/>
        <rFont val="Calibri"/>
        <family val="2"/>
        <scheme val="minor"/>
      </rPr>
      <t xml:space="preserve">Se implementó el Programa de formación cultural  de la seguridad en la vial , con el desarrollo de las siguientes actividades: 
1. Capacitación de motociclistas en vía, en normatividad y cultura vial  en los municipios de Montenegro, Salento, Circasia y Filandia.                                                                                                                                                                                                                                                                                               2. Capacitación y sensibilización en moto destrezas,  al personal  de los municipios donde el IDTQ tiene  las competencias,  donde se practicaron habilidades y destrezas para la conducción de motos.                                                                                                                                                                          3. Capacitación a Docentes y Directivas en desarrollo de normatividad, seguridad vial, PESV, en la Institución educativa Jesús Maria Córdoba del municipio de Córdoba .                                                                                                                                                                                                                                                                                           4. Reunión de socialización para la consecución de recursos de la estrategia de movilidad segura y sostenible con la secretaria de salud departamental.                                                                                                                                                                                                                                                       5. Reunión secretaria de salud Departamental relacionada con la implementación del programa y división 6. Soporte en  la señalización para los puntos de derrumbes en la vía.   
</t>
    </r>
  </si>
  <si>
    <r>
      <t xml:space="preserve">
</t>
    </r>
    <r>
      <rPr>
        <b/>
        <sz val="10"/>
        <color theme="1"/>
        <rFont val="Calibri"/>
        <family val="2"/>
        <scheme val="minor"/>
      </rPr>
      <t xml:space="preserve">Secretaría de Familia: </t>
    </r>
    <r>
      <rPr>
        <sz val="10"/>
        <color theme="1"/>
        <rFont val="Calibri"/>
        <family val="2"/>
        <scheme val="minor"/>
      </rPr>
      <t>la tasa de suicidios x 100 mil jóvenes es 7,2 según fuente de verificación, sin embargo la tasa nacional no fue encontrada en esta fuente.</t>
    </r>
    <r>
      <rPr>
        <b/>
        <sz val="10"/>
        <color theme="1"/>
        <rFont val="Calibri"/>
        <family val="2"/>
        <scheme val="minor"/>
      </rPr>
      <t xml:space="preserve">
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Psicoeducación en temática relacionadas a los eventos de interés en salud mental .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A través del Plan Local de Salud Territorial se implementó la línea de salud mental, con el fin de evitar suicidios en la población del municipio.         
</t>
    </r>
    <r>
      <rPr>
        <b/>
        <sz val="10"/>
        <color theme="1"/>
        <rFont val="Calibri"/>
        <family val="2"/>
        <scheme val="minor"/>
      </rPr>
      <t>Alcaldía de Montenegro:</t>
    </r>
    <r>
      <rPr>
        <sz val="10"/>
        <color theme="1"/>
        <rFont val="Calibri"/>
        <family val="2"/>
        <scheme val="minor"/>
      </rPr>
      <t xml:space="preserve"> Estrategias de prevención por medio de redes sociales, por medio del programa de vigilancia epidemiológica se hace seguimiento y acompañamiento a los casos reportados por el hospital Roberto Quintero Villa   
</t>
    </r>
    <r>
      <rPr>
        <b/>
        <sz val="10"/>
        <color theme="1"/>
        <rFont val="Calibri"/>
        <family val="2"/>
        <scheme val="minor"/>
      </rPr>
      <t xml:space="preserve">Alcaldía Buenavista: </t>
    </r>
    <r>
      <rPr>
        <sz val="10"/>
        <color theme="1"/>
        <rFont val="Calibri"/>
        <family val="2"/>
        <scheme val="minor"/>
      </rPr>
      <t xml:space="preserve">En este primer trimestre del año no contamos suicidios en el municipio y para prevenir se realizan campañas en salud mental. 
</t>
    </r>
    <r>
      <rPr>
        <b/>
        <sz val="10"/>
        <color theme="1"/>
        <rFont val="Calibri"/>
        <family val="2"/>
        <scheme val="minor"/>
      </rPr>
      <t xml:space="preserve">Alcaldía de Pijao: </t>
    </r>
    <r>
      <rPr>
        <sz val="10"/>
        <color theme="1"/>
        <rFont val="Calibri"/>
        <family val="2"/>
        <scheme val="minor"/>
      </rPr>
      <t xml:space="preserve">1 capacitación sobre prevención al suicidio y rutas de atención, en la Institución Educativa Santa Teresita.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</si>
  <si>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sin embargo la tasa nacional no fue encontrada en esta fuente.
</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</si>
  <si>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socializo en el marco del Comité Departamental de Drogas con énfasis en Reducción de Consumo de Sustancias Psicoactivas la propuesta de Decreto y Plan de Acción para la adopción de la Resolución 089.
</t>
    </r>
    <r>
      <rPr>
        <b/>
        <sz val="10"/>
        <color theme="1"/>
        <rFont val="Calibri"/>
        <family val="2"/>
        <scheme val="minor"/>
      </rPr>
      <t>Secretaría de Familia</t>
    </r>
    <r>
      <rPr>
        <sz val="10"/>
        <color theme="1"/>
        <rFont val="Calibri"/>
        <family val="2"/>
        <scheme val="minor"/>
      </rPr>
      <t xml:space="preserve">: La prevalencia de consumo de sustancias psicoactivas en escolares y último año en escolares es del  6,8% según fuente de verificación,  sin embargo la tasa nacional no fue encontrada en esta fuente.
</t>
    </r>
    <r>
      <rPr>
        <b/>
        <sz val="10"/>
        <color theme="1"/>
        <rFont val="Calibri"/>
        <family val="2"/>
        <scheme val="minor"/>
      </rPr>
      <t>Secretaría de Educación</t>
    </r>
    <r>
      <rPr>
        <sz val="10"/>
        <color theme="1"/>
        <rFont val="Calibri"/>
        <family val="2"/>
        <scheme val="minor"/>
      </rPr>
      <t xml:space="preserve">: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
</t>
    </r>
    <r>
      <rPr>
        <b/>
        <sz val="10"/>
        <color theme="1"/>
        <rFont val="Calibri"/>
        <family val="2"/>
        <scheme val="minor"/>
      </rPr>
      <t>Secretaría del Interior:</t>
    </r>
    <r>
      <rPr>
        <sz val="10"/>
        <color theme="1"/>
        <rFont val="Calibri"/>
        <family val="2"/>
        <scheme val="minor"/>
      </rPr>
      <t xml:space="preserve"> Resocialización a 10 jóvenes dentro del programa de seguimiento judicial al tratamiento de drogas en el sistema penal para adolescentes que se encuentran privados de la libertad. 
Alcaldía Génova: Se realizan campañas sobre espacios libres de humo y consumo de sustancias,  se realiza plan de acción con  los integrantes del subcomité de sustancias psicoactivas.
</t>
    </r>
    <r>
      <rPr>
        <b/>
        <sz val="10"/>
        <color theme="1"/>
        <rFont val="Calibri"/>
        <family val="2"/>
        <scheme val="minor"/>
      </rPr>
      <t xml:space="preserve">Alcaldía de Pijao: </t>
    </r>
    <r>
      <rPr>
        <sz val="10"/>
        <color theme="1"/>
        <rFont val="Calibri"/>
        <family val="2"/>
        <scheme val="minor"/>
      </rPr>
      <t>Se llevó a cabo la proyección de la dimensión de salud mental y convivencia social.</t>
    </r>
  </si>
  <si>
    <r>
      <rPr>
        <b/>
        <sz val="10"/>
        <color theme="1"/>
        <rFont val="Calibri"/>
        <family val="2"/>
        <scheme val="minor"/>
      </rPr>
      <t>Secrearia de Familia:</t>
    </r>
    <r>
      <rPr>
        <sz val="10"/>
        <color theme="1"/>
        <rFont val="Calibri"/>
        <family val="2"/>
        <scheme val="minor"/>
      </rPr>
      <t xml:space="preserve"> No es posible medir el indicador ya que la información reportada por los actores responsables no es la adecuada para medir su avance en porcentaje, es por ello que se encuentra en estado crítico.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 xml:space="preserve">Alcaldía Salento: </t>
    </r>
    <r>
      <rPr>
        <sz val="10"/>
        <color theme="1"/>
        <rFont val="Calibri"/>
        <family val="2"/>
        <scheme val="minor"/>
      </rPr>
      <t xml:space="preserve">Fortalecimiento y apoyo a las Escuelas de Formación Artística y Cultural, reactivación de la Agenda Cultural del Municipio.
</t>
    </r>
    <r>
      <rPr>
        <b/>
        <sz val="10"/>
        <color theme="1"/>
        <rFont val="Calibri"/>
        <family val="2"/>
        <scheme val="minor"/>
      </rPr>
      <t xml:space="preserve">Alcaldía Buenavista: </t>
    </r>
    <r>
      <rPr>
        <sz val="10"/>
        <color theme="1"/>
        <rFont val="Calibri"/>
        <family val="2"/>
        <scheme val="minor"/>
      </rPr>
      <t xml:space="preserve"> los jóvenes no asisten a ruedas de negocios a nivel Departametal y Nacional.
</t>
    </r>
    <r>
      <rPr>
        <b/>
        <sz val="10"/>
        <color theme="1"/>
        <rFont val="Calibri"/>
        <family val="2"/>
        <scheme val="minor"/>
      </rPr>
      <t>Secretaría Turismo, Industria y Comercio:</t>
    </r>
    <r>
      <rPr>
        <sz val="10"/>
        <color theme="1"/>
        <rFont val="Calibri"/>
        <family val="2"/>
        <scheme val="minor"/>
      </rPr>
      <t xml:space="preserve"> Para este primer trimestre de la vigencia 2023, no se han realizado actividades que den avance al indicador
</t>
    </r>
    <r>
      <rPr>
        <b/>
        <sz val="10"/>
        <color theme="1"/>
        <rFont val="Calibri"/>
        <family val="2"/>
        <scheme val="minor"/>
      </rPr>
      <t>Alcaldía Quimbaya:</t>
    </r>
    <r>
      <rPr>
        <sz val="10"/>
        <color theme="1"/>
        <rFont val="Calibri"/>
        <family val="2"/>
        <scheme val="minor"/>
      </rPr>
      <t xml:space="preserve"> Un emprendimiento juvenil participó en ANATO 2023.
</t>
    </r>
    <r>
      <rPr>
        <b/>
        <sz val="10"/>
        <color theme="1"/>
        <rFont val="Calibri"/>
        <family val="2"/>
        <scheme val="minor"/>
      </rPr>
      <t xml:space="preserve">Alcaldía Montenegro: </t>
    </r>
    <r>
      <rPr>
        <sz val="10"/>
        <color theme="1"/>
        <rFont val="Calibri"/>
        <family val="2"/>
        <scheme val="minor"/>
      </rPr>
      <t xml:space="preserve">en el momento no hay jóvenes participando de ruedas de negocios regionales ni nacionales.
</t>
    </r>
    <r>
      <rPr>
        <b/>
        <sz val="10"/>
        <color theme="1"/>
        <rFont val="Calibri"/>
        <family val="2"/>
        <scheme val="minor"/>
      </rPr>
      <t>Alcaldía de Pijao</t>
    </r>
    <r>
      <rPr>
        <sz val="10"/>
        <color theme="1"/>
        <rFont val="Calibri"/>
        <family val="2"/>
        <scheme val="minor"/>
      </rPr>
      <t xml:space="preserve">: no cuenta con un porcentaje de Emprendimientos que participan en Ruedas de Negocios Regionales y Nacionales que son liderados por Jóvenes en el Municipio.
</t>
    </r>
  </si>
  <si>
    <r>
      <rPr>
        <b/>
        <sz val="10"/>
        <color theme="1"/>
        <rFont val="Calibri"/>
        <family val="2"/>
        <scheme val="minor"/>
      </rPr>
      <t xml:space="preserve">Secretaría de familia: </t>
    </r>
    <r>
      <rPr>
        <sz val="10"/>
        <color theme="1"/>
        <rFont val="Calibri"/>
        <family val="2"/>
        <scheme val="minor"/>
      </rPr>
      <t>La tasa de cobertura neta media vocacional reportada por el ministerio de educación corresponde al 37%</t>
    </r>
    <r>
      <rPr>
        <b/>
        <sz val="10"/>
        <color theme="1"/>
        <rFont val="Calibri"/>
        <family val="2"/>
        <scheme val="minor"/>
      </rPr>
      <t xml:space="preserve">
Alcaldía de Buenavista</t>
    </r>
    <r>
      <rPr>
        <sz val="10"/>
        <color theme="1"/>
        <rFont val="Calibri"/>
        <family val="2"/>
        <scheme val="minor"/>
      </rPr>
      <t xml:space="preserve">: Cuenta con la cobertura integral en básica secundaria, no tenemos reportes de jóvenes que esten desescolarizados.
</t>
    </r>
    <r>
      <rPr>
        <b/>
        <sz val="10"/>
        <color theme="1"/>
        <rFont val="Calibri"/>
        <family val="2"/>
        <scheme val="minor"/>
      </rPr>
      <t xml:space="preserve">Secretaría de Educación: </t>
    </r>
    <r>
      <rPr>
        <sz val="10"/>
        <color theme="1"/>
        <rFont val="Calibri"/>
        <family val="2"/>
        <scheme val="minor"/>
      </rPr>
      <t xml:space="preserve">La Secretaría de Educación Departamental , en la actualidad está adelantando la Jornada de Matrícula “Nos vemos en el cole” que se lleva a cabo en diferentes municipios no certificados del Departamento del Quindío.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garantizó la atención con estrategias de permanencia ( PAE - Programa de Alimentacion Escolar y transorte escolar) a los estudiantes que cumplen los criterios de focalización, igualmente se llevó a cabo la articulación con el SENA  para ofrecer dos modalidades técnicas (Técnico en Agroindustria alimentaria  y Técnico en Sistemas Agropecuarios Ecológicos).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 xml:space="preserve">90%, se cubren todos los grados de la básica secundaria en el municipio. En el sistema educativo municipal se matricularon 637 alumnos en básica secundaria en 2022, de los cuales han desertado 15 al mes de agosto. Las proyecciones apuntan a que deberían haber al menos 710 estudiantes en básica secundaria en las diferentes IE del municipio.
</t>
    </r>
  </si>
  <si>
    <t>I TRIMESTRE 2023</t>
  </si>
  <si>
    <t>RESPONSABLES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</si>
</sst>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 numFmtId="177" formatCode="_-[$$-240A]\ * #,##0.00_-;\-[$$-240A]\ * #,##0.00_-;_-[$$-240A]\ * &quot;-&quot;??_-;_-@_-"/>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21">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59999389629810485"/>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747">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70" fontId="4" fillId="3" borderId="5" xfId="1" applyNumberFormat="1" applyFont="1" applyFill="1" applyBorder="1" applyAlignment="1">
      <alignment horizontal="center" vertical="center" wrapText="1"/>
    </xf>
    <xf numFmtId="165" fontId="4" fillId="3" borderId="5" xfId="0" applyNumberFormat="1" applyFont="1" applyFill="1" applyBorder="1" applyAlignment="1">
      <alignment vertical="center" wrapText="1"/>
    </xf>
    <xf numFmtId="168" fontId="4" fillId="3" borderId="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170" fontId="4" fillId="3" borderId="5" xfId="0" applyNumberFormat="1" applyFont="1" applyFill="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9" fontId="3" fillId="5" borderId="5" xfId="1" applyFont="1" applyFill="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0"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6" fontId="3" fillId="3" borderId="5" xfId="1"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1"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168" fontId="3" fillId="3"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justify" vertical="center" wrapText="1"/>
    </xf>
    <xf numFmtId="9" fontId="17" fillId="0" borderId="21" xfId="0" applyNumberFormat="1" applyFont="1" applyBorder="1" applyAlignment="1">
      <alignment horizontal="center" vertical="center" wrapText="1"/>
    </xf>
    <xf numFmtId="0" fontId="17" fillId="5" borderId="21" xfId="0" applyFont="1" applyFill="1" applyBorder="1" applyAlignment="1">
      <alignment horizontal="center" vertical="center" wrapText="1"/>
    </xf>
    <xf numFmtId="9" fontId="17" fillId="0" borderId="22" xfId="0" applyNumberFormat="1" applyFont="1" applyBorder="1" applyAlignment="1">
      <alignment horizontal="justify"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4" fillId="0" borderId="23"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left" vertical="center" wrapText="1"/>
    </xf>
    <xf numFmtId="9" fontId="4" fillId="0" borderId="21" xfId="1" applyFont="1" applyBorder="1" applyAlignment="1">
      <alignment horizontal="center" vertical="center"/>
    </xf>
    <xf numFmtId="9" fontId="3" fillId="0" borderId="22" xfId="0" applyNumberFormat="1" applyFont="1" applyBorder="1" applyAlignment="1">
      <alignment horizontal="left" vertical="center" wrapText="1"/>
    </xf>
    <xf numFmtId="1" fontId="4" fillId="0" borderId="21" xfId="1" applyNumberFormat="1" applyFont="1" applyBorder="1" applyAlignment="1">
      <alignment horizontal="center" vertical="center"/>
    </xf>
    <xf numFmtId="10" fontId="4" fillId="0" borderId="21" xfId="0" applyNumberFormat="1" applyFont="1" applyBorder="1" applyAlignment="1">
      <alignment horizontal="center" vertical="center" wrapText="1"/>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6" fontId="4"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166" fontId="4" fillId="3" borderId="21" xfId="0" applyNumberFormat="1" applyFont="1" applyFill="1" applyBorder="1" applyAlignment="1">
      <alignment horizontal="center" vertical="center" wrapText="1"/>
    </xf>
    <xf numFmtId="9" fontId="4" fillId="3" borderId="21" xfId="1" applyFont="1" applyFill="1" applyBorder="1" applyAlignment="1">
      <alignment horizontal="center" vertical="center" wrapText="1"/>
    </xf>
    <xf numFmtId="167" fontId="4" fillId="0" borderId="21" xfId="1" applyNumberFormat="1" applyFont="1" applyFill="1" applyBorder="1" applyAlignment="1">
      <alignment horizontal="center" vertical="center" wrapText="1"/>
    </xf>
    <xf numFmtId="171" fontId="4" fillId="3" borderId="21" xfId="3" applyNumberFormat="1"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4" fillId="0" borderId="22" xfId="0" applyFont="1" applyBorder="1" applyAlignment="1">
      <alignment vertical="center" wrapText="1"/>
    </xf>
    <xf numFmtId="0" fontId="11" fillId="0" borderId="22" xfId="0" applyFont="1" applyBorder="1" applyAlignment="1">
      <alignment horizontal="left" vertical="center" wrapText="1"/>
    </xf>
    <xf numFmtId="9" fontId="4" fillId="0" borderId="22" xfId="0" applyNumberFormat="1" applyFont="1" applyBorder="1" applyAlignment="1">
      <alignment horizontal="left" vertical="center" wrapText="1"/>
    </xf>
    <xf numFmtId="0" fontId="11" fillId="3" borderId="22" xfId="0" applyFont="1" applyFill="1" applyBorder="1" applyAlignment="1">
      <alignment horizontal="justify" vertical="center" wrapText="1"/>
    </xf>
    <xf numFmtId="9" fontId="3" fillId="3" borderId="22" xfId="0" applyNumberFormat="1"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9" fontId="3" fillId="0" borderId="21" xfId="1" applyFont="1" applyBorder="1" applyAlignment="1">
      <alignment horizontal="center" vertical="center"/>
    </xf>
    <xf numFmtId="1" fontId="3" fillId="0" borderId="21" xfId="1" applyNumberFormat="1" applyFont="1" applyBorder="1" applyAlignment="1">
      <alignment horizontal="center" vertical="center"/>
    </xf>
    <xf numFmtId="10"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166" fontId="3" fillId="3" borderId="21" xfId="1" applyNumberFormat="1"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66" fontId="3" fillId="3" borderId="21" xfId="0" applyNumberFormat="1" applyFont="1" applyFill="1" applyBorder="1" applyAlignment="1">
      <alignment horizontal="center" vertical="center" wrapText="1"/>
    </xf>
    <xf numFmtId="9" fontId="3" fillId="3" borderId="21" xfId="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167" fontId="3" fillId="3" borderId="21" xfId="1" applyNumberFormat="1" applyFont="1" applyFill="1" applyBorder="1" applyAlignment="1">
      <alignment horizontal="center"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0" applyNumberFormat="1" applyBorder="1" applyAlignment="1">
      <alignment horizontal="center" vertical="center"/>
    </xf>
    <xf numFmtId="166" fontId="0" fillId="0" borderId="22" xfId="0" applyNumberFormat="1" applyBorder="1" applyAlignment="1">
      <alignment horizontal="left" vertical="center" wrapText="1"/>
    </xf>
    <xf numFmtId="0" fontId="0" fillId="0" borderId="21" xfId="1" applyNumberFormat="1" applyFont="1" applyBorder="1" applyAlignment="1">
      <alignment horizontal="center" vertical="center"/>
    </xf>
    <xf numFmtId="10" fontId="0" fillId="0" borderId="21" xfId="0" applyNumberFormat="1" applyBorder="1" applyAlignment="1">
      <alignment horizontal="center" vertical="center"/>
    </xf>
    <xf numFmtId="9" fontId="0" fillId="0" borderId="21" xfId="1" applyFont="1" applyFill="1" applyBorder="1" applyAlignment="1">
      <alignment horizontal="center" vertical="center"/>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vertical="top"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10" fontId="3" fillId="0" borderId="21" xfId="0" applyNumberFormat="1" applyFont="1" applyBorder="1" applyAlignment="1">
      <alignment horizontal="center" vertical="center"/>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1" fontId="3" fillId="0" borderId="22" xfId="0" applyNumberFormat="1" applyFont="1" applyBorder="1" applyAlignment="1">
      <alignment horizontal="center" vertical="center" wrapText="1"/>
    </xf>
    <xf numFmtId="170" fontId="4" fillId="3" borderId="5" xfId="0" applyNumberFormat="1" applyFont="1" applyFill="1" applyBorder="1" applyAlignment="1">
      <alignment horizontal="center" vertical="center"/>
    </xf>
    <xf numFmtId="166" fontId="3" fillId="0" borderId="5" xfId="0" applyNumberFormat="1" applyFont="1" applyBorder="1" applyAlignment="1">
      <alignment horizontal="center" vertical="center"/>
    </xf>
    <xf numFmtId="9" fontId="12" fillId="0" borderId="5" xfId="0" applyNumberFormat="1" applyFont="1" applyBorder="1" applyAlignment="1">
      <alignment vertical="center"/>
    </xf>
    <xf numFmtId="3" fontId="0" fillId="0" borderId="5" xfId="0" applyNumberFormat="1" applyBorder="1" applyAlignment="1">
      <alignment horizontal="center" vertical="center" wrapText="1"/>
    </xf>
    <xf numFmtId="9" fontId="3" fillId="5" borderId="5" xfId="1"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12" fillId="0" borderId="5" xfId="0" applyFont="1" applyBorder="1" applyAlignment="1">
      <alignment vertical="center"/>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67" fontId="3" fillId="3" borderId="5" xfId="0" applyNumberFormat="1" applyFont="1" applyFill="1" applyBorder="1" applyAlignment="1">
      <alignment horizontal="center" vertical="center" wrapText="1"/>
    </xf>
    <xf numFmtId="10" fontId="16" fillId="3" borderId="5" xfId="0" applyNumberFormat="1" applyFont="1" applyFill="1" applyBorder="1" applyAlignment="1">
      <alignment horizontal="center" vertical="center" wrapText="1"/>
    </xf>
    <xf numFmtId="171" fontId="22" fillId="0" borderId="5" xfId="0" applyNumberFormat="1" applyFont="1" applyBorder="1" applyAlignment="1" applyProtection="1">
      <alignment horizontal="center" vertical="center" wrapText="1"/>
      <protection locked="0"/>
    </xf>
    <xf numFmtId="173" fontId="22" fillId="0" borderId="5" xfId="5" applyNumberFormat="1" applyFont="1" applyFill="1" applyBorder="1" applyAlignment="1">
      <alignment horizontal="center" vertical="center" wrapText="1"/>
    </xf>
    <xf numFmtId="173" fontId="22" fillId="0" borderId="5" xfId="0" applyNumberFormat="1" applyFont="1" applyBorder="1" applyAlignment="1" applyProtection="1">
      <alignment horizontal="center" vertical="center" wrapText="1"/>
      <protection locked="0"/>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0" fillId="0" borderId="5" xfId="0" applyNumberFormat="1" applyBorder="1" applyAlignment="1">
      <alignment vertical="center"/>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0" fontId="21" fillId="0" borderId="22" xfId="0" applyFont="1" applyBorder="1" applyAlignment="1">
      <alignment horizontal="justify" vertical="center" wrapText="1"/>
    </xf>
    <xf numFmtId="0" fontId="3" fillId="0" borderId="22" xfId="0" applyFont="1" applyBorder="1" applyAlignment="1">
      <alignment horizontal="justify" vertical="center" wrapText="1"/>
    </xf>
    <xf numFmtId="10" fontId="3" fillId="0" borderId="21" xfId="0" applyNumberFormat="1" applyFont="1" applyBorder="1" applyAlignment="1">
      <alignment horizontal="center" vertical="center" wrapText="1"/>
    </xf>
    <xf numFmtId="9" fontId="3" fillId="0" borderId="22" xfId="0" applyNumberFormat="1"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166" fontId="3" fillId="0" borderId="21" xfId="0" applyNumberFormat="1" applyFont="1" applyBorder="1" applyAlignment="1">
      <alignment horizontal="center" vertical="center"/>
    </xf>
    <xf numFmtId="10" fontId="0" fillId="0" borderId="21" xfId="0" applyNumberFormat="1" applyBorder="1" applyAlignment="1">
      <alignment vertical="center"/>
    </xf>
    <xf numFmtId="166" fontId="0" fillId="0" borderId="22" xfId="0" applyNumberFormat="1" applyBorder="1" applyAlignment="1">
      <alignment vertical="top" wrapText="1"/>
    </xf>
    <xf numFmtId="0" fontId="0" fillId="0" borderId="21" xfId="1" applyNumberFormat="1" applyFont="1" applyBorder="1" applyAlignment="1">
      <alignment vertical="center"/>
    </xf>
    <xf numFmtId="166" fontId="0" fillId="0" borderId="22" xfId="0" applyNumberFormat="1" applyBorder="1" applyAlignment="1">
      <alignment vertical="center" wrapText="1"/>
    </xf>
    <xf numFmtId="9" fontId="0" fillId="0" borderId="22" xfId="0" applyNumberFormat="1" applyBorder="1" applyAlignment="1">
      <alignment horizontal="left" vertical="center" wrapText="1"/>
    </xf>
    <xf numFmtId="9" fontId="0" fillId="0" borderId="22" xfId="1" applyFont="1" applyFill="1" applyBorder="1" applyAlignment="1">
      <alignment horizontal="left" vertical="center" wrapText="1"/>
    </xf>
    <xf numFmtId="1" fontId="0" fillId="0" borderId="22" xfId="0" applyNumberFormat="1" applyBorder="1" applyAlignment="1">
      <alignment horizontal="left" vertical="center" wrapText="1"/>
    </xf>
    <xf numFmtId="9" fontId="0" fillId="0" borderId="21" xfId="0" applyNumberFormat="1" applyBorder="1" applyAlignment="1">
      <alignment vertical="center"/>
    </xf>
    <xf numFmtId="1" fontId="0" fillId="0" borderId="22" xfId="0" applyNumberFormat="1" applyBorder="1" applyAlignment="1">
      <alignment vertical="center" wrapText="1"/>
    </xf>
    <xf numFmtId="0" fontId="29" fillId="3" borderId="22" xfId="0" applyFont="1" applyFill="1" applyBorder="1" applyAlignment="1">
      <alignment vertical="top" wrapText="1"/>
    </xf>
    <xf numFmtId="9" fontId="3" fillId="3" borderId="22" xfId="0" applyNumberFormat="1" applyFont="1" applyFill="1" applyBorder="1" applyAlignment="1">
      <alignment vertical="center" wrapText="1"/>
    </xf>
    <xf numFmtId="49" fontId="3" fillId="3" borderId="21" xfId="0" applyNumberFormat="1" applyFont="1" applyFill="1" applyBorder="1" applyAlignment="1">
      <alignment horizontal="justify" vertical="center" wrapText="1"/>
    </xf>
    <xf numFmtId="0" fontId="2" fillId="3" borderId="22"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3" fillId="3" borderId="22" xfId="0" applyFont="1" applyFill="1" applyBorder="1" applyAlignment="1">
      <alignment horizontal="justify" vertical="center" wrapText="1"/>
    </xf>
    <xf numFmtId="9" fontId="11" fillId="3" borderId="22" xfId="0" applyNumberFormat="1" applyFont="1" applyFill="1" applyBorder="1" applyAlignment="1">
      <alignment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164" fontId="3" fillId="0" borderId="5" xfId="3" applyFont="1" applyBorder="1" applyAlignment="1">
      <alignment horizontal="center" vertical="center"/>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168" fontId="4" fillId="3" borderId="29" xfId="0" applyNumberFormat="1" applyFont="1" applyFill="1" applyBorder="1" applyAlignment="1">
      <alignment horizontal="center" vertical="center" wrapText="1"/>
    </xf>
    <xf numFmtId="170" fontId="4" fillId="3" borderId="0" xfId="0" applyNumberFormat="1" applyFont="1" applyFill="1" applyAlignment="1">
      <alignment horizontal="center" vertical="center" wrapText="1"/>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176"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3" fillId="0" borderId="5" xfId="0" applyNumberFormat="1" applyFont="1" applyBorder="1" applyAlignment="1">
      <alignment horizontal="center" vertical="center"/>
    </xf>
    <xf numFmtId="176" fontId="4" fillId="0" borderId="5" xfId="1" applyNumberFormat="1" applyFont="1" applyFill="1" applyBorder="1" applyAlignment="1">
      <alignment horizontal="center" vertical="center" wrapText="1"/>
    </xf>
    <xf numFmtId="9" fontId="4" fillId="0" borderId="5" xfId="1" applyFont="1" applyBorder="1" applyAlignment="1">
      <alignment vertical="center" wrapText="1"/>
    </xf>
    <xf numFmtId="177" fontId="4" fillId="3" borderId="29" xfId="4"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0" fontId="2" fillId="3" borderId="29" xfId="0" applyFont="1" applyFill="1" applyBorder="1" applyAlignment="1">
      <alignment vertical="center" wrapText="1"/>
    </xf>
    <xf numFmtId="0" fontId="3" fillId="3" borderId="2"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3" fillId="3" borderId="5" xfId="0" applyFont="1" applyFill="1" applyBorder="1" applyAlignment="1">
      <alignment horizontal="justify"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0" fontId="3" fillId="3" borderId="29" xfId="0" applyFont="1" applyFill="1" applyBorder="1" applyAlignment="1">
      <alignment horizontal="justify" vertical="center" wrapText="1"/>
    </xf>
    <xf numFmtId="9" fontId="3" fillId="3" borderId="5" xfId="0" applyNumberFormat="1" applyFont="1" applyFill="1" applyBorder="1" applyAlignment="1">
      <alignment horizontal="justify" vertical="center" wrapText="1"/>
    </xf>
    <xf numFmtId="0" fontId="3" fillId="3" borderId="5" xfId="0" applyFont="1" applyFill="1" applyBorder="1" applyAlignment="1">
      <alignment horizontal="left" vertical="center" wrapText="1"/>
    </xf>
    <xf numFmtId="9" fontId="3" fillId="3" borderId="29" xfId="0" applyNumberFormat="1" applyFont="1" applyFill="1" applyBorder="1" applyAlignment="1">
      <alignment vertical="center" wrapText="1"/>
    </xf>
    <xf numFmtId="0" fontId="3" fillId="3" borderId="29" xfId="0" applyFont="1" applyFill="1" applyBorder="1" applyAlignment="1">
      <alignment horizontal="left" vertical="center" wrapText="1"/>
    </xf>
    <xf numFmtId="0" fontId="3" fillId="3" borderId="28"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9" fontId="4" fillId="0" borderId="5" xfId="1" applyFont="1" applyFill="1" applyBorder="1" applyAlignment="1">
      <alignment horizontal="center" vertical="center" wrapText="1"/>
    </xf>
    <xf numFmtId="9" fontId="4" fillId="18" borderId="5" xfId="1" applyFont="1" applyFill="1" applyBorder="1" applyAlignment="1">
      <alignment horizontal="center" vertical="center" wrapText="1"/>
    </xf>
    <xf numFmtId="9" fontId="4" fillId="19" borderId="29" xfId="1" applyFont="1" applyFill="1" applyBorder="1" applyAlignment="1">
      <alignment horizontal="center" vertical="center" wrapText="1"/>
    </xf>
    <xf numFmtId="9" fontId="4" fillId="19" borderId="5" xfId="1" applyFont="1" applyFill="1" applyBorder="1" applyAlignment="1">
      <alignment horizontal="center" vertical="center" wrapText="1"/>
    </xf>
    <xf numFmtId="0" fontId="4" fillId="3" borderId="29" xfId="0" applyFont="1" applyFill="1" applyBorder="1" applyAlignment="1">
      <alignment horizontal="center" vertical="center" wrapText="1"/>
    </xf>
    <xf numFmtId="1" fontId="3" fillId="3" borderId="5" xfId="0" applyNumberFormat="1" applyFont="1" applyFill="1" applyBorder="1" applyAlignment="1">
      <alignment horizontal="center" vertical="center"/>
    </xf>
    <xf numFmtId="1" fontId="4" fillId="3" borderId="5" xfId="1"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3" fillId="3" borderId="5" xfId="0" applyFont="1" applyFill="1" applyBorder="1" applyAlignment="1">
      <alignment vertical="center"/>
    </xf>
    <xf numFmtId="166" fontId="4" fillId="19"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9" fontId="4" fillId="3" borderId="3" xfId="1" applyFont="1" applyFill="1" applyBorder="1" applyAlignment="1">
      <alignment horizontal="center" vertical="center" wrapText="1"/>
    </xf>
    <xf numFmtId="1" fontId="3" fillId="0" borderId="5" xfId="0" applyNumberFormat="1" applyFont="1" applyFill="1" applyBorder="1" applyAlignment="1">
      <alignment horizontal="center" vertical="center"/>
    </xf>
    <xf numFmtId="166" fontId="4" fillId="0" borderId="5" xfId="1"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4" fillId="0" borderId="5" xfId="0" applyFont="1" applyBorder="1" applyAlignment="1">
      <alignment horizontal="center" vertical="center" wrapText="1"/>
    </xf>
    <xf numFmtId="9" fontId="4" fillId="4" borderId="5" xfId="1" applyFont="1" applyFill="1" applyBorder="1" applyAlignment="1">
      <alignment horizontal="center" vertical="center" wrapText="1"/>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9" fontId="4" fillId="4" borderId="29" xfId="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3" borderId="28" xfId="0" applyFont="1" applyFill="1" applyBorder="1" applyAlignment="1">
      <alignment horizontal="left" vertical="center" wrapText="1"/>
    </xf>
    <xf numFmtId="0" fontId="3" fillId="3" borderId="4" xfId="0" applyFont="1" applyFill="1" applyBorder="1" applyAlignment="1">
      <alignment horizontal="left" vertical="center" wrapText="1"/>
    </xf>
    <xf numFmtId="1" fontId="3" fillId="0" borderId="28" xfId="0" applyNumberFormat="1" applyFont="1" applyBorder="1" applyAlignment="1">
      <alignment horizontal="center" vertical="center"/>
    </xf>
    <xf numFmtId="1" fontId="3" fillId="0" borderId="29" xfId="0" applyNumberFormat="1" applyFont="1" applyBorder="1" applyAlignment="1">
      <alignment horizontal="center" vertical="center"/>
    </xf>
    <xf numFmtId="9" fontId="4" fillId="5" borderId="5" xfId="1" applyFont="1" applyFill="1" applyBorder="1" applyAlignment="1">
      <alignment horizontal="center" vertical="center" wrapText="1"/>
    </xf>
    <xf numFmtId="170" fontId="4" fillId="3" borderId="4"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9" fontId="4" fillId="5" borderId="28" xfId="1" applyFont="1" applyFill="1" applyBorder="1" applyAlignment="1">
      <alignment horizontal="center" vertical="center" wrapText="1"/>
    </xf>
    <xf numFmtId="9" fontId="4" fillId="5" borderId="6" xfId="1" applyFont="1" applyFill="1" applyBorder="1" applyAlignment="1">
      <alignment horizontal="center" vertical="center" wrapText="1"/>
    </xf>
    <xf numFmtId="0" fontId="3" fillId="3" borderId="5" xfId="0" applyFont="1" applyFill="1" applyBorder="1" applyAlignment="1">
      <alignment horizontal="left" vertical="center" wrapText="1"/>
    </xf>
    <xf numFmtId="6" fontId="4" fillId="3" borderId="5" xfId="1"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9" fontId="4" fillId="5" borderId="29" xfId="1" applyFont="1" applyFill="1" applyBorder="1" applyAlignment="1">
      <alignment horizontal="center" vertical="center" wrapText="1"/>
    </xf>
    <xf numFmtId="1" fontId="3" fillId="0" borderId="26" xfId="0" applyNumberFormat="1" applyFont="1" applyFill="1" applyBorder="1" applyAlignment="1">
      <alignment horizontal="center" vertical="center"/>
    </xf>
    <xf numFmtId="1" fontId="3" fillId="0" borderId="27"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3" fillId="0" borderId="29" xfId="0" applyFont="1" applyBorder="1" applyAlignment="1">
      <alignment horizontal="center" vertical="center" wrapText="1"/>
    </xf>
    <xf numFmtId="9" fontId="3" fillId="0" borderId="28" xfId="0" applyNumberFormat="1"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9" fontId="4" fillId="0" borderId="5" xfId="0" applyNumberFormat="1" applyFont="1" applyBorder="1" applyAlignment="1">
      <alignment horizontal="center" vertical="center" wrapText="1"/>
    </xf>
    <xf numFmtId="9" fontId="4" fillId="5" borderId="4"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29" xfId="0" applyFont="1" applyFill="1" applyBorder="1" applyAlignment="1">
      <alignment horizontal="left" vertical="center" wrapText="1"/>
    </xf>
    <xf numFmtId="9" fontId="3" fillId="3" borderId="28" xfId="0" applyNumberFormat="1" applyFont="1" applyFill="1" applyBorder="1" applyAlignment="1">
      <alignment horizontal="center" vertical="center"/>
    </xf>
    <xf numFmtId="9" fontId="3" fillId="3" borderId="29" xfId="0" applyNumberFormat="1" applyFont="1" applyFill="1" applyBorder="1" applyAlignment="1">
      <alignment horizontal="center" vertical="center"/>
    </xf>
    <xf numFmtId="9" fontId="4" fillId="0" borderId="5" xfId="1" applyFont="1" applyFill="1" applyBorder="1" applyAlignment="1">
      <alignment horizontal="center" vertical="center" wrapText="1"/>
    </xf>
    <xf numFmtId="9" fontId="4" fillId="6" borderId="5"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10" fontId="4" fillId="0" borderId="5" xfId="0" applyNumberFormat="1" applyFont="1" applyBorder="1" applyAlignment="1">
      <alignment horizontal="center" vertical="center" wrapText="1"/>
    </xf>
    <xf numFmtId="165" fontId="11" fillId="3" borderId="29" xfId="0" applyNumberFormat="1"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9" fontId="4" fillId="7" borderId="28" xfId="1" applyFont="1" applyFill="1" applyBorder="1" applyAlignment="1">
      <alignment horizontal="center" vertical="center" wrapText="1"/>
    </xf>
    <xf numFmtId="9" fontId="4" fillId="7" borderId="29" xfId="1" applyFont="1" applyFill="1" applyBorder="1" applyAlignment="1">
      <alignment horizontal="center" vertical="center" wrapText="1"/>
    </xf>
    <xf numFmtId="9" fontId="3" fillId="0" borderId="28" xfId="0" applyNumberFormat="1" applyFont="1" applyFill="1" applyBorder="1" applyAlignment="1">
      <alignment horizontal="center" vertical="center"/>
    </xf>
    <xf numFmtId="9" fontId="3" fillId="0" borderId="29" xfId="0" applyNumberFormat="1" applyFont="1" applyFill="1" applyBorder="1" applyAlignment="1">
      <alignment horizontal="center" vertical="center"/>
    </xf>
    <xf numFmtId="0" fontId="2" fillId="3" borderId="28" xfId="0" applyFont="1" applyFill="1" applyBorder="1" applyAlignment="1">
      <alignment horizontal="left"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165" fontId="11" fillId="3" borderId="5" xfId="0"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70" fontId="4" fillId="3" borderId="5" xfId="4" applyNumberFormat="1" applyFont="1" applyFill="1" applyBorder="1" applyAlignment="1">
      <alignment horizontal="center" vertical="center" wrapText="1"/>
    </xf>
    <xf numFmtId="9" fontId="3" fillId="3" borderId="28" xfId="0" applyNumberFormat="1" applyFont="1" applyFill="1" applyBorder="1" applyAlignment="1">
      <alignment horizontal="left" vertical="center" wrapText="1"/>
    </xf>
    <xf numFmtId="9" fontId="3" fillId="3" borderId="4" xfId="0" applyNumberFormat="1" applyFont="1" applyFill="1" applyBorder="1" applyAlignment="1">
      <alignment horizontal="left" vertical="center" wrapText="1"/>
    </xf>
    <xf numFmtId="9" fontId="3" fillId="3" borderId="29" xfId="0" applyNumberFormat="1" applyFont="1" applyFill="1" applyBorder="1" applyAlignment="1">
      <alignment horizontal="left"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3" fillId="3" borderId="26"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0" fontId="16" fillId="2" borderId="19" xfId="0" applyFont="1" applyFill="1" applyBorder="1" applyAlignment="1">
      <alignment horizontal="center"/>
    </xf>
    <xf numFmtId="0" fontId="16" fillId="2" borderId="17" xfId="0" applyFont="1" applyFill="1" applyBorder="1" applyAlignment="1">
      <alignment horizontal="center"/>
    </xf>
    <xf numFmtId="0" fontId="16" fillId="2" borderId="11"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11"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5" xfId="0" applyFont="1" applyBorder="1" applyAlignment="1">
      <alignment horizontal="center" vertical="center"/>
    </xf>
    <xf numFmtId="9" fontId="4" fillId="7" borderId="4" xfId="1" applyFont="1" applyFill="1" applyBorder="1" applyAlignment="1">
      <alignment horizontal="center" vertical="center" wrapText="1"/>
    </xf>
    <xf numFmtId="9" fontId="4" fillId="7" borderId="6"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3" borderId="6" xfId="0" applyFont="1" applyFill="1" applyBorder="1" applyAlignment="1">
      <alignment horizontal="left"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166" fontId="3" fillId="0" borderId="28" xfId="1" applyNumberFormat="1" applyFont="1" applyFill="1" applyBorder="1" applyAlignment="1">
      <alignment horizontal="center" vertical="center"/>
    </xf>
    <xf numFmtId="166" fontId="3" fillId="0" borderId="29" xfId="1" applyNumberFormat="1" applyFont="1" applyFill="1" applyBorder="1" applyAlignment="1">
      <alignment horizontal="center" vertical="center"/>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11" fillId="2" borderId="19" xfId="0" applyFont="1" applyFill="1" applyBorder="1" applyAlignment="1">
      <alignment horizontal="center" vertical="center" wrapText="1"/>
    </xf>
    <xf numFmtId="0" fontId="4" fillId="0" borderId="6" xfId="0"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2" fontId="17" fillId="0" borderId="5" xfId="0" applyNumberFormat="1" applyFont="1" applyBorder="1" applyAlignment="1">
      <alignment horizontal="center" vertical="center" wrapText="1"/>
    </xf>
    <xf numFmtId="0" fontId="0" fillId="0" borderId="5" xfId="0" applyBorder="1" applyAlignment="1">
      <alignment horizontal="center" vertical="center" wrapText="1"/>
    </xf>
    <xf numFmtId="42" fontId="12" fillId="3" borderId="5" xfId="0" applyNumberFormat="1"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4" fillId="0" borderId="22" xfId="0" applyFont="1" applyBorder="1" applyAlignment="1">
      <alignment horizontal="center" vertical="center" wrapText="1"/>
    </xf>
    <xf numFmtId="0" fontId="17" fillId="0" borderId="22" xfId="0" applyFont="1" applyBorder="1" applyAlignment="1">
      <alignment horizontal="justify" vertical="center" wrapText="1"/>
    </xf>
    <xf numFmtId="0" fontId="17" fillId="0" borderId="5"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2"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7" fillId="0" borderId="22" xfId="0" applyFont="1" applyBorder="1" applyAlignment="1">
      <alignment horizontal="center" vertical="center" wrapText="1"/>
    </xf>
    <xf numFmtId="1" fontId="4" fillId="0" borderId="21" xfId="0" applyNumberFormat="1" applyFont="1" applyBorder="1" applyAlignment="1">
      <alignment horizontal="center" vertical="center" wrapText="1"/>
    </xf>
    <xf numFmtId="170" fontId="4" fillId="3" borderId="5" xfId="1" applyNumberFormat="1" applyFont="1" applyFill="1" applyBorder="1" applyAlignment="1">
      <alignment horizontal="center" vertical="center" wrapText="1"/>
    </xf>
    <xf numFmtId="9" fontId="4" fillId="0" borderId="22" xfId="0" applyNumberFormat="1" applyFont="1" applyBorder="1" applyAlignment="1">
      <alignment horizontal="center"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9" fontId="4" fillId="0" borderId="21" xfId="0" applyNumberFormat="1" applyFont="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0" fontId="4" fillId="3" borderId="5" xfId="2" applyFont="1" applyFill="1" applyBorder="1" applyAlignment="1">
      <alignment horizontal="center" vertical="center" wrapText="1"/>
    </xf>
    <xf numFmtId="0" fontId="3" fillId="0" borderId="21" xfId="0" applyFont="1" applyBorder="1" applyAlignment="1">
      <alignment horizontal="center" vertical="center" wrapText="1"/>
    </xf>
    <xf numFmtId="9" fontId="3" fillId="0" borderId="21" xfId="0" applyNumberFormat="1" applyFont="1" applyBorder="1" applyAlignment="1">
      <alignment horizontal="center" vertical="center" wrapText="1"/>
    </xf>
    <xf numFmtId="9" fontId="4" fillId="11" borderId="5" xfId="1" applyFont="1" applyFill="1" applyBorder="1" applyAlignment="1">
      <alignment horizontal="center" vertical="center" wrapText="1"/>
    </xf>
    <xf numFmtId="169" fontId="4" fillId="3" borderId="5" xfId="0" applyNumberFormat="1" applyFont="1" applyFill="1" applyBorder="1" applyAlignment="1">
      <alignment horizontal="center" vertical="center" wrapText="1"/>
    </xf>
    <xf numFmtId="9" fontId="17" fillId="0" borderId="22" xfId="0" applyNumberFormat="1" applyFont="1" applyBorder="1" applyAlignment="1">
      <alignment horizontal="justify"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6" fillId="16" borderId="11" xfId="0" applyFont="1" applyFill="1" applyBorder="1" applyAlignment="1">
      <alignment horizontal="center"/>
    </xf>
    <xf numFmtId="9" fontId="3" fillId="0" borderId="22"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0" borderId="21" xfId="0" applyFont="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9" fontId="0" fillId="0" borderId="21" xfId="0" applyNumberFormat="1" applyBorder="1" applyAlignment="1">
      <alignment horizontal="center" vertical="center"/>
    </xf>
    <xf numFmtId="0" fontId="0" fillId="0" borderId="21" xfId="0" applyBorder="1" applyAlignment="1">
      <alignment horizontal="center" vertical="center"/>
    </xf>
    <xf numFmtId="9" fontId="0" fillId="0" borderId="5" xfId="0" applyNumberFormat="1" applyBorder="1" applyAlignment="1">
      <alignment horizontal="center" vertical="center"/>
    </xf>
    <xf numFmtId="0" fontId="0" fillId="0" borderId="5" xfId="0" applyBorder="1" applyAlignment="1">
      <alignment horizontal="center" vertical="center"/>
    </xf>
    <xf numFmtId="3" fontId="0" fillId="0" borderId="5" xfId="0" applyNumberFormat="1" applyBorder="1" applyAlignment="1">
      <alignment horizontal="center" vertical="center" wrapText="1"/>
    </xf>
    <xf numFmtId="175" fontId="0" fillId="0" borderId="5" xfId="4" applyNumberFormat="1" applyFont="1" applyBorder="1" applyAlignment="1">
      <alignment horizontal="center" vertical="center" wrapText="1"/>
    </xf>
    <xf numFmtId="175" fontId="0" fillId="0" borderId="5" xfId="4" applyNumberFormat="1" applyFont="1" applyBorder="1" applyAlignment="1">
      <alignment horizontal="center" vertical="center"/>
    </xf>
    <xf numFmtId="9" fontId="3" fillId="3" borderId="2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10" fontId="0" fillId="3" borderId="22" xfId="0" applyNumberFormat="1" applyFill="1" applyBorder="1" applyAlignment="1">
      <alignment horizontal="center" vertical="center" wrapText="1"/>
    </xf>
    <xf numFmtId="10" fontId="3" fillId="3" borderId="5"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29" fillId="3" borderId="22" xfId="0" applyFont="1" applyFill="1" applyBorder="1" applyAlignment="1">
      <alignment horizontal="center" vertical="top" wrapText="1"/>
    </xf>
    <xf numFmtId="9" fontId="3" fillId="3" borderId="21"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75" fontId="0" fillId="0" borderId="5" xfId="4" applyNumberFormat="1" applyFont="1" applyFill="1" applyBorder="1" applyAlignment="1">
      <alignment horizontal="center" vertical="center" wrapText="1"/>
    </xf>
    <xf numFmtId="0" fontId="3" fillId="3" borderId="22" xfId="0" applyFont="1" applyFill="1" applyBorder="1" applyAlignment="1">
      <alignment horizontal="left" vertical="center" wrapText="1"/>
    </xf>
    <xf numFmtId="0" fontId="3" fillId="3" borderId="21" xfId="3" applyNumberFormat="1"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9" fontId="4" fillId="3"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0" fontId="3" fillId="0" borderId="22" xfId="0" applyFont="1" applyBorder="1" applyAlignment="1">
      <alignment horizontal="left" vertical="center" wrapText="1"/>
    </xf>
    <xf numFmtId="9" fontId="4" fillId="3" borderId="22" xfId="0" applyNumberFormat="1" applyFont="1" applyFill="1" applyBorder="1" applyAlignment="1">
      <alignment horizontal="left" vertical="center" wrapText="1"/>
    </xf>
    <xf numFmtId="10" fontId="3" fillId="3" borderId="21" xfId="0" applyNumberFormat="1" applyFont="1" applyFill="1" applyBorder="1" applyAlignment="1">
      <alignment horizontal="center" vertical="center" wrapText="1"/>
    </xf>
    <xf numFmtId="169" fontId="3" fillId="3" borderId="5" xfId="0" applyNumberFormat="1" applyFont="1" applyFill="1" applyBorder="1" applyAlignment="1">
      <alignment horizontal="center" vertical="center" wrapText="1"/>
    </xf>
    <xf numFmtId="10" fontId="2" fillId="3" borderId="22" xfId="0" applyNumberFormat="1" applyFont="1" applyFill="1" applyBorder="1" applyAlignment="1">
      <alignment horizontal="left" vertical="center" wrapText="1"/>
    </xf>
    <xf numFmtId="10"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0" fontId="11" fillId="3" borderId="22" xfId="0" applyNumberFormat="1" applyFont="1" applyFill="1" applyBorder="1" applyAlignment="1">
      <alignment horizontal="left" vertical="center" wrapText="1"/>
    </xf>
    <xf numFmtId="9" fontId="3" fillId="4" borderId="5" xfId="1" applyFont="1" applyFill="1" applyBorder="1" applyAlignment="1">
      <alignment horizontal="center" vertical="center" wrapText="1"/>
    </xf>
    <xf numFmtId="171" fontId="4" fillId="3" borderId="21" xfId="3" applyNumberFormat="1" applyFont="1" applyFill="1" applyBorder="1" applyAlignment="1">
      <alignment vertical="center" wrapText="1"/>
    </xf>
    <xf numFmtId="0" fontId="2" fillId="3" borderId="22" xfId="0" applyFont="1" applyFill="1" applyBorder="1" applyAlignment="1">
      <alignment horizontal="left" vertical="center" wrapText="1"/>
    </xf>
    <xf numFmtId="10" fontId="3" fillId="3" borderId="5" xfId="1" applyNumberFormat="1" applyFont="1" applyFill="1" applyBorder="1" applyAlignment="1">
      <alignment horizontal="center" vertical="center" wrapText="1"/>
    </xf>
    <xf numFmtId="9" fontId="3" fillId="5" borderId="5" xfId="1" applyFont="1" applyFill="1" applyBorder="1" applyAlignment="1">
      <alignment horizontal="center" vertical="center" wrapText="1"/>
    </xf>
    <xf numFmtId="10" fontId="4" fillId="0" borderId="21" xfId="0" applyNumberFormat="1" applyFont="1" applyBorder="1" applyAlignment="1">
      <alignment horizontal="center" vertical="center" wrapText="1"/>
    </xf>
    <xf numFmtId="9" fontId="3" fillId="3" borderId="21" xfId="1" applyFont="1" applyFill="1" applyBorder="1" applyAlignment="1">
      <alignment horizontal="center" vertical="center" wrapText="1"/>
    </xf>
    <xf numFmtId="9" fontId="3" fillId="3" borderId="5" xfId="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9" fontId="4" fillId="3" borderId="21" xfId="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3" borderId="22" xfId="0" applyFont="1" applyFill="1" applyBorder="1" applyAlignment="1">
      <alignment vertical="center" wrapText="1"/>
    </xf>
    <xf numFmtId="9" fontId="3" fillId="0" borderId="5" xfId="1" applyFont="1" applyFill="1" applyBorder="1" applyAlignment="1">
      <alignment horizontal="center" vertical="center" wrapText="1"/>
    </xf>
    <xf numFmtId="0" fontId="3" fillId="0" borderId="22" xfId="0" applyFont="1" applyBorder="1" applyAlignment="1">
      <alignment vertical="center" wrapText="1"/>
    </xf>
    <xf numFmtId="0" fontId="11" fillId="3" borderId="22" xfId="0" applyFont="1" applyFill="1" applyBorder="1" applyAlignment="1">
      <alignment horizontal="left" vertical="center" wrapText="1"/>
    </xf>
    <xf numFmtId="9" fontId="3" fillId="3" borderId="21" xfId="3"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0" fontId="2" fillId="0" borderId="22" xfId="0" applyFont="1" applyBorder="1" applyAlignment="1">
      <alignment horizontal="left" vertical="center" wrapText="1"/>
    </xf>
    <xf numFmtId="1" fontId="3" fillId="3" borderId="21" xfId="3" applyNumberFormat="1" applyFont="1" applyFill="1" applyBorder="1" applyAlignment="1">
      <alignment horizontal="center" vertical="center" wrapText="1"/>
    </xf>
    <xf numFmtId="0" fontId="11" fillId="0" borderId="22" xfId="0" applyFont="1" applyBorder="1" applyAlignment="1">
      <alignment horizontal="left" vertical="center" wrapText="1"/>
    </xf>
    <xf numFmtId="0" fontId="3" fillId="3" borderId="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17" xfId="0" applyFont="1" applyFill="1" applyBorder="1" applyAlignment="1">
      <alignment horizontal="center" vertical="center"/>
    </xf>
    <xf numFmtId="0" fontId="16" fillId="16" borderId="11" xfId="0" applyFont="1" applyFill="1" applyBorder="1" applyAlignment="1">
      <alignment horizontal="center" vertical="center"/>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169" fontId="4" fillId="3" borderId="28" xfId="0" applyNumberFormat="1" applyFont="1" applyFill="1" applyBorder="1" applyAlignment="1">
      <alignment horizontal="center" vertical="center" wrapText="1"/>
    </xf>
    <xf numFmtId="169" fontId="4" fillId="3" borderId="4" xfId="0" applyNumberFormat="1" applyFont="1" applyFill="1" applyBorder="1" applyAlignment="1">
      <alignment horizontal="center" vertical="center" wrapText="1"/>
    </xf>
    <xf numFmtId="169" fontId="4" fillId="3" borderId="29" xfId="0" applyNumberFormat="1" applyFont="1" applyFill="1" applyBorder="1" applyAlignment="1">
      <alignment horizontal="center" vertical="center" wrapText="1"/>
    </xf>
    <xf numFmtId="10" fontId="3" fillId="3" borderId="28" xfId="0" applyNumberFormat="1" applyFont="1" applyFill="1" applyBorder="1" applyAlignment="1">
      <alignment horizontal="left" vertical="center" wrapText="1"/>
    </xf>
    <xf numFmtId="10" fontId="3" fillId="3" borderId="4" xfId="0" applyNumberFormat="1" applyFont="1" applyFill="1" applyBorder="1" applyAlignment="1">
      <alignment horizontal="left" vertical="center" wrapText="1"/>
    </xf>
    <xf numFmtId="10" fontId="3" fillId="3" borderId="29" xfId="0" applyNumberFormat="1" applyFont="1" applyFill="1" applyBorder="1" applyAlignment="1">
      <alignment horizontal="left" vertical="center" wrapText="1"/>
    </xf>
    <xf numFmtId="10" fontId="3" fillId="3" borderId="5" xfId="0" applyNumberFormat="1"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1" fontId="4" fillId="0" borderId="5" xfId="0" applyNumberFormat="1" applyFont="1" applyBorder="1" applyAlignment="1">
      <alignment horizontal="center" vertical="center" wrapText="1"/>
    </xf>
    <xf numFmtId="0" fontId="14" fillId="3" borderId="22" xfId="0" applyFont="1" applyFill="1" applyBorder="1" applyAlignment="1">
      <alignment horizontal="left" vertical="center" wrapText="1"/>
    </xf>
    <xf numFmtId="0" fontId="3" fillId="0" borderId="28" xfId="0" applyFont="1" applyBorder="1" applyAlignment="1">
      <alignment horizontal="center" vertical="center"/>
    </xf>
    <xf numFmtId="3" fontId="3" fillId="0" borderId="5" xfId="0" applyNumberFormat="1" applyFont="1" applyBorder="1" applyAlignment="1">
      <alignment horizontal="center" vertical="center"/>
    </xf>
    <xf numFmtId="0" fontId="17" fillId="0" borderId="21" xfId="0" applyFont="1" applyBorder="1" applyAlignment="1">
      <alignment horizontal="center" vertical="center" wrapText="1"/>
    </xf>
    <xf numFmtId="9" fontId="17" fillId="0" borderId="22"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10" fontId="3" fillId="0" borderId="21"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0" fontId="0" fillId="0" borderId="21"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3" fillId="3" borderId="21" xfId="0" applyFont="1" applyFill="1" applyBorder="1" applyAlignment="1">
      <alignment horizontal="center" vertical="center" wrapText="1"/>
    </xf>
    <xf numFmtId="164" fontId="25" fillId="3" borderId="5" xfId="10" applyFont="1" applyFill="1" applyBorder="1" applyAlignment="1">
      <alignment horizontal="center" vertical="center" wrapText="1"/>
    </xf>
    <xf numFmtId="3" fontId="0" fillId="0" borderId="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5" fontId="0" fillId="3" borderId="5" xfId="4" applyNumberFormat="1" applyFont="1" applyFill="1" applyBorder="1" applyAlignment="1">
      <alignment horizontal="center" vertical="center"/>
    </xf>
    <xf numFmtId="0" fontId="0" fillId="0" borderId="22" xfId="0" applyBorder="1" applyAlignment="1">
      <alignment horizontal="left" vertical="center" wrapText="1"/>
    </xf>
    <xf numFmtId="9" fontId="0" fillId="0" borderId="22" xfId="0" applyNumberFormat="1" applyBorder="1" applyAlignment="1">
      <alignment horizontal="left" vertical="center" wrapText="1"/>
    </xf>
    <xf numFmtId="175" fontId="0" fillId="0" borderId="5" xfId="4" applyNumberFormat="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0" fontId="0" fillId="0" borderId="22" xfId="0" applyBorder="1" applyAlignment="1">
      <alignment horizontal="center" vertical="center" wrapText="1"/>
    </xf>
    <xf numFmtId="10" fontId="0" fillId="0" borderId="22" xfId="0" applyNumberFormat="1" applyBorder="1" applyAlignment="1">
      <alignment horizontal="center" vertical="center" wrapText="1"/>
    </xf>
    <xf numFmtId="0" fontId="0" fillId="0" borderId="22" xfId="0" applyBorder="1" applyAlignment="1">
      <alignment horizontal="left" vertical="top" wrapText="1"/>
    </xf>
    <xf numFmtId="0" fontId="26" fillId="0" borderId="22" xfId="0" applyFont="1" applyBorder="1" applyAlignment="1">
      <alignment horizontal="left" vertical="top" wrapText="1"/>
    </xf>
    <xf numFmtId="1" fontId="0" fillId="0" borderId="22" xfId="0" applyNumberFormat="1" applyBorder="1" applyAlignment="1">
      <alignment horizontal="center" vertical="center" wrapText="1"/>
    </xf>
    <xf numFmtId="1" fontId="3" fillId="3" borderId="21" xfId="0"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0" fontId="0" fillId="0" borderId="22" xfId="0" applyBorder="1" applyAlignment="1">
      <alignment horizontal="center" vertical="top" wrapText="1"/>
    </xf>
    <xf numFmtId="9" fontId="4" fillId="0" borderId="28" xfId="1" applyFont="1" applyBorder="1" applyAlignment="1">
      <alignment horizontal="center" vertical="center" wrapText="1"/>
    </xf>
    <xf numFmtId="9" fontId="4" fillId="0" borderId="29" xfId="1" applyFont="1" applyBorder="1" applyAlignment="1">
      <alignment horizontal="center" vertical="center" wrapText="1"/>
    </xf>
    <xf numFmtId="9" fontId="15" fillId="5" borderId="28" xfId="1" applyFont="1" applyFill="1" applyBorder="1" applyAlignment="1">
      <alignment horizontal="center" vertical="center" wrapText="1"/>
    </xf>
    <xf numFmtId="9" fontId="15" fillId="5" borderId="4" xfId="1" applyFont="1" applyFill="1" applyBorder="1" applyAlignment="1">
      <alignment horizontal="center" vertical="center" wrapText="1"/>
    </xf>
    <xf numFmtId="9" fontId="15" fillId="5" borderId="29" xfId="1" applyFont="1" applyFill="1" applyBorder="1" applyAlignment="1">
      <alignment horizontal="center" vertical="center" wrapText="1"/>
    </xf>
    <xf numFmtId="9" fontId="3" fillId="0" borderId="29" xfId="0" applyNumberFormat="1" applyFont="1" applyBorder="1" applyAlignment="1">
      <alignment horizontal="center" vertical="center"/>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0" fontId="0" fillId="0" borderId="0" xfId="0" applyAlignment="1">
      <alignment horizont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16" fillId="20" borderId="19" xfId="0" applyFont="1" applyFill="1" applyBorder="1" applyAlignment="1">
      <alignment horizontal="center"/>
    </xf>
    <xf numFmtId="0" fontId="16" fillId="20" borderId="17" xfId="0" applyFont="1" applyFill="1" applyBorder="1" applyAlignment="1">
      <alignment horizontal="center"/>
    </xf>
    <xf numFmtId="0" fontId="16" fillId="20" borderId="11" xfId="0" applyFont="1" applyFill="1" applyBorder="1" applyAlignment="1">
      <alignment horizontal="center"/>
    </xf>
    <xf numFmtId="0" fontId="11" fillId="20" borderId="8" xfId="0" applyFont="1" applyFill="1" applyBorder="1" applyAlignment="1">
      <alignment horizontal="center" vertical="center" wrapText="1"/>
    </xf>
    <xf numFmtId="9" fontId="11" fillId="20" borderId="8" xfId="1" applyFont="1" applyFill="1" applyBorder="1" applyAlignment="1">
      <alignment horizontal="center" vertical="center" wrapText="1"/>
    </xf>
    <xf numFmtId="165" fontId="11" fillId="20" borderId="8" xfId="0" applyNumberFormat="1" applyFont="1" applyFill="1" applyBorder="1" applyAlignment="1">
      <alignment horizontal="center" vertical="center" wrapText="1"/>
    </xf>
    <xf numFmtId="0" fontId="2" fillId="20" borderId="8"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0" borderId="13" xfId="0" applyFont="1" applyFill="1" applyBorder="1" applyAlignment="1">
      <alignment horizontal="center" vertical="center" wrapText="1"/>
    </xf>
    <xf numFmtId="9" fontId="11" fillId="20" borderId="13" xfId="1" applyFont="1" applyFill="1" applyBorder="1" applyAlignment="1">
      <alignment horizontal="center" vertical="center" wrapText="1"/>
    </xf>
    <xf numFmtId="165" fontId="11" fillId="20" borderId="13" xfId="0" applyNumberFormat="1" applyFont="1" applyFill="1" applyBorder="1" applyAlignment="1">
      <alignment horizontal="center" vertical="center" wrapText="1"/>
    </xf>
    <xf numFmtId="0" fontId="11" fillId="20" borderId="30" xfId="0" applyFont="1" applyFill="1" applyBorder="1" applyAlignment="1">
      <alignment horizontal="center" vertical="center" wrapText="1"/>
    </xf>
    <xf numFmtId="0" fontId="2" fillId="20" borderId="13"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3" xfId="0" applyFont="1" applyBorder="1" applyAlignment="1">
      <alignment horizontal="justify" vertical="center" wrapText="1"/>
    </xf>
    <xf numFmtId="0" fontId="4" fillId="3"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4" fillId="3" borderId="5" xfId="0" applyFont="1" applyFill="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9" fontId="4" fillId="3" borderId="5" xfId="0" applyNumberFormat="1" applyFont="1" applyFill="1" applyBorder="1" applyAlignment="1">
      <alignment horizontal="justify" vertical="center" wrapText="1"/>
    </xf>
    <xf numFmtId="0" fontId="3" fillId="0" borderId="4" xfId="0" applyFont="1" applyBorder="1" applyAlignment="1">
      <alignment horizontal="justify" vertical="center" wrapText="1"/>
    </xf>
    <xf numFmtId="0" fontId="3" fillId="0" borderId="29" xfId="0" applyFont="1" applyBorder="1" applyAlignment="1">
      <alignment horizontal="justify" vertical="center" wrapText="1"/>
    </xf>
    <xf numFmtId="10" fontId="4" fillId="0" borderId="5" xfId="1" applyNumberFormat="1" applyFont="1" applyFill="1" applyBorder="1" applyAlignment="1">
      <alignment horizontal="justify" vertical="center" wrapText="1"/>
    </xf>
    <xf numFmtId="10" fontId="4" fillId="0" borderId="5" xfId="1" applyNumberFormat="1" applyFont="1" applyFill="1" applyBorder="1" applyAlignment="1">
      <alignment horizontal="justify" vertical="center" wrapText="1"/>
    </xf>
    <xf numFmtId="10" fontId="4" fillId="0" borderId="5" xfId="0" applyNumberFormat="1" applyFont="1" applyBorder="1" applyAlignment="1">
      <alignment horizontal="justify" vertical="center" wrapText="1"/>
    </xf>
    <xf numFmtId="10" fontId="3" fillId="0" borderId="5" xfId="0" applyNumberFormat="1" applyFont="1" applyBorder="1" applyAlignment="1">
      <alignment horizontal="justify" vertical="center" wrapText="1"/>
    </xf>
    <xf numFmtId="0" fontId="4" fillId="0" borderId="5" xfId="0" applyFont="1" applyBorder="1" applyAlignment="1">
      <alignment horizontal="justify" vertical="center"/>
    </xf>
    <xf numFmtId="0" fontId="3" fillId="0" borderId="5" xfId="0" applyFont="1" applyBorder="1" applyAlignment="1">
      <alignment horizontal="justify" vertical="center"/>
    </xf>
    <xf numFmtId="0" fontId="4" fillId="0" borderId="5" xfId="0" applyFont="1" applyBorder="1" applyAlignment="1">
      <alignment horizontal="justify" vertical="center"/>
    </xf>
    <xf numFmtId="0" fontId="3" fillId="0" borderId="7"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0" fillId="0" borderId="0" xfId="0" applyAlignment="1">
      <alignment horizontal="justify" vertical="center"/>
    </xf>
    <xf numFmtId="0" fontId="4" fillId="0" borderId="21" xfId="0" applyFont="1" applyBorder="1" applyAlignment="1">
      <alignment horizontal="justify" vertical="center" wrapText="1"/>
    </xf>
    <xf numFmtId="9" fontId="4" fillId="0" borderId="5" xfId="0" applyNumberFormat="1" applyFont="1" applyBorder="1" applyAlignment="1">
      <alignment horizontal="justify" vertical="center" wrapText="1"/>
    </xf>
    <xf numFmtId="9" fontId="4" fillId="0" borderId="5" xfId="0" applyNumberFormat="1" applyFont="1" applyBorder="1" applyAlignment="1">
      <alignment horizontal="justify" vertical="center" wrapText="1"/>
    </xf>
    <xf numFmtId="0" fontId="4" fillId="0" borderId="21" xfId="0" applyFont="1" applyBorder="1" applyAlignment="1">
      <alignment horizontal="justify" vertical="center" wrapText="1"/>
    </xf>
    <xf numFmtId="0" fontId="4" fillId="3" borderId="21" xfId="0" applyFont="1" applyFill="1" applyBorder="1" applyAlignment="1">
      <alignment horizontal="justify" vertical="center" wrapText="1"/>
    </xf>
    <xf numFmtId="0" fontId="4" fillId="0" borderId="20" xfId="0" applyFont="1" applyBorder="1" applyAlignment="1">
      <alignment horizontal="justify" vertical="center" wrapText="1"/>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6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theme="5"/>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FF99CC"/>
      <color rgb="FFF98607"/>
      <color rgb="FFFF6600"/>
      <color rgb="FF008000"/>
      <color rgb="FFFFFFCC"/>
      <color rgb="FF669900"/>
      <color rgb="FFFFCC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18</c:v>
                </c:pt>
                <c:pt idx="1">
                  <c:v>8</c:v>
                </c:pt>
                <c:pt idx="2">
                  <c:v>3</c:v>
                </c:pt>
                <c:pt idx="3">
                  <c:v>2</c:v>
                </c:pt>
                <c:pt idx="4">
                  <c:v>30</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989330</xdr:colOff>
      <xdr:row>3</xdr:row>
      <xdr:rowOff>115146</xdr:rowOff>
    </xdr:from>
    <xdr:to>
      <xdr:col>10</xdr:col>
      <xdr:colOff>643043</xdr:colOff>
      <xdr:row>23</xdr:row>
      <xdr:rowOff>82973</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92"/>
  <sheetViews>
    <sheetView showGridLines="0" tabSelected="1" topLeftCell="D1" zoomScaleNormal="100" zoomScalePageLayoutView="50" workbookViewId="0">
      <selection activeCell="D1" sqref="D1:Q1"/>
    </sheetView>
  </sheetViews>
  <sheetFormatPr baseColWidth="10" defaultRowHeight="15" x14ac:dyDescent="0.25"/>
  <cols>
    <col min="1" max="1" width="15.28515625" hidden="1" customWidth="1"/>
    <col min="2" max="2" width="9.5703125" hidden="1" customWidth="1"/>
    <col min="3" max="3" width="10.85546875" hidden="1" customWidth="1"/>
    <col min="4" max="4" width="5.85546875" style="740" customWidth="1"/>
    <col min="5" max="5" width="18.7109375" style="740" customWidth="1"/>
    <col min="6" max="6" width="13.42578125" style="740" customWidth="1"/>
    <col min="7" max="7" width="11.7109375" style="740" customWidth="1"/>
    <col min="8" max="8" width="12.7109375" style="740" customWidth="1"/>
    <col min="9" max="9" width="9.85546875" style="740" customWidth="1"/>
    <col min="10" max="10" width="7.42578125" style="740" customWidth="1"/>
    <col min="11" max="11" width="10.140625" style="70" hidden="1" customWidth="1"/>
    <col min="12" max="12" width="13" style="70" hidden="1" customWidth="1"/>
    <col min="13" max="13" width="8.28515625" style="70" hidden="1" customWidth="1"/>
    <col min="14" max="14" width="10.42578125" style="70" hidden="1" customWidth="1"/>
    <col min="15" max="15" width="11.42578125" style="70" hidden="1" customWidth="1"/>
    <col min="16" max="16" width="9.5703125" style="70" hidden="1" customWidth="1"/>
    <col min="17" max="17" width="8.28515625" style="70"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11.42578125"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11.42578125" hidden="1" customWidth="1"/>
    <col min="58" max="58" width="37.7109375" hidden="1" customWidth="1"/>
    <col min="59" max="59" width="255.7109375" hidden="1" customWidth="1"/>
    <col min="60" max="60" width="17.85546875" hidden="1" customWidth="1"/>
    <col min="61" max="61" width="9.85546875" hidden="1" customWidth="1"/>
    <col min="62" max="62" width="13.28515625" hidden="1" customWidth="1"/>
    <col min="63" max="63" width="12" hidden="1" customWidth="1"/>
    <col min="64" max="64" width="11.85546875" hidden="1" customWidth="1"/>
    <col min="65" max="65" width="37.7109375" hidden="1" customWidth="1"/>
    <col min="66" max="66" width="255.7109375" hidden="1" customWidth="1"/>
    <col min="67" max="67" width="21.42578125" hidden="1" customWidth="1"/>
    <col min="68" max="68" width="9.85546875" hidden="1" customWidth="1"/>
    <col min="69" max="69" width="20.42578125" hidden="1" customWidth="1"/>
    <col min="70" max="71" width="13.28515625" hidden="1" customWidth="1"/>
    <col min="72" max="72" width="1.7109375" hidden="1" customWidth="1"/>
    <col min="73" max="73" width="255.7109375" hidden="1" customWidth="1"/>
    <col min="74" max="74" width="23.5703125" hidden="1" customWidth="1"/>
    <col min="75" max="75" width="20.140625" hidden="1" customWidth="1"/>
    <col min="76" max="76" width="21.85546875" hidden="1" customWidth="1"/>
    <col min="77" max="77" width="21.7109375" hidden="1" customWidth="1"/>
    <col min="78" max="79" width="30.7109375" hidden="1" customWidth="1"/>
    <col min="80" max="80" width="29.5703125" hidden="1" customWidth="1"/>
    <col min="81" max="81" width="80.28515625" hidden="1" customWidth="1"/>
    <col min="82" max="82" width="12.5703125" customWidth="1"/>
    <col min="83" max="83" width="8" customWidth="1"/>
    <col min="84" max="84" width="11.5703125" customWidth="1"/>
    <col min="85" max="85" width="16.7109375" customWidth="1"/>
    <col min="86" max="86" width="16.5703125" customWidth="1"/>
    <col min="87" max="87" width="16.7109375" customWidth="1"/>
    <col min="88" max="88" width="12.85546875" customWidth="1"/>
    <col min="89" max="89" width="57.5703125" customWidth="1"/>
    <col min="90" max="90" width="15.5703125" customWidth="1"/>
    <col min="91" max="91" width="12.28515625" customWidth="1"/>
    <col min="92" max="92" width="14.5703125" customWidth="1"/>
  </cols>
  <sheetData>
    <row r="1" spans="1:92" ht="15.75" thickBot="1" x14ac:dyDescent="0.3">
      <c r="D1" s="615" t="s">
        <v>492</v>
      </c>
      <c r="E1" s="616"/>
      <c r="F1" s="616"/>
      <c r="G1" s="616"/>
      <c r="H1" s="616"/>
      <c r="I1" s="616"/>
      <c r="J1" s="616"/>
      <c r="K1" s="616"/>
      <c r="L1" s="616"/>
      <c r="M1" s="616"/>
      <c r="N1" s="616"/>
      <c r="O1" s="616"/>
      <c r="P1" s="616"/>
      <c r="Q1" s="617"/>
      <c r="R1" s="535">
        <v>2014</v>
      </c>
      <c r="S1" s="536"/>
      <c r="T1" s="536"/>
      <c r="U1" s="536"/>
      <c r="V1" s="536"/>
      <c r="W1" s="536"/>
      <c r="X1" s="537"/>
      <c r="Y1" s="535">
        <v>2015</v>
      </c>
      <c r="Z1" s="536"/>
      <c r="AA1" s="536"/>
      <c r="AB1" s="536"/>
      <c r="AC1" s="536"/>
      <c r="AD1" s="536"/>
      <c r="AE1" s="537"/>
      <c r="AF1" s="535">
        <v>2016</v>
      </c>
      <c r="AG1" s="536"/>
      <c r="AH1" s="536"/>
      <c r="AI1" s="536"/>
      <c r="AJ1" s="536"/>
      <c r="AK1" s="536"/>
      <c r="AL1" s="537"/>
      <c r="AM1" s="535">
        <v>2017</v>
      </c>
      <c r="AN1" s="536"/>
      <c r="AO1" s="536"/>
      <c r="AP1" s="536"/>
      <c r="AQ1" s="536"/>
      <c r="AR1" s="536"/>
      <c r="AS1" s="537"/>
      <c r="AT1" s="535">
        <v>2018</v>
      </c>
      <c r="AU1" s="536"/>
      <c r="AV1" s="536"/>
      <c r="AW1" s="536"/>
      <c r="AX1" s="536"/>
      <c r="AY1" s="536"/>
      <c r="AZ1" s="537"/>
      <c r="BA1" s="535">
        <v>2019</v>
      </c>
      <c r="BB1" s="536"/>
      <c r="BC1" s="536"/>
      <c r="BD1" s="536"/>
      <c r="BE1" s="536"/>
      <c r="BF1" s="536"/>
      <c r="BG1" s="537"/>
      <c r="BH1" s="535">
        <v>2020</v>
      </c>
      <c r="BI1" s="536"/>
      <c r="BJ1" s="536"/>
      <c r="BK1" s="536"/>
      <c r="BL1" s="536"/>
      <c r="BM1" s="536"/>
      <c r="BN1" s="537"/>
      <c r="BO1" s="535">
        <v>2021</v>
      </c>
      <c r="BP1" s="536"/>
      <c r="BQ1" s="536"/>
      <c r="BR1" s="536"/>
      <c r="BS1" s="536"/>
      <c r="BT1" s="536"/>
      <c r="BU1" s="537"/>
      <c r="BV1" s="465">
        <v>2022</v>
      </c>
      <c r="BW1" s="466"/>
      <c r="BX1" s="466"/>
      <c r="BY1" s="466"/>
      <c r="BZ1" s="466"/>
      <c r="CA1" s="466"/>
      <c r="CB1" s="466"/>
      <c r="CC1" s="467"/>
      <c r="CD1" s="704" t="s">
        <v>1158</v>
      </c>
      <c r="CE1" s="705"/>
      <c r="CF1" s="705"/>
      <c r="CG1" s="705"/>
      <c r="CH1" s="705"/>
      <c r="CI1" s="705"/>
      <c r="CJ1" s="705"/>
      <c r="CK1" s="706"/>
      <c r="CL1" s="704" t="s">
        <v>976</v>
      </c>
      <c r="CM1" s="705"/>
      <c r="CN1" s="705"/>
    </row>
    <row r="2" spans="1:92" ht="21.75" customHeight="1" thickBot="1" x14ac:dyDescent="0.3">
      <c r="A2" s="493" t="s">
        <v>0</v>
      </c>
      <c r="B2" s="493" t="s">
        <v>1</v>
      </c>
      <c r="C2" s="497" t="s">
        <v>2</v>
      </c>
      <c r="D2" s="493" t="s">
        <v>1</v>
      </c>
      <c r="E2" s="493" t="s">
        <v>3</v>
      </c>
      <c r="F2" s="493" t="s">
        <v>4</v>
      </c>
      <c r="G2" s="493" t="s">
        <v>5</v>
      </c>
      <c r="H2" s="493" t="s">
        <v>1159</v>
      </c>
      <c r="I2" s="493" t="s">
        <v>6</v>
      </c>
      <c r="J2" s="493" t="s">
        <v>7</v>
      </c>
      <c r="K2" s="497" t="s">
        <v>290</v>
      </c>
      <c r="L2" s="507"/>
      <c r="M2" s="507"/>
      <c r="N2" s="507"/>
      <c r="O2" s="507"/>
      <c r="P2" s="507"/>
      <c r="Q2" s="508"/>
      <c r="R2" s="468" t="s">
        <v>660</v>
      </c>
      <c r="S2" s="468" t="s">
        <v>276</v>
      </c>
      <c r="T2" s="470" t="s">
        <v>277</v>
      </c>
      <c r="U2" s="472" t="s">
        <v>251</v>
      </c>
      <c r="V2" s="472" t="s">
        <v>252</v>
      </c>
      <c r="W2" s="468" t="s">
        <v>253</v>
      </c>
      <c r="X2" s="468" t="s">
        <v>254</v>
      </c>
      <c r="Y2" s="468" t="s">
        <v>659</v>
      </c>
      <c r="Z2" s="468" t="s">
        <v>276</v>
      </c>
      <c r="AA2" s="470" t="s">
        <v>277</v>
      </c>
      <c r="AB2" s="472" t="s">
        <v>251</v>
      </c>
      <c r="AC2" s="472" t="s">
        <v>252</v>
      </c>
      <c r="AD2" s="468" t="s">
        <v>253</v>
      </c>
      <c r="AE2" s="468" t="s">
        <v>254</v>
      </c>
      <c r="AF2" s="468" t="s">
        <v>658</v>
      </c>
      <c r="AG2" s="468" t="s">
        <v>276</v>
      </c>
      <c r="AH2" s="470" t="s">
        <v>277</v>
      </c>
      <c r="AI2" s="472" t="s">
        <v>251</v>
      </c>
      <c r="AJ2" s="472" t="s">
        <v>252</v>
      </c>
      <c r="AK2" s="468" t="s">
        <v>253</v>
      </c>
      <c r="AL2" s="468" t="s">
        <v>254</v>
      </c>
      <c r="AM2" s="468" t="s">
        <v>657</v>
      </c>
      <c r="AN2" s="468" t="s">
        <v>276</v>
      </c>
      <c r="AO2" s="470" t="s">
        <v>277</v>
      </c>
      <c r="AP2" s="472" t="s">
        <v>251</v>
      </c>
      <c r="AQ2" s="472" t="s">
        <v>252</v>
      </c>
      <c r="AR2" s="468" t="s">
        <v>253</v>
      </c>
      <c r="AS2" s="468" t="s">
        <v>254</v>
      </c>
      <c r="AT2" s="468" t="s">
        <v>656</v>
      </c>
      <c r="AU2" s="468" t="s">
        <v>276</v>
      </c>
      <c r="AV2" s="470" t="s">
        <v>277</v>
      </c>
      <c r="AW2" s="472" t="s">
        <v>251</v>
      </c>
      <c r="AX2" s="472" t="s">
        <v>252</v>
      </c>
      <c r="AY2" s="468" t="s">
        <v>253</v>
      </c>
      <c r="AZ2" s="468" t="s">
        <v>254</v>
      </c>
      <c r="BA2" s="468" t="s">
        <v>655</v>
      </c>
      <c r="BB2" s="468" t="s">
        <v>276</v>
      </c>
      <c r="BC2" s="470" t="s">
        <v>277</v>
      </c>
      <c r="BD2" s="472" t="s">
        <v>251</v>
      </c>
      <c r="BE2" s="472" t="s">
        <v>252</v>
      </c>
      <c r="BF2" s="468" t="s">
        <v>253</v>
      </c>
      <c r="BG2" s="468" t="s">
        <v>254</v>
      </c>
      <c r="BH2" s="475" t="s">
        <v>502</v>
      </c>
      <c r="BI2" s="475" t="s">
        <v>276</v>
      </c>
      <c r="BJ2" s="575" t="s">
        <v>277</v>
      </c>
      <c r="BK2" s="577" t="s">
        <v>251</v>
      </c>
      <c r="BL2" s="577" t="s">
        <v>252</v>
      </c>
      <c r="BM2" s="475" t="s">
        <v>253</v>
      </c>
      <c r="BN2" s="475" t="s">
        <v>254</v>
      </c>
      <c r="BO2" s="468" t="s">
        <v>581</v>
      </c>
      <c r="BP2" s="468" t="s">
        <v>276</v>
      </c>
      <c r="BQ2" s="470" t="s">
        <v>277</v>
      </c>
      <c r="BR2" s="472" t="s">
        <v>251</v>
      </c>
      <c r="BS2" s="472" t="s">
        <v>252</v>
      </c>
      <c r="BT2" s="468" t="s">
        <v>253</v>
      </c>
      <c r="BU2" s="468" t="s">
        <v>254</v>
      </c>
      <c r="BV2" s="468" t="s">
        <v>462</v>
      </c>
      <c r="BW2" s="468" t="s">
        <v>276</v>
      </c>
      <c r="BX2" s="470" t="s">
        <v>277</v>
      </c>
      <c r="BY2" s="472" t="s">
        <v>251</v>
      </c>
      <c r="BZ2" s="472" t="s">
        <v>252</v>
      </c>
      <c r="CA2" s="470" t="s">
        <v>1031</v>
      </c>
      <c r="CB2" s="468" t="s">
        <v>253</v>
      </c>
      <c r="CC2" s="475" t="s">
        <v>254</v>
      </c>
      <c r="CD2" s="707" t="s">
        <v>1100</v>
      </c>
      <c r="CE2" s="707" t="s">
        <v>276</v>
      </c>
      <c r="CF2" s="708" t="s">
        <v>277</v>
      </c>
      <c r="CG2" s="709" t="s">
        <v>251</v>
      </c>
      <c r="CH2" s="709" t="s">
        <v>252</v>
      </c>
      <c r="CI2" s="708" t="s">
        <v>1031</v>
      </c>
      <c r="CJ2" s="707" t="s">
        <v>253</v>
      </c>
      <c r="CK2" s="710" t="s">
        <v>254</v>
      </c>
      <c r="CL2" s="711" t="s">
        <v>977</v>
      </c>
      <c r="CM2" s="707" t="s">
        <v>1110</v>
      </c>
      <c r="CN2" s="708" t="s">
        <v>1040</v>
      </c>
    </row>
    <row r="3" spans="1:92" ht="20.25" customHeight="1" thickBot="1" x14ac:dyDescent="0.3">
      <c r="A3" s="493"/>
      <c r="B3" s="493"/>
      <c r="C3" s="497"/>
      <c r="D3" s="468"/>
      <c r="E3" s="468"/>
      <c r="F3" s="468"/>
      <c r="G3" s="468"/>
      <c r="H3" s="468"/>
      <c r="I3" s="468"/>
      <c r="J3" s="468"/>
      <c r="K3" s="65" t="s">
        <v>431</v>
      </c>
      <c r="L3" s="65" t="s">
        <v>286</v>
      </c>
      <c r="M3" s="65" t="s">
        <v>432</v>
      </c>
      <c r="N3" s="65" t="s">
        <v>287</v>
      </c>
      <c r="O3" s="65" t="s">
        <v>433</v>
      </c>
      <c r="P3" s="65" t="s">
        <v>288</v>
      </c>
      <c r="Q3" s="65" t="s">
        <v>289</v>
      </c>
      <c r="R3" s="469"/>
      <c r="S3" s="469"/>
      <c r="T3" s="471"/>
      <c r="U3" s="473"/>
      <c r="V3" s="473"/>
      <c r="W3" s="469"/>
      <c r="X3" s="469"/>
      <c r="Y3" s="469"/>
      <c r="Z3" s="469"/>
      <c r="AA3" s="471"/>
      <c r="AB3" s="473"/>
      <c r="AC3" s="473"/>
      <c r="AD3" s="469"/>
      <c r="AE3" s="469"/>
      <c r="AF3" s="469"/>
      <c r="AG3" s="469"/>
      <c r="AH3" s="471"/>
      <c r="AI3" s="473"/>
      <c r="AJ3" s="473"/>
      <c r="AK3" s="469"/>
      <c r="AL3" s="469"/>
      <c r="AM3" s="469"/>
      <c r="AN3" s="469"/>
      <c r="AO3" s="471"/>
      <c r="AP3" s="473"/>
      <c r="AQ3" s="473"/>
      <c r="AR3" s="469"/>
      <c r="AS3" s="469"/>
      <c r="AT3" s="469"/>
      <c r="AU3" s="469"/>
      <c r="AV3" s="471"/>
      <c r="AW3" s="473"/>
      <c r="AX3" s="473"/>
      <c r="AY3" s="469"/>
      <c r="AZ3" s="469"/>
      <c r="BA3" s="469"/>
      <c r="BB3" s="469"/>
      <c r="BC3" s="471"/>
      <c r="BD3" s="473"/>
      <c r="BE3" s="473"/>
      <c r="BF3" s="469"/>
      <c r="BG3" s="469"/>
      <c r="BH3" s="476"/>
      <c r="BI3" s="476"/>
      <c r="BJ3" s="576"/>
      <c r="BK3" s="578"/>
      <c r="BL3" s="578"/>
      <c r="BM3" s="476"/>
      <c r="BN3" s="476"/>
      <c r="BO3" s="469"/>
      <c r="BP3" s="469"/>
      <c r="BQ3" s="471"/>
      <c r="BR3" s="473"/>
      <c r="BS3" s="473"/>
      <c r="BT3" s="469"/>
      <c r="BU3" s="469"/>
      <c r="BV3" s="469"/>
      <c r="BW3" s="469"/>
      <c r="BX3" s="471"/>
      <c r="BY3" s="473"/>
      <c r="BZ3" s="473"/>
      <c r="CA3" s="471"/>
      <c r="CB3" s="474"/>
      <c r="CC3" s="476"/>
      <c r="CD3" s="712"/>
      <c r="CE3" s="712"/>
      <c r="CF3" s="713"/>
      <c r="CG3" s="714"/>
      <c r="CH3" s="714"/>
      <c r="CI3" s="713"/>
      <c r="CJ3" s="715"/>
      <c r="CK3" s="716"/>
      <c r="CL3" s="707"/>
      <c r="CM3" s="712"/>
      <c r="CN3" s="713"/>
    </row>
    <row r="4" spans="1:92" ht="174.75" customHeight="1" x14ac:dyDescent="0.25">
      <c r="A4" s="495" t="s">
        <v>8</v>
      </c>
      <c r="B4" s="484" t="s">
        <v>9</v>
      </c>
      <c r="C4" s="486">
        <v>0</v>
      </c>
      <c r="D4" s="741" t="s">
        <v>457</v>
      </c>
      <c r="E4" s="717" t="s">
        <v>10</v>
      </c>
      <c r="F4" s="718" t="s">
        <v>11</v>
      </c>
      <c r="G4" s="718" t="s">
        <v>12</v>
      </c>
      <c r="H4" s="719" t="s">
        <v>991</v>
      </c>
      <c r="I4" s="718" t="s">
        <v>13</v>
      </c>
      <c r="J4" s="718">
        <v>12</v>
      </c>
      <c r="K4" s="453" t="s">
        <v>291</v>
      </c>
      <c r="L4" s="453" t="s">
        <v>366</v>
      </c>
      <c r="M4" s="453" t="s">
        <v>293</v>
      </c>
      <c r="N4" s="453" t="s">
        <v>423</v>
      </c>
      <c r="O4" s="453" t="s">
        <v>293</v>
      </c>
      <c r="P4" s="453" t="s">
        <v>294</v>
      </c>
      <c r="Q4" s="125">
        <v>12</v>
      </c>
      <c r="R4" s="104">
        <v>3</v>
      </c>
      <c r="S4" s="509"/>
      <c r="T4" s="509">
        <v>0</v>
      </c>
      <c r="U4" s="509"/>
      <c r="V4" s="509" t="s">
        <v>493</v>
      </c>
      <c r="W4" s="384" t="s">
        <v>255</v>
      </c>
      <c r="X4" s="105" t="s">
        <v>494</v>
      </c>
      <c r="Y4" s="104">
        <v>3</v>
      </c>
      <c r="Z4" s="102">
        <v>3</v>
      </c>
      <c r="AA4" s="31">
        <f>Z4/Y4</f>
        <v>1</v>
      </c>
      <c r="AB4" s="68"/>
      <c r="AC4" s="58"/>
      <c r="AD4" s="384" t="s">
        <v>255</v>
      </c>
      <c r="AE4" s="265" t="s">
        <v>663</v>
      </c>
      <c r="AF4" s="235">
        <v>5</v>
      </c>
      <c r="AG4" s="96">
        <v>2</v>
      </c>
      <c r="AH4" s="31">
        <f>AG4/AF4</f>
        <v>0.4</v>
      </c>
      <c r="AI4" s="539" t="s">
        <v>694</v>
      </c>
      <c r="AJ4" s="539" t="s">
        <v>695</v>
      </c>
      <c r="AK4" s="384" t="s">
        <v>255</v>
      </c>
      <c r="AL4" s="268" t="s">
        <v>727</v>
      </c>
      <c r="AM4" s="187">
        <v>7</v>
      </c>
      <c r="AN4" s="72">
        <v>2</v>
      </c>
      <c r="AO4" s="31">
        <f>AN4/AM4</f>
        <v>0.2857142857142857</v>
      </c>
      <c r="AP4" s="540" t="s">
        <v>780</v>
      </c>
      <c r="AQ4" s="540" t="s">
        <v>781</v>
      </c>
      <c r="AR4" s="384" t="s">
        <v>255</v>
      </c>
      <c r="AS4" s="213" t="s">
        <v>810</v>
      </c>
      <c r="AT4" s="223">
        <v>10</v>
      </c>
      <c r="AU4" s="145">
        <v>5</v>
      </c>
      <c r="AV4" s="31">
        <f>AU4/AT4</f>
        <v>0.5</v>
      </c>
      <c r="AW4" s="651">
        <v>25000000</v>
      </c>
      <c r="AX4" s="651">
        <v>23993333</v>
      </c>
      <c r="AY4" s="384" t="s">
        <v>255</v>
      </c>
      <c r="AZ4" s="156" t="s">
        <v>859</v>
      </c>
      <c r="BA4" s="187">
        <v>12</v>
      </c>
      <c r="BB4" s="145">
        <v>7</v>
      </c>
      <c r="BC4" s="31">
        <f>BB4/BA4</f>
        <v>0.58333333333333337</v>
      </c>
      <c r="BD4" s="539">
        <v>32000000</v>
      </c>
      <c r="BE4" s="539">
        <v>31440300</v>
      </c>
      <c r="BF4" s="384" t="s">
        <v>255</v>
      </c>
      <c r="BG4" s="156" t="s">
        <v>931</v>
      </c>
      <c r="BH4" s="187">
        <v>9</v>
      </c>
      <c r="BI4" s="72">
        <v>8</v>
      </c>
      <c r="BJ4" s="73">
        <f>(BI4/BH4)*1</f>
        <v>0.88888888888888884</v>
      </c>
      <c r="BK4" s="74" t="s">
        <v>503</v>
      </c>
      <c r="BL4" s="74">
        <v>6400000</v>
      </c>
      <c r="BM4" s="480" t="s">
        <v>255</v>
      </c>
      <c r="BN4" s="156" t="s">
        <v>504</v>
      </c>
      <c r="BO4" s="155">
        <v>9</v>
      </c>
      <c r="BP4" s="32">
        <v>8</v>
      </c>
      <c r="BQ4" s="31">
        <f>BP4/BO4</f>
        <v>0.88888888888888884</v>
      </c>
      <c r="BR4" s="242">
        <v>8655000</v>
      </c>
      <c r="BS4" s="58">
        <v>8655000</v>
      </c>
      <c r="BT4" s="384" t="s">
        <v>255</v>
      </c>
      <c r="BU4" s="177" t="s">
        <v>582</v>
      </c>
      <c r="BV4" s="72">
        <v>10</v>
      </c>
      <c r="BW4" s="32">
        <v>9</v>
      </c>
      <c r="BX4" s="31">
        <f>BW4/BV4</f>
        <v>0.9</v>
      </c>
      <c r="BY4" s="68">
        <f>34620000+26400000</f>
        <v>61020000</v>
      </c>
      <c r="BZ4" s="58">
        <v>28850000</v>
      </c>
      <c r="CA4" s="31">
        <f>BZ4/BY4</f>
        <v>0.47279580465421173</v>
      </c>
      <c r="CB4" s="319" t="s">
        <v>991</v>
      </c>
      <c r="CC4" s="82" t="s">
        <v>1042</v>
      </c>
      <c r="CD4" s="72">
        <v>12</v>
      </c>
      <c r="CE4" s="32">
        <v>9</v>
      </c>
      <c r="CF4" s="31">
        <f>CE4/CD4</f>
        <v>0.75</v>
      </c>
      <c r="CG4" s="68">
        <f>34620000+26400000+700000+714286</f>
        <v>62434286</v>
      </c>
      <c r="CH4" s="58">
        <f>28850000+700000+714286</f>
        <v>30264286</v>
      </c>
      <c r="CI4" s="31">
        <f>CH4/CG4</f>
        <v>0.48473824142074756</v>
      </c>
      <c r="CJ4" s="319" t="s">
        <v>991</v>
      </c>
      <c r="CK4" s="82" t="s">
        <v>1111</v>
      </c>
      <c r="CL4" s="48">
        <v>12</v>
      </c>
      <c r="CM4" s="297">
        <v>9</v>
      </c>
      <c r="CN4" s="31">
        <f>CM4/CL4</f>
        <v>0.75</v>
      </c>
    </row>
    <row r="5" spans="1:92" ht="144" customHeight="1" x14ac:dyDescent="0.25">
      <c r="A5" s="496"/>
      <c r="B5" s="485"/>
      <c r="C5" s="487"/>
      <c r="D5" s="741"/>
      <c r="E5" s="717"/>
      <c r="F5" s="718" t="s">
        <v>14</v>
      </c>
      <c r="G5" s="718" t="s">
        <v>424</v>
      </c>
      <c r="H5" s="135" t="s">
        <v>992</v>
      </c>
      <c r="I5" s="718">
        <v>0</v>
      </c>
      <c r="J5" s="718">
        <v>12</v>
      </c>
      <c r="K5" s="453"/>
      <c r="L5" s="453"/>
      <c r="M5" s="453"/>
      <c r="N5" s="453"/>
      <c r="O5" s="453"/>
      <c r="P5" s="453"/>
      <c r="Q5" s="125">
        <v>12</v>
      </c>
      <c r="R5" s="104">
        <v>0</v>
      </c>
      <c r="S5" s="509"/>
      <c r="T5" s="509"/>
      <c r="U5" s="509"/>
      <c r="V5" s="509"/>
      <c r="W5" s="384"/>
      <c r="X5" s="105" t="s">
        <v>495</v>
      </c>
      <c r="Y5" s="104">
        <v>0</v>
      </c>
      <c r="Z5" s="102">
        <v>0</v>
      </c>
      <c r="AA5" s="31">
        <v>1</v>
      </c>
      <c r="AB5" s="68"/>
      <c r="AC5" s="58"/>
      <c r="AD5" s="384"/>
      <c r="AE5" s="265" t="s">
        <v>664</v>
      </c>
      <c r="AF5" s="235">
        <v>4</v>
      </c>
      <c r="AG5" s="96">
        <v>2</v>
      </c>
      <c r="AH5" s="31">
        <v>1</v>
      </c>
      <c r="AI5" s="539"/>
      <c r="AJ5" s="539"/>
      <c r="AK5" s="384"/>
      <c r="AL5" s="268" t="s">
        <v>728</v>
      </c>
      <c r="AM5" s="187">
        <v>4</v>
      </c>
      <c r="AN5" s="72">
        <v>4</v>
      </c>
      <c r="AO5" s="31">
        <v>1</v>
      </c>
      <c r="AP5" s="540"/>
      <c r="AQ5" s="540"/>
      <c r="AR5" s="384"/>
      <c r="AS5" s="213" t="s">
        <v>811</v>
      </c>
      <c r="AT5" s="223">
        <v>4</v>
      </c>
      <c r="AU5" s="145">
        <v>8</v>
      </c>
      <c r="AV5" s="31">
        <v>1</v>
      </c>
      <c r="AW5" s="556"/>
      <c r="AX5" s="556"/>
      <c r="AY5" s="384"/>
      <c r="AZ5" s="213" t="s">
        <v>860</v>
      </c>
      <c r="BA5" s="187">
        <v>8</v>
      </c>
      <c r="BB5" s="145">
        <v>8</v>
      </c>
      <c r="BC5" s="31">
        <v>1</v>
      </c>
      <c r="BD5" s="539"/>
      <c r="BE5" s="539"/>
      <c r="BF5" s="384"/>
      <c r="BG5" s="213" t="s">
        <v>860</v>
      </c>
      <c r="BH5" s="187">
        <v>8</v>
      </c>
      <c r="BI5" s="72">
        <v>7</v>
      </c>
      <c r="BJ5" s="75">
        <f t="shared" ref="BJ5:BJ8" si="0">(BI5/BH5)*1</f>
        <v>0.875</v>
      </c>
      <c r="BK5" s="74" t="s">
        <v>505</v>
      </c>
      <c r="BL5" s="74" t="s">
        <v>506</v>
      </c>
      <c r="BM5" s="480"/>
      <c r="BN5" s="157" t="s">
        <v>507</v>
      </c>
      <c r="BO5" s="155">
        <v>12</v>
      </c>
      <c r="BP5" s="32">
        <v>12</v>
      </c>
      <c r="BQ5" s="31">
        <v>1</v>
      </c>
      <c r="BR5" s="58">
        <v>8655000</v>
      </c>
      <c r="BS5" s="58">
        <v>8655000</v>
      </c>
      <c r="BT5" s="384"/>
      <c r="BU5" s="178" t="s">
        <v>583</v>
      </c>
      <c r="BV5" s="72">
        <v>10</v>
      </c>
      <c r="BW5" s="32">
        <v>0</v>
      </c>
      <c r="BX5" s="31">
        <f>BW5/BV5</f>
        <v>0</v>
      </c>
      <c r="BY5" s="314">
        <v>34620000</v>
      </c>
      <c r="BZ5" s="58">
        <f>28850000+6600000</f>
        <v>35450000</v>
      </c>
      <c r="CA5" s="31">
        <v>1</v>
      </c>
      <c r="CB5" s="96" t="s">
        <v>992</v>
      </c>
      <c r="CC5" s="343" t="s">
        <v>1094</v>
      </c>
      <c r="CD5" s="72">
        <v>12</v>
      </c>
      <c r="CE5" s="32">
        <v>0</v>
      </c>
      <c r="CF5" s="31">
        <f>CE5/CD5</f>
        <v>0</v>
      </c>
      <c r="CG5" s="314">
        <v>34620000</v>
      </c>
      <c r="CH5" s="58">
        <f>28850000+6600000</f>
        <v>35450000</v>
      </c>
      <c r="CI5" s="31">
        <v>1</v>
      </c>
      <c r="CJ5" s="96" t="s">
        <v>992</v>
      </c>
      <c r="CK5" s="343" t="s">
        <v>1112</v>
      </c>
      <c r="CL5" s="48">
        <v>12</v>
      </c>
      <c r="CM5" s="32">
        <v>0</v>
      </c>
      <c r="CN5" s="31">
        <f>CM5/CL5</f>
        <v>0</v>
      </c>
    </row>
    <row r="6" spans="1:92" ht="185.25" customHeight="1" x14ac:dyDescent="0.25">
      <c r="A6" s="496"/>
      <c r="B6" s="485"/>
      <c r="C6" s="487"/>
      <c r="D6" s="741"/>
      <c r="E6" s="717"/>
      <c r="F6" s="718" t="s">
        <v>425</v>
      </c>
      <c r="G6" s="718" t="s">
        <v>15</v>
      </c>
      <c r="H6" s="135" t="s">
        <v>993</v>
      </c>
      <c r="I6" s="718" t="s">
        <v>426</v>
      </c>
      <c r="J6" s="742">
        <v>1</v>
      </c>
      <c r="K6" s="453"/>
      <c r="L6" s="453"/>
      <c r="M6" s="453"/>
      <c r="N6" s="453"/>
      <c r="O6" s="453"/>
      <c r="P6" s="453"/>
      <c r="Q6" s="126">
        <v>1</v>
      </c>
      <c r="R6" s="106">
        <v>0.01</v>
      </c>
      <c r="S6" s="509"/>
      <c r="T6" s="509"/>
      <c r="U6" s="509"/>
      <c r="V6" s="509"/>
      <c r="W6" s="384"/>
      <c r="X6" s="105" t="s">
        <v>496</v>
      </c>
      <c r="Y6" s="106">
        <v>0.01</v>
      </c>
      <c r="Z6" s="103">
        <v>0.05</v>
      </c>
      <c r="AA6" s="34">
        <f t="shared" ref="AA6:AA8" si="1">(Z6/Y6)*1</f>
        <v>5</v>
      </c>
      <c r="AB6" s="68"/>
      <c r="AC6" s="58"/>
      <c r="AD6" s="384"/>
      <c r="AE6" s="265" t="s">
        <v>664</v>
      </c>
      <c r="AF6" s="235">
        <v>5</v>
      </c>
      <c r="AG6" s="96">
        <v>5</v>
      </c>
      <c r="AH6" s="34">
        <f t="shared" ref="AH6:AH8" si="2">(AG6/AF6)*1</f>
        <v>1</v>
      </c>
      <c r="AI6" s="539"/>
      <c r="AJ6" s="539"/>
      <c r="AK6" s="384"/>
      <c r="AL6" s="268" t="s">
        <v>729</v>
      </c>
      <c r="AM6" s="214">
        <v>1</v>
      </c>
      <c r="AN6" s="137">
        <v>1</v>
      </c>
      <c r="AO6" s="34">
        <f t="shared" ref="AO6:AO8" si="3">(AN6/AM6)*1</f>
        <v>1</v>
      </c>
      <c r="AP6" s="540"/>
      <c r="AQ6" s="540"/>
      <c r="AR6" s="384"/>
      <c r="AS6" s="224" t="s">
        <v>812</v>
      </c>
      <c r="AT6" s="223">
        <v>100</v>
      </c>
      <c r="AU6" s="145">
        <v>100</v>
      </c>
      <c r="AV6" s="34">
        <f t="shared" ref="AV6:AV8" si="4">(AU6/AT6)*1</f>
        <v>1</v>
      </c>
      <c r="AW6" s="556"/>
      <c r="AX6" s="556"/>
      <c r="AY6" s="384"/>
      <c r="AZ6" s="224" t="s">
        <v>861</v>
      </c>
      <c r="BA6" s="214">
        <v>1</v>
      </c>
      <c r="BB6" s="146">
        <v>0.75</v>
      </c>
      <c r="BC6" s="34">
        <f t="shared" ref="BC6:BC8" si="5">(BB6/BA6)*1</f>
        <v>0.75</v>
      </c>
      <c r="BD6" s="539"/>
      <c r="BE6" s="539"/>
      <c r="BF6" s="384"/>
      <c r="BG6" s="126" t="s">
        <v>932</v>
      </c>
      <c r="BH6" s="188">
        <v>1</v>
      </c>
      <c r="BI6" s="76">
        <v>1</v>
      </c>
      <c r="BJ6" s="75">
        <f t="shared" si="0"/>
        <v>1</v>
      </c>
      <c r="BK6" s="14"/>
      <c r="BL6" s="74"/>
      <c r="BM6" s="480"/>
      <c r="BN6" s="159" t="s">
        <v>508</v>
      </c>
      <c r="BO6" s="158">
        <v>1</v>
      </c>
      <c r="BP6" s="33">
        <v>1</v>
      </c>
      <c r="BQ6" s="34">
        <f t="shared" ref="BQ6:BQ8" si="6">(BP6/BO6)*1</f>
        <v>1</v>
      </c>
      <c r="BR6" s="53">
        <v>8655000</v>
      </c>
      <c r="BS6" s="58">
        <v>8655000</v>
      </c>
      <c r="BT6" s="384"/>
      <c r="BU6" s="179" t="s">
        <v>584</v>
      </c>
      <c r="BV6" s="137">
        <v>1</v>
      </c>
      <c r="BW6" s="33">
        <v>1</v>
      </c>
      <c r="BX6" s="34">
        <f t="shared" ref="BX6:BX7" si="7">(BW6/BV6)*1</f>
        <v>1</v>
      </c>
      <c r="BY6" s="68">
        <v>34620000</v>
      </c>
      <c r="BZ6" s="58">
        <v>28850000</v>
      </c>
      <c r="CA6" s="31">
        <f>BZ6/BY6</f>
        <v>0.83333333333333337</v>
      </c>
      <c r="CB6" s="96" t="s">
        <v>993</v>
      </c>
      <c r="CC6" s="344" t="s">
        <v>1043</v>
      </c>
      <c r="CD6" s="133">
        <v>1</v>
      </c>
      <c r="CE6" s="33">
        <v>1</v>
      </c>
      <c r="CF6" s="34">
        <f t="shared" ref="CF6:CF7" si="8">(CE6/CD6)*1</f>
        <v>1</v>
      </c>
      <c r="CG6" s="68">
        <v>34620000</v>
      </c>
      <c r="CH6" s="58">
        <v>28850000</v>
      </c>
      <c r="CI6" s="31">
        <f>CH6/CG6</f>
        <v>0.83333333333333337</v>
      </c>
      <c r="CJ6" s="96" t="s">
        <v>993</v>
      </c>
      <c r="CK6" s="344" t="s">
        <v>1113</v>
      </c>
      <c r="CL6" s="64">
        <v>1</v>
      </c>
      <c r="CM6" s="33">
        <v>1</v>
      </c>
      <c r="CN6" s="34">
        <f>CM6/CL6</f>
        <v>1</v>
      </c>
    </row>
    <row r="7" spans="1:92" ht="64.5" customHeight="1" x14ac:dyDescent="0.25">
      <c r="A7" s="496"/>
      <c r="B7" s="485"/>
      <c r="C7" s="487"/>
      <c r="D7" s="741" t="s">
        <v>16</v>
      </c>
      <c r="E7" s="717" t="s">
        <v>17</v>
      </c>
      <c r="F7" s="718" t="s">
        <v>18</v>
      </c>
      <c r="G7" s="718" t="s">
        <v>427</v>
      </c>
      <c r="H7" s="135" t="s">
        <v>994</v>
      </c>
      <c r="I7" s="718">
        <v>0</v>
      </c>
      <c r="J7" s="718">
        <v>1</v>
      </c>
      <c r="K7" s="453"/>
      <c r="L7" s="453"/>
      <c r="M7" s="453"/>
      <c r="N7" s="453"/>
      <c r="O7" s="453"/>
      <c r="P7" s="453"/>
      <c r="Q7" s="127">
        <v>1</v>
      </c>
      <c r="R7" s="104">
        <v>1</v>
      </c>
      <c r="S7" s="509"/>
      <c r="T7" s="509"/>
      <c r="U7" s="509"/>
      <c r="V7" s="509"/>
      <c r="W7" s="384" t="s">
        <v>255</v>
      </c>
      <c r="X7" s="105" t="s">
        <v>497</v>
      </c>
      <c r="Y7" s="104">
        <v>1</v>
      </c>
      <c r="Z7" s="102">
        <v>1</v>
      </c>
      <c r="AA7" s="34">
        <f t="shared" si="1"/>
        <v>1</v>
      </c>
      <c r="AB7" s="411"/>
      <c r="AC7" s="411"/>
      <c r="AD7" s="384" t="s">
        <v>255</v>
      </c>
      <c r="AE7" s="265" t="s">
        <v>665</v>
      </c>
      <c r="AF7" s="235">
        <v>1</v>
      </c>
      <c r="AG7" s="96">
        <v>1</v>
      </c>
      <c r="AH7" s="34">
        <f t="shared" si="2"/>
        <v>1</v>
      </c>
      <c r="AI7" s="539" t="s">
        <v>694</v>
      </c>
      <c r="AJ7" s="539" t="s">
        <v>695</v>
      </c>
      <c r="AK7" s="384" t="s">
        <v>255</v>
      </c>
      <c r="AL7" s="268" t="s">
        <v>730</v>
      </c>
      <c r="AM7" s="187">
        <v>1</v>
      </c>
      <c r="AN7" s="72">
        <v>1</v>
      </c>
      <c r="AO7" s="34">
        <f t="shared" si="3"/>
        <v>1</v>
      </c>
      <c r="AP7" s="540" t="s">
        <v>782</v>
      </c>
      <c r="AQ7" s="540" t="s">
        <v>783</v>
      </c>
      <c r="AR7" s="384" t="s">
        <v>255</v>
      </c>
      <c r="AS7" s="213" t="s">
        <v>813</v>
      </c>
      <c r="AT7" s="223">
        <v>1</v>
      </c>
      <c r="AU7" s="145">
        <v>1</v>
      </c>
      <c r="AV7" s="34">
        <f t="shared" si="4"/>
        <v>1</v>
      </c>
      <c r="AW7" s="559">
        <v>25000000</v>
      </c>
      <c r="AX7" s="651">
        <v>23933333</v>
      </c>
      <c r="AY7" s="384" t="s">
        <v>255</v>
      </c>
      <c r="AZ7" s="213" t="s">
        <v>862</v>
      </c>
      <c r="BA7" s="187">
        <v>1</v>
      </c>
      <c r="BB7" s="145">
        <v>1</v>
      </c>
      <c r="BC7" s="34">
        <f t="shared" si="5"/>
        <v>1</v>
      </c>
      <c r="BD7" s="539"/>
      <c r="BE7" s="539"/>
      <c r="BF7" s="384" t="s">
        <v>255</v>
      </c>
      <c r="BG7" s="213" t="s">
        <v>933</v>
      </c>
      <c r="BH7" s="189">
        <v>1</v>
      </c>
      <c r="BI7" s="77">
        <v>1</v>
      </c>
      <c r="BJ7" s="75">
        <f t="shared" si="0"/>
        <v>1</v>
      </c>
      <c r="BK7" s="539"/>
      <c r="BL7" s="539"/>
      <c r="BM7" s="480" t="s">
        <v>255</v>
      </c>
      <c r="BN7" s="584" t="s">
        <v>509</v>
      </c>
      <c r="BO7" s="160">
        <v>1</v>
      </c>
      <c r="BP7" s="35">
        <v>1</v>
      </c>
      <c r="BQ7" s="34">
        <f t="shared" si="6"/>
        <v>1</v>
      </c>
      <c r="BR7" s="411">
        <v>8655000</v>
      </c>
      <c r="BS7" s="411">
        <v>8655000</v>
      </c>
      <c r="BT7" s="384" t="s">
        <v>255</v>
      </c>
      <c r="BU7" s="177" t="s">
        <v>585</v>
      </c>
      <c r="BV7" s="96">
        <v>1</v>
      </c>
      <c r="BW7" s="35">
        <v>1</v>
      </c>
      <c r="BX7" s="34">
        <f t="shared" si="7"/>
        <v>1</v>
      </c>
      <c r="BY7" s="400">
        <v>0</v>
      </c>
      <c r="BZ7" s="400">
        <v>0</v>
      </c>
      <c r="CA7" s="34">
        <v>0</v>
      </c>
      <c r="CB7" s="96" t="s">
        <v>994</v>
      </c>
      <c r="CC7" s="82" t="s">
        <v>1044</v>
      </c>
      <c r="CD7" s="72">
        <v>1</v>
      </c>
      <c r="CE7" s="35">
        <v>1</v>
      </c>
      <c r="CF7" s="34">
        <f t="shared" si="8"/>
        <v>1</v>
      </c>
      <c r="CG7" s="400">
        <v>714286</v>
      </c>
      <c r="CH7" s="400">
        <v>714286</v>
      </c>
      <c r="CI7" s="34">
        <v>0</v>
      </c>
      <c r="CJ7" s="96" t="s">
        <v>994</v>
      </c>
      <c r="CK7" s="82" t="s">
        <v>1101</v>
      </c>
      <c r="CL7" s="48">
        <v>1</v>
      </c>
      <c r="CM7" s="35">
        <v>1</v>
      </c>
      <c r="CN7" s="34">
        <f>CM7/CL7</f>
        <v>1</v>
      </c>
    </row>
    <row r="8" spans="1:92" ht="180.75" customHeight="1" x14ac:dyDescent="0.25">
      <c r="A8" s="496"/>
      <c r="B8" s="485"/>
      <c r="C8" s="487"/>
      <c r="D8" s="741"/>
      <c r="E8" s="717"/>
      <c r="F8" s="718" t="s">
        <v>19</v>
      </c>
      <c r="G8" s="718" t="s">
        <v>20</v>
      </c>
      <c r="H8" s="135" t="s">
        <v>991</v>
      </c>
      <c r="I8" s="718" t="s">
        <v>994</v>
      </c>
      <c r="J8" s="718">
        <v>12</v>
      </c>
      <c r="K8" s="453"/>
      <c r="L8" s="453"/>
      <c r="M8" s="453"/>
      <c r="N8" s="453"/>
      <c r="O8" s="453"/>
      <c r="P8" s="453"/>
      <c r="Q8" s="125">
        <v>12</v>
      </c>
      <c r="R8" s="636">
        <v>3</v>
      </c>
      <c r="S8" s="509"/>
      <c r="T8" s="509"/>
      <c r="U8" s="509"/>
      <c r="V8" s="509"/>
      <c r="W8" s="384"/>
      <c r="X8" s="514" t="s">
        <v>498</v>
      </c>
      <c r="Y8" s="636">
        <v>3</v>
      </c>
      <c r="Z8" s="102">
        <v>2</v>
      </c>
      <c r="AA8" s="34">
        <f t="shared" si="1"/>
        <v>0.66666666666666663</v>
      </c>
      <c r="AB8" s="411"/>
      <c r="AC8" s="411"/>
      <c r="AD8" s="384"/>
      <c r="AE8" s="265" t="s">
        <v>666</v>
      </c>
      <c r="AF8" s="235">
        <v>12</v>
      </c>
      <c r="AG8" s="96">
        <v>12</v>
      </c>
      <c r="AH8" s="34">
        <f t="shared" si="2"/>
        <v>1</v>
      </c>
      <c r="AI8" s="539"/>
      <c r="AJ8" s="539"/>
      <c r="AK8" s="384"/>
      <c r="AL8" s="268" t="s">
        <v>731</v>
      </c>
      <c r="AM8" s="187">
        <v>12</v>
      </c>
      <c r="AN8" s="72">
        <v>12</v>
      </c>
      <c r="AO8" s="34">
        <f t="shared" si="3"/>
        <v>1</v>
      </c>
      <c r="AP8" s="540"/>
      <c r="AQ8" s="540"/>
      <c r="AR8" s="384"/>
      <c r="AS8" s="213" t="s">
        <v>814</v>
      </c>
      <c r="AT8" s="223">
        <v>12</v>
      </c>
      <c r="AU8" s="145">
        <v>12</v>
      </c>
      <c r="AV8" s="34">
        <f t="shared" si="4"/>
        <v>1</v>
      </c>
      <c r="AW8" s="559"/>
      <c r="AX8" s="556"/>
      <c r="AY8" s="384"/>
      <c r="AZ8" s="213" t="s">
        <v>863</v>
      </c>
      <c r="BA8" s="187">
        <v>12</v>
      </c>
      <c r="BB8" s="145">
        <v>12</v>
      </c>
      <c r="BC8" s="34">
        <f t="shared" si="5"/>
        <v>1</v>
      </c>
      <c r="BD8" s="539"/>
      <c r="BE8" s="539"/>
      <c r="BF8" s="384"/>
      <c r="BG8" s="213" t="s">
        <v>863</v>
      </c>
      <c r="BH8" s="187">
        <v>12</v>
      </c>
      <c r="BI8" s="72">
        <v>11</v>
      </c>
      <c r="BJ8" s="75">
        <f t="shared" si="0"/>
        <v>0.91666666666666663</v>
      </c>
      <c r="BK8" s="539"/>
      <c r="BL8" s="539"/>
      <c r="BM8" s="480"/>
      <c r="BN8" s="584"/>
      <c r="BO8" s="155">
        <v>11</v>
      </c>
      <c r="BP8" s="32">
        <v>11</v>
      </c>
      <c r="BQ8" s="34">
        <f t="shared" si="6"/>
        <v>1</v>
      </c>
      <c r="BR8" s="411"/>
      <c r="BS8" s="411"/>
      <c r="BT8" s="384"/>
      <c r="BU8" s="177" t="s">
        <v>586</v>
      </c>
      <c r="BV8" s="72">
        <v>11</v>
      </c>
      <c r="BW8" s="32">
        <v>11</v>
      </c>
      <c r="BX8" s="34">
        <v>1</v>
      </c>
      <c r="BY8" s="401"/>
      <c r="BZ8" s="401"/>
      <c r="CA8" s="34">
        <v>0</v>
      </c>
      <c r="CB8" s="96" t="s">
        <v>991</v>
      </c>
      <c r="CC8" s="345" t="s">
        <v>1045</v>
      </c>
      <c r="CD8" s="72">
        <v>1</v>
      </c>
      <c r="CE8" s="32">
        <v>11</v>
      </c>
      <c r="CF8" s="34">
        <v>1</v>
      </c>
      <c r="CG8" s="401"/>
      <c r="CH8" s="401"/>
      <c r="CI8" s="34">
        <v>0</v>
      </c>
      <c r="CJ8" s="96" t="s">
        <v>991</v>
      </c>
      <c r="CK8" s="345" t="s">
        <v>1114</v>
      </c>
      <c r="CL8" s="48">
        <v>12</v>
      </c>
      <c r="CM8" s="32">
        <v>11</v>
      </c>
      <c r="CN8" s="335">
        <f>CM8/CL8</f>
        <v>0.91666666666666663</v>
      </c>
    </row>
    <row r="9" spans="1:92" ht="47.25" customHeight="1" x14ac:dyDescent="0.25">
      <c r="A9" s="496"/>
      <c r="B9" s="485"/>
      <c r="C9" s="487"/>
      <c r="D9" s="741" t="s">
        <v>21</v>
      </c>
      <c r="E9" s="717" t="s">
        <v>22</v>
      </c>
      <c r="F9" s="720" t="s">
        <v>23</v>
      </c>
      <c r="G9" s="720" t="s">
        <v>24</v>
      </c>
      <c r="H9" s="721" t="s">
        <v>995</v>
      </c>
      <c r="I9" s="717">
        <v>0</v>
      </c>
      <c r="J9" s="743">
        <v>0.35</v>
      </c>
      <c r="K9" s="453" t="s">
        <v>295</v>
      </c>
      <c r="L9" s="453" t="s">
        <v>379</v>
      </c>
      <c r="M9" s="453" t="s">
        <v>367</v>
      </c>
      <c r="N9" s="453" t="s">
        <v>450</v>
      </c>
      <c r="O9" s="453" t="s">
        <v>368</v>
      </c>
      <c r="P9" s="453" t="s">
        <v>399</v>
      </c>
      <c r="Q9" s="512">
        <v>0.35</v>
      </c>
      <c r="R9" s="636"/>
      <c r="S9" s="510"/>
      <c r="T9" s="510"/>
      <c r="U9" s="510"/>
      <c r="V9" s="510"/>
      <c r="W9" s="453" t="s">
        <v>279</v>
      </c>
      <c r="X9" s="514"/>
      <c r="Y9" s="636"/>
      <c r="Z9" s="103">
        <v>0.03</v>
      </c>
      <c r="AA9" s="452">
        <v>0</v>
      </c>
      <c r="AB9" s="411"/>
      <c r="AC9" s="411"/>
      <c r="AD9" s="453" t="s">
        <v>279</v>
      </c>
      <c r="AE9" s="265" t="s">
        <v>667</v>
      </c>
      <c r="AF9" s="531">
        <v>0.13</v>
      </c>
      <c r="AG9" s="541">
        <v>0.13</v>
      </c>
      <c r="AH9" s="452">
        <v>0</v>
      </c>
      <c r="AI9" s="539" t="s">
        <v>696</v>
      </c>
      <c r="AJ9" s="539" t="s">
        <v>697</v>
      </c>
      <c r="AK9" s="453" t="s">
        <v>279</v>
      </c>
      <c r="AL9" s="542" t="s">
        <v>732</v>
      </c>
      <c r="AM9" s="543">
        <v>0.13</v>
      </c>
      <c r="AN9" s="477">
        <v>0</v>
      </c>
      <c r="AO9" s="452">
        <v>0</v>
      </c>
      <c r="AP9" s="539" t="s">
        <v>784</v>
      </c>
      <c r="AQ9" s="539" t="s">
        <v>785</v>
      </c>
      <c r="AR9" s="453" t="s">
        <v>279</v>
      </c>
      <c r="AS9" s="538" t="s">
        <v>815</v>
      </c>
      <c r="AT9" s="553">
        <v>0.15</v>
      </c>
      <c r="AU9" s="555">
        <v>0.15</v>
      </c>
      <c r="AV9" s="452">
        <v>0</v>
      </c>
      <c r="AW9" s="557" t="s">
        <v>855</v>
      </c>
      <c r="AX9" s="558" t="s">
        <v>856</v>
      </c>
      <c r="AY9" s="453" t="s">
        <v>279</v>
      </c>
      <c r="AZ9" s="560" t="s">
        <v>864</v>
      </c>
      <c r="BA9" s="561">
        <v>1</v>
      </c>
      <c r="BB9" s="562" t="s">
        <v>915</v>
      </c>
      <c r="BC9" s="452">
        <v>0</v>
      </c>
      <c r="BD9" s="563">
        <v>34750000</v>
      </c>
      <c r="BE9" s="563">
        <v>25081000</v>
      </c>
      <c r="BF9" s="453" t="s">
        <v>279</v>
      </c>
      <c r="BG9" s="568" t="s">
        <v>934</v>
      </c>
      <c r="BH9" s="582">
        <v>8.7499999999999994E-2</v>
      </c>
      <c r="BI9" s="562">
        <v>0</v>
      </c>
      <c r="BJ9" s="579">
        <v>0</v>
      </c>
      <c r="BK9" s="563"/>
      <c r="BL9" s="563"/>
      <c r="BM9" s="562" t="s">
        <v>279</v>
      </c>
      <c r="BN9" s="573" t="s">
        <v>510</v>
      </c>
      <c r="BO9" s="583">
        <v>8.7499999999999994E-2</v>
      </c>
      <c r="BP9" s="453">
        <v>0</v>
      </c>
      <c r="BQ9" s="452">
        <v>0</v>
      </c>
      <c r="BR9" s="411" t="s">
        <v>587</v>
      </c>
      <c r="BS9" s="411" t="s">
        <v>588</v>
      </c>
      <c r="BT9" s="453" t="s">
        <v>279</v>
      </c>
      <c r="BU9" s="518" t="s">
        <v>589</v>
      </c>
      <c r="BV9" s="477" t="s">
        <v>978</v>
      </c>
      <c r="BW9" s="453">
        <v>0</v>
      </c>
      <c r="BX9" s="452">
        <v>0</v>
      </c>
      <c r="BY9" s="400">
        <v>0</v>
      </c>
      <c r="BZ9" s="400">
        <v>0</v>
      </c>
      <c r="CA9" s="440">
        <v>0</v>
      </c>
      <c r="CB9" s="480" t="s">
        <v>995</v>
      </c>
      <c r="CC9" s="393" t="s">
        <v>1079</v>
      </c>
      <c r="CD9" s="477" t="s">
        <v>978</v>
      </c>
      <c r="CE9" s="453">
        <v>0</v>
      </c>
      <c r="CF9" s="452">
        <v>0</v>
      </c>
      <c r="CG9" s="400">
        <v>0</v>
      </c>
      <c r="CH9" s="400">
        <v>0</v>
      </c>
      <c r="CI9" s="440">
        <v>0</v>
      </c>
      <c r="CJ9" s="480" t="s">
        <v>995</v>
      </c>
      <c r="CK9" s="393" t="s">
        <v>1115</v>
      </c>
      <c r="CL9" s="416">
        <v>0.35</v>
      </c>
      <c r="CM9" s="685">
        <v>0</v>
      </c>
      <c r="CN9" s="452">
        <v>0</v>
      </c>
    </row>
    <row r="10" spans="1:92" ht="57.75" customHeight="1" x14ac:dyDescent="0.25">
      <c r="A10" s="496"/>
      <c r="B10" s="485"/>
      <c r="C10" s="487"/>
      <c r="D10" s="741"/>
      <c r="E10" s="717"/>
      <c r="F10" s="720"/>
      <c r="G10" s="720"/>
      <c r="H10" s="721"/>
      <c r="I10" s="717"/>
      <c r="J10" s="743"/>
      <c r="K10" s="453"/>
      <c r="L10" s="453"/>
      <c r="M10" s="453"/>
      <c r="N10" s="453"/>
      <c r="O10" s="453"/>
      <c r="P10" s="453"/>
      <c r="Q10" s="512"/>
      <c r="R10" s="107">
        <v>0</v>
      </c>
      <c r="S10" s="515"/>
      <c r="T10" s="515"/>
      <c r="U10" s="515"/>
      <c r="V10" s="515"/>
      <c r="W10" s="453"/>
      <c r="X10" s="105"/>
      <c r="Y10" s="107">
        <v>0</v>
      </c>
      <c r="Z10" s="102"/>
      <c r="AA10" s="452"/>
      <c r="AB10" s="411"/>
      <c r="AC10" s="411"/>
      <c r="AD10" s="453"/>
      <c r="AE10" s="265" t="s">
        <v>668</v>
      </c>
      <c r="AF10" s="531"/>
      <c r="AG10" s="541"/>
      <c r="AH10" s="452"/>
      <c r="AI10" s="539"/>
      <c r="AJ10" s="539"/>
      <c r="AK10" s="453"/>
      <c r="AL10" s="542"/>
      <c r="AM10" s="544"/>
      <c r="AN10" s="477"/>
      <c r="AO10" s="452"/>
      <c r="AP10" s="540" t="s">
        <v>786</v>
      </c>
      <c r="AQ10" s="540" t="s">
        <v>787</v>
      </c>
      <c r="AR10" s="453"/>
      <c r="AS10" s="538" t="s">
        <v>816</v>
      </c>
      <c r="AT10" s="554"/>
      <c r="AU10" s="556"/>
      <c r="AV10" s="452"/>
      <c r="AW10" s="556"/>
      <c r="AX10" s="559"/>
      <c r="AY10" s="453"/>
      <c r="AZ10" s="560" t="s">
        <v>816</v>
      </c>
      <c r="BA10" s="561"/>
      <c r="BB10" s="562"/>
      <c r="BC10" s="452"/>
      <c r="BD10" s="563"/>
      <c r="BE10" s="563"/>
      <c r="BF10" s="453"/>
      <c r="BG10" s="568"/>
      <c r="BH10" s="582"/>
      <c r="BI10" s="562"/>
      <c r="BJ10" s="579"/>
      <c r="BK10" s="563"/>
      <c r="BL10" s="563"/>
      <c r="BM10" s="562"/>
      <c r="BN10" s="573"/>
      <c r="BO10" s="583"/>
      <c r="BP10" s="453"/>
      <c r="BQ10" s="452"/>
      <c r="BR10" s="411"/>
      <c r="BS10" s="411"/>
      <c r="BT10" s="453"/>
      <c r="BU10" s="518"/>
      <c r="BV10" s="477"/>
      <c r="BW10" s="453"/>
      <c r="BX10" s="452"/>
      <c r="BY10" s="426"/>
      <c r="BZ10" s="426"/>
      <c r="CA10" s="478"/>
      <c r="CB10" s="480"/>
      <c r="CC10" s="394"/>
      <c r="CD10" s="477"/>
      <c r="CE10" s="453"/>
      <c r="CF10" s="452"/>
      <c r="CG10" s="426"/>
      <c r="CH10" s="426"/>
      <c r="CI10" s="478"/>
      <c r="CJ10" s="480"/>
      <c r="CK10" s="394"/>
      <c r="CL10" s="416"/>
      <c r="CM10" s="686"/>
      <c r="CN10" s="452"/>
    </row>
    <row r="11" spans="1:92" ht="52.5" customHeight="1" thickBot="1" x14ac:dyDescent="0.3">
      <c r="A11" s="496"/>
      <c r="B11" s="485"/>
      <c r="C11" s="487"/>
      <c r="D11" s="741"/>
      <c r="E11" s="717"/>
      <c r="F11" s="720"/>
      <c r="G11" s="720"/>
      <c r="H11" s="722"/>
      <c r="I11" s="717"/>
      <c r="J11" s="743"/>
      <c r="K11" s="453"/>
      <c r="L11" s="453"/>
      <c r="M11" s="453"/>
      <c r="N11" s="453"/>
      <c r="O11" s="453"/>
      <c r="P11" s="453"/>
      <c r="Q11" s="512"/>
      <c r="R11" s="104" t="s">
        <v>40</v>
      </c>
      <c r="S11" s="510"/>
      <c r="T11" s="510"/>
      <c r="U11" s="510"/>
      <c r="V11" s="510"/>
      <c r="W11" s="453"/>
      <c r="X11" s="105"/>
      <c r="Y11" s="104" t="s">
        <v>40</v>
      </c>
      <c r="Z11" s="102" t="s">
        <v>36</v>
      </c>
      <c r="AA11" s="452"/>
      <c r="AB11" s="411"/>
      <c r="AC11" s="411"/>
      <c r="AD11" s="453"/>
      <c r="AE11" s="265" t="s">
        <v>668</v>
      </c>
      <c r="AF11" s="531"/>
      <c r="AG11" s="541"/>
      <c r="AH11" s="452"/>
      <c r="AI11" s="539"/>
      <c r="AJ11" s="539"/>
      <c r="AK11" s="453"/>
      <c r="AL11" s="542"/>
      <c r="AM11" s="544"/>
      <c r="AN11" s="477"/>
      <c r="AO11" s="452"/>
      <c r="AP11" s="540" t="s">
        <v>786</v>
      </c>
      <c r="AQ11" s="540" t="s">
        <v>787</v>
      </c>
      <c r="AR11" s="453"/>
      <c r="AS11" s="538" t="s">
        <v>816</v>
      </c>
      <c r="AT11" s="554"/>
      <c r="AU11" s="556"/>
      <c r="AV11" s="452"/>
      <c r="AW11" s="556"/>
      <c r="AX11" s="559"/>
      <c r="AY11" s="453"/>
      <c r="AZ11" s="560" t="s">
        <v>816</v>
      </c>
      <c r="BA11" s="561"/>
      <c r="BB11" s="562"/>
      <c r="BC11" s="452"/>
      <c r="BD11" s="563"/>
      <c r="BE11" s="563"/>
      <c r="BF11" s="453"/>
      <c r="BG11" s="568"/>
      <c r="BH11" s="582"/>
      <c r="BI11" s="562"/>
      <c r="BJ11" s="579"/>
      <c r="BK11" s="563"/>
      <c r="BL11" s="563"/>
      <c r="BM11" s="562"/>
      <c r="BN11" s="573"/>
      <c r="BO11" s="583"/>
      <c r="BP11" s="453"/>
      <c r="BQ11" s="452"/>
      <c r="BR11" s="411"/>
      <c r="BS11" s="411"/>
      <c r="BT11" s="453"/>
      <c r="BU11" s="518"/>
      <c r="BV11" s="477"/>
      <c r="BW11" s="453"/>
      <c r="BX11" s="452"/>
      <c r="BY11" s="426"/>
      <c r="BZ11" s="426"/>
      <c r="CA11" s="479"/>
      <c r="CB11" s="481"/>
      <c r="CC11" s="482"/>
      <c r="CD11" s="477"/>
      <c r="CE11" s="453"/>
      <c r="CF11" s="452"/>
      <c r="CG11" s="426"/>
      <c r="CH11" s="426"/>
      <c r="CI11" s="479"/>
      <c r="CJ11" s="481"/>
      <c r="CK11" s="482"/>
      <c r="CL11" s="416"/>
      <c r="CM11" s="687"/>
      <c r="CN11" s="452"/>
    </row>
    <row r="12" spans="1:92" ht="112.5" customHeight="1" x14ac:dyDescent="0.25">
      <c r="A12" s="494" t="s">
        <v>25</v>
      </c>
      <c r="B12" s="384" t="s">
        <v>26</v>
      </c>
      <c r="C12" s="492" t="s">
        <v>27</v>
      </c>
      <c r="D12" s="744" t="s">
        <v>28</v>
      </c>
      <c r="E12" s="718" t="s">
        <v>29</v>
      </c>
      <c r="F12" s="718" t="s">
        <v>30</v>
      </c>
      <c r="G12" s="718" t="s">
        <v>31</v>
      </c>
      <c r="H12" s="719" t="s">
        <v>996</v>
      </c>
      <c r="I12" s="718" t="s">
        <v>32</v>
      </c>
      <c r="J12" s="718" t="s">
        <v>33</v>
      </c>
      <c r="K12" s="60" t="s">
        <v>295</v>
      </c>
      <c r="L12" s="60" t="s">
        <v>380</v>
      </c>
      <c r="M12" s="60" t="s">
        <v>296</v>
      </c>
      <c r="N12" s="60" t="s">
        <v>428</v>
      </c>
      <c r="O12" s="60" t="s">
        <v>297</v>
      </c>
      <c r="P12" s="60" t="s">
        <v>398</v>
      </c>
      <c r="Q12" s="129" t="s">
        <v>33</v>
      </c>
      <c r="R12" s="106" t="s">
        <v>40</v>
      </c>
      <c r="S12" s="510"/>
      <c r="T12" s="510"/>
      <c r="U12" s="510"/>
      <c r="V12" s="510"/>
      <c r="W12" s="453" t="s">
        <v>278</v>
      </c>
      <c r="X12" s="108"/>
      <c r="Y12" s="106" t="s">
        <v>40</v>
      </c>
      <c r="Z12" s="103" t="s">
        <v>36</v>
      </c>
      <c r="AA12" s="41">
        <v>0.77</v>
      </c>
      <c r="AB12" s="58"/>
      <c r="AC12" s="58"/>
      <c r="AD12" s="453" t="s">
        <v>278</v>
      </c>
      <c r="AE12" s="266" t="s">
        <v>669</v>
      </c>
      <c r="AF12" s="269">
        <v>0.125</v>
      </c>
      <c r="AG12" s="133">
        <v>0.22</v>
      </c>
      <c r="AH12" s="41">
        <v>0.64449999999999996</v>
      </c>
      <c r="AI12" s="539" t="s">
        <v>698</v>
      </c>
      <c r="AJ12" s="539" t="s">
        <v>699</v>
      </c>
      <c r="AK12" s="453" t="s">
        <v>278</v>
      </c>
      <c r="AL12" s="268" t="s">
        <v>733</v>
      </c>
      <c r="AM12" s="275">
        <v>0.12</v>
      </c>
      <c r="AN12" s="243">
        <v>0.22</v>
      </c>
      <c r="AO12" s="41">
        <v>0.77</v>
      </c>
      <c r="AP12" s="539" t="s">
        <v>788</v>
      </c>
      <c r="AQ12" s="539" t="s">
        <v>789</v>
      </c>
      <c r="AR12" s="453" t="s">
        <v>278</v>
      </c>
      <c r="AS12" s="642" t="s">
        <v>817</v>
      </c>
      <c r="AT12" s="276">
        <v>0.11700000000000001</v>
      </c>
      <c r="AU12" s="244">
        <v>0.18</v>
      </c>
      <c r="AV12" s="41">
        <v>0.64449999999999996</v>
      </c>
      <c r="AW12" s="245" t="s">
        <v>856</v>
      </c>
      <c r="AX12" s="245" t="s">
        <v>856</v>
      </c>
      <c r="AY12" s="453" t="s">
        <v>278</v>
      </c>
      <c r="AZ12" s="277" t="s">
        <v>865</v>
      </c>
      <c r="BA12" s="190">
        <v>0.17499999999999999</v>
      </c>
      <c r="BB12" s="84">
        <v>0.21</v>
      </c>
      <c r="BC12" s="41">
        <v>0.77</v>
      </c>
      <c r="BD12" s="563" t="s">
        <v>921</v>
      </c>
      <c r="BE12" s="563" t="s">
        <v>922</v>
      </c>
      <c r="BF12" s="453" t="s">
        <v>278</v>
      </c>
      <c r="BG12" s="285" t="s">
        <v>935</v>
      </c>
      <c r="BH12" s="190" t="s">
        <v>403</v>
      </c>
      <c r="BI12" s="90">
        <v>35.299999999999997</v>
      </c>
      <c r="BJ12" s="246">
        <v>0</v>
      </c>
      <c r="BK12" s="79"/>
      <c r="BL12" s="79"/>
      <c r="BM12" s="562" t="s">
        <v>278</v>
      </c>
      <c r="BN12" s="186" t="s">
        <v>511</v>
      </c>
      <c r="BO12" s="161" t="s">
        <v>403</v>
      </c>
      <c r="BP12" s="247" t="s">
        <v>421</v>
      </c>
      <c r="BQ12" s="41">
        <v>0.64449999999999996</v>
      </c>
      <c r="BR12" s="58">
        <v>0</v>
      </c>
      <c r="BS12" s="58">
        <v>0</v>
      </c>
      <c r="BT12" s="453" t="s">
        <v>278</v>
      </c>
      <c r="BU12" s="113" t="s">
        <v>590</v>
      </c>
      <c r="BV12" s="137">
        <v>0.13</v>
      </c>
      <c r="BW12" s="247" t="s">
        <v>463</v>
      </c>
      <c r="BX12" s="41">
        <v>0.4</v>
      </c>
      <c r="BY12" s="58">
        <f>8380975+175942526+66232642475</f>
        <v>66416965976</v>
      </c>
      <c r="BZ12" s="58">
        <f>6285731+
140457526+66232642475</f>
        <v>66379385732</v>
      </c>
      <c r="CA12" s="326">
        <f>BZ12/BY12</f>
        <v>0.9994341770442573</v>
      </c>
      <c r="CB12" s="319" t="s">
        <v>996</v>
      </c>
      <c r="CC12" s="346" t="s">
        <v>1080</v>
      </c>
      <c r="CD12" s="72" t="s">
        <v>1102</v>
      </c>
      <c r="CE12" s="39">
        <v>0.20499999999999999</v>
      </c>
      <c r="CF12" s="368">
        <v>0.33300000000000002</v>
      </c>
      <c r="CG12" s="58">
        <f>8380975+175942526+66232642475</f>
        <v>66416965976</v>
      </c>
      <c r="CH12" s="58">
        <f>6285731+
140457526+66232642475</f>
        <v>66379385732</v>
      </c>
      <c r="CI12" s="326">
        <f>CH12/CG12</f>
        <v>0.9994341770442573</v>
      </c>
      <c r="CJ12" s="319" t="s">
        <v>996</v>
      </c>
      <c r="CK12" s="346" t="s">
        <v>1116</v>
      </c>
      <c r="CL12" s="48" t="s">
        <v>33</v>
      </c>
      <c r="CM12" s="371">
        <v>0.20499999999999999</v>
      </c>
      <c r="CN12" s="368">
        <v>0.52300000000000002</v>
      </c>
    </row>
    <row r="13" spans="1:92" s="2" customFormat="1" ht="201.75" customHeight="1" x14ac:dyDescent="0.25">
      <c r="A13" s="494"/>
      <c r="B13" s="384"/>
      <c r="C13" s="492"/>
      <c r="D13" s="745" t="s">
        <v>34</v>
      </c>
      <c r="E13" s="723" t="s">
        <v>35</v>
      </c>
      <c r="F13" s="723" t="s">
        <v>429</v>
      </c>
      <c r="G13" s="723" t="s">
        <v>430</v>
      </c>
      <c r="H13" s="135" t="s">
        <v>997</v>
      </c>
      <c r="I13" s="723" t="s">
        <v>36</v>
      </c>
      <c r="J13" s="723">
        <f>100*10*3</f>
        <v>3000</v>
      </c>
      <c r="K13" s="60" t="s">
        <v>295</v>
      </c>
      <c r="L13" s="60" t="s">
        <v>451</v>
      </c>
      <c r="M13" s="60" t="s">
        <v>369</v>
      </c>
      <c r="N13" s="60" t="s">
        <v>393</v>
      </c>
      <c r="O13" s="60" t="s">
        <v>370</v>
      </c>
      <c r="P13" s="60" t="s">
        <v>394</v>
      </c>
      <c r="Q13" s="129">
        <f>100*10*3</f>
        <v>3000</v>
      </c>
      <c r="R13" s="104" t="s">
        <v>40</v>
      </c>
      <c r="S13" s="510"/>
      <c r="T13" s="510"/>
      <c r="U13" s="510"/>
      <c r="V13" s="510"/>
      <c r="W13" s="453"/>
      <c r="X13" s="108"/>
      <c r="Y13" s="104" t="s">
        <v>40</v>
      </c>
      <c r="Z13" s="102" t="s">
        <v>36</v>
      </c>
      <c r="AA13" s="59">
        <v>0.33</v>
      </c>
      <c r="AB13" s="58"/>
      <c r="AC13" s="58"/>
      <c r="AD13" s="453"/>
      <c r="AE13" s="266" t="s">
        <v>670</v>
      </c>
      <c r="AF13" s="235">
        <v>300</v>
      </c>
      <c r="AG13" s="96">
        <v>714</v>
      </c>
      <c r="AH13" s="43">
        <v>0.33</v>
      </c>
      <c r="AI13" s="539"/>
      <c r="AJ13" s="539"/>
      <c r="AK13" s="453"/>
      <c r="AL13" s="268" t="s">
        <v>734</v>
      </c>
      <c r="AM13" s="187">
        <v>300</v>
      </c>
      <c r="AN13" s="72">
        <v>65</v>
      </c>
      <c r="AO13" s="59">
        <v>0.33</v>
      </c>
      <c r="AP13" s="540"/>
      <c r="AQ13" s="540"/>
      <c r="AR13" s="453"/>
      <c r="AS13" s="642"/>
      <c r="AT13" s="278">
        <v>3</v>
      </c>
      <c r="AU13" s="248">
        <v>3</v>
      </c>
      <c r="AV13" s="43">
        <v>0.33</v>
      </c>
      <c r="AW13" s="245" t="s">
        <v>856</v>
      </c>
      <c r="AX13" s="245" t="s">
        <v>856</v>
      </c>
      <c r="AY13" s="453"/>
      <c r="AZ13" s="279" t="s">
        <v>866</v>
      </c>
      <c r="BA13" s="191">
        <v>3</v>
      </c>
      <c r="BB13" s="80" t="s">
        <v>916</v>
      </c>
      <c r="BC13" s="59">
        <v>0.33</v>
      </c>
      <c r="BD13" s="563"/>
      <c r="BE13" s="563"/>
      <c r="BF13" s="453"/>
      <c r="BG13" s="285" t="s">
        <v>936</v>
      </c>
      <c r="BH13" s="191">
        <v>0</v>
      </c>
      <c r="BI13" s="80">
        <v>0</v>
      </c>
      <c r="BJ13" s="81">
        <v>1</v>
      </c>
      <c r="BK13" s="79"/>
      <c r="BL13" s="79"/>
      <c r="BM13" s="562"/>
      <c r="BN13" s="192" t="s">
        <v>512</v>
      </c>
      <c r="BO13" s="130">
        <v>0</v>
      </c>
      <c r="BP13" s="60">
        <v>0</v>
      </c>
      <c r="BQ13" s="57">
        <v>1</v>
      </c>
      <c r="BR13" s="58">
        <v>225000000</v>
      </c>
      <c r="BS13" s="58" t="s">
        <v>591</v>
      </c>
      <c r="BT13" s="453"/>
      <c r="BU13" s="162" t="s">
        <v>592</v>
      </c>
      <c r="BV13" s="99">
        <v>205</v>
      </c>
      <c r="BW13" s="60">
        <v>193</v>
      </c>
      <c r="BX13" s="59">
        <v>0.94099999999999995</v>
      </c>
      <c r="BY13" s="58">
        <f>8380975
+264860887+
1463333+3690000</f>
        <v>278395195</v>
      </c>
      <c r="BZ13" s="68">
        <f>3331245+196405887+630000+3960000</f>
        <v>204327132</v>
      </c>
      <c r="CA13" s="59">
        <f>BZ13/BY13</f>
        <v>0.73394633122170083</v>
      </c>
      <c r="CB13" s="96" t="s">
        <v>997</v>
      </c>
      <c r="CC13" s="82" t="s">
        <v>1093</v>
      </c>
      <c r="CD13" s="72">
        <v>205</v>
      </c>
      <c r="CE13" s="60">
        <v>193</v>
      </c>
      <c r="CF13" s="59">
        <v>0.94099999999999995</v>
      </c>
      <c r="CG13" s="58">
        <f>8380975
+264860887+
1463333+3690000</f>
        <v>278395195</v>
      </c>
      <c r="CH13" s="68">
        <f>3331245+196405887+630000+3960000</f>
        <v>204327132</v>
      </c>
      <c r="CI13" s="59">
        <f>CH13/CG13</f>
        <v>0.73394633122170083</v>
      </c>
      <c r="CJ13" s="96" t="s">
        <v>997</v>
      </c>
      <c r="CK13" s="82" t="s">
        <v>1117</v>
      </c>
      <c r="CL13" s="60">
        <f>100*10*3</f>
        <v>3000</v>
      </c>
      <c r="CM13" s="298">
        <v>981.5</v>
      </c>
      <c r="CN13" s="360">
        <f>CM13/CL13</f>
        <v>0.32716666666666666</v>
      </c>
    </row>
    <row r="14" spans="1:92" ht="93.75" customHeight="1" x14ac:dyDescent="0.25">
      <c r="A14" s="494"/>
      <c r="B14" s="384"/>
      <c r="C14" s="492"/>
      <c r="D14" s="741" t="s">
        <v>37</v>
      </c>
      <c r="E14" s="717" t="s">
        <v>38</v>
      </c>
      <c r="F14" s="717" t="s">
        <v>434</v>
      </c>
      <c r="G14" s="717" t="s">
        <v>39</v>
      </c>
      <c r="H14" s="724" t="s">
        <v>998</v>
      </c>
      <c r="I14" s="720" t="s">
        <v>36</v>
      </c>
      <c r="J14" s="720" t="s">
        <v>40</v>
      </c>
      <c r="K14" s="453" t="s">
        <v>291</v>
      </c>
      <c r="L14" s="453" t="s">
        <v>381</v>
      </c>
      <c r="M14" s="453" t="s">
        <v>371</v>
      </c>
      <c r="N14" s="453" t="s">
        <v>386</v>
      </c>
      <c r="O14" s="453" t="s">
        <v>372</v>
      </c>
      <c r="P14" s="453" t="s">
        <v>395</v>
      </c>
      <c r="Q14" s="513" t="s">
        <v>40</v>
      </c>
      <c r="R14" s="104" t="s">
        <v>40</v>
      </c>
      <c r="S14" s="510"/>
      <c r="T14" s="510"/>
      <c r="U14" s="510"/>
      <c r="V14" s="510"/>
      <c r="W14" s="453"/>
      <c r="X14" s="108"/>
      <c r="Y14" s="104" t="s">
        <v>40</v>
      </c>
      <c r="Z14" s="102" t="s">
        <v>36</v>
      </c>
      <c r="AA14" s="452">
        <v>0</v>
      </c>
      <c r="AB14" s="511"/>
      <c r="AC14" s="511"/>
      <c r="AD14" s="453"/>
      <c r="AE14" s="266" t="s">
        <v>670</v>
      </c>
      <c r="AF14" s="238">
        <v>0.06</v>
      </c>
      <c r="AG14" s="133">
        <v>0.06</v>
      </c>
      <c r="AH14" s="452">
        <v>0</v>
      </c>
      <c r="AI14" s="539"/>
      <c r="AJ14" s="539"/>
      <c r="AK14" s="453"/>
      <c r="AL14" s="224" t="s">
        <v>735</v>
      </c>
      <c r="AM14" s="214">
        <v>0.06</v>
      </c>
      <c r="AN14" s="72">
        <v>0</v>
      </c>
      <c r="AO14" s="452">
        <v>0</v>
      </c>
      <c r="AP14" s="540"/>
      <c r="AQ14" s="540"/>
      <c r="AR14" s="453"/>
      <c r="AS14" s="642"/>
      <c r="AT14" s="225">
        <v>0.06</v>
      </c>
      <c r="AU14" s="146">
        <v>0.04</v>
      </c>
      <c r="AV14" s="452">
        <v>0</v>
      </c>
      <c r="AW14" s="245" t="s">
        <v>856</v>
      </c>
      <c r="AX14" s="245" t="s">
        <v>856</v>
      </c>
      <c r="AY14" s="453"/>
      <c r="AZ14" s="226" t="s">
        <v>867</v>
      </c>
      <c r="BA14" s="561">
        <v>12</v>
      </c>
      <c r="BB14" s="562" t="s">
        <v>917</v>
      </c>
      <c r="BC14" s="452">
        <v>0</v>
      </c>
      <c r="BD14" s="563"/>
      <c r="BE14" s="563"/>
      <c r="BF14" s="453"/>
      <c r="BG14" s="569" t="s">
        <v>937</v>
      </c>
      <c r="BH14" s="570">
        <v>0.1</v>
      </c>
      <c r="BI14" s="562">
        <v>0</v>
      </c>
      <c r="BJ14" s="579">
        <v>0</v>
      </c>
      <c r="BK14" s="563"/>
      <c r="BL14" s="563"/>
      <c r="BM14" s="562"/>
      <c r="BN14" s="573" t="s">
        <v>513</v>
      </c>
      <c r="BO14" s="580">
        <v>0.1</v>
      </c>
      <c r="BP14" s="453">
        <v>0</v>
      </c>
      <c r="BQ14" s="452">
        <v>0</v>
      </c>
      <c r="BR14" s="511" t="s">
        <v>593</v>
      </c>
      <c r="BS14" s="511" t="s">
        <v>594</v>
      </c>
      <c r="BT14" s="453"/>
      <c r="BU14" s="518" t="s">
        <v>595</v>
      </c>
      <c r="BV14" s="547">
        <v>0.1</v>
      </c>
      <c r="BW14" s="453">
        <v>0</v>
      </c>
      <c r="BX14" s="452">
        <v>0</v>
      </c>
      <c r="BY14" s="618">
        <v>30000000</v>
      </c>
      <c r="BZ14" s="618">
        <v>30000000</v>
      </c>
      <c r="CA14" s="440">
        <f>BZ14/BY14</f>
        <v>1</v>
      </c>
      <c r="CB14" s="390" t="s">
        <v>998</v>
      </c>
      <c r="CC14" s="393" t="s">
        <v>1046</v>
      </c>
      <c r="CD14" s="547">
        <v>0.1</v>
      </c>
      <c r="CE14" s="453">
        <v>0</v>
      </c>
      <c r="CF14" s="452">
        <v>0</v>
      </c>
      <c r="CG14" s="618">
        <v>30000000</v>
      </c>
      <c r="CH14" s="618">
        <v>30000000</v>
      </c>
      <c r="CI14" s="440">
        <f>CH14/CG14</f>
        <v>1</v>
      </c>
      <c r="CJ14" s="390" t="s">
        <v>998</v>
      </c>
      <c r="CK14" s="393" t="s">
        <v>1156</v>
      </c>
      <c r="CL14" s="453">
        <v>0</v>
      </c>
      <c r="CM14" s="685">
        <v>0</v>
      </c>
      <c r="CN14" s="452">
        <v>0</v>
      </c>
    </row>
    <row r="15" spans="1:92" ht="73.5" customHeight="1" x14ac:dyDescent="0.25">
      <c r="A15" s="494"/>
      <c r="B15" s="384"/>
      <c r="C15" s="492"/>
      <c r="D15" s="741"/>
      <c r="E15" s="717"/>
      <c r="F15" s="717"/>
      <c r="G15" s="717"/>
      <c r="H15" s="725"/>
      <c r="I15" s="720"/>
      <c r="J15" s="720"/>
      <c r="K15" s="453"/>
      <c r="L15" s="453"/>
      <c r="M15" s="453"/>
      <c r="N15" s="453"/>
      <c r="O15" s="453"/>
      <c r="P15" s="453"/>
      <c r="Q15" s="513"/>
      <c r="R15" s="104" t="s">
        <v>40</v>
      </c>
      <c r="S15" s="510"/>
      <c r="T15" s="510"/>
      <c r="U15" s="510"/>
      <c r="V15" s="510"/>
      <c r="W15" s="453"/>
      <c r="X15" s="108"/>
      <c r="Y15" s="104" t="s">
        <v>40</v>
      </c>
      <c r="Z15" s="102" t="s">
        <v>36</v>
      </c>
      <c r="AA15" s="452"/>
      <c r="AB15" s="511"/>
      <c r="AC15" s="511"/>
      <c r="AD15" s="453"/>
      <c r="AE15" s="266" t="s">
        <v>670</v>
      </c>
      <c r="AF15" s="235" t="s">
        <v>691</v>
      </c>
      <c r="AG15" s="96" t="s">
        <v>691</v>
      </c>
      <c r="AH15" s="452"/>
      <c r="AI15" s="74" t="s">
        <v>700</v>
      </c>
      <c r="AJ15" s="74" t="s">
        <v>700</v>
      </c>
      <c r="AK15" s="453"/>
      <c r="AL15" s="538" t="s">
        <v>736</v>
      </c>
      <c r="AM15" s="235" t="s">
        <v>691</v>
      </c>
      <c r="AN15" s="96" t="s">
        <v>691</v>
      </c>
      <c r="AO15" s="452"/>
      <c r="AP15" s="74" t="s">
        <v>700</v>
      </c>
      <c r="AQ15" s="74" t="s">
        <v>700</v>
      </c>
      <c r="AR15" s="453"/>
      <c r="AS15" s="542" t="s">
        <v>818</v>
      </c>
      <c r="AT15" s="227">
        <v>649</v>
      </c>
      <c r="AU15" s="145">
        <v>649</v>
      </c>
      <c r="AV15" s="452"/>
      <c r="AW15" s="245" t="s">
        <v>856</v>
      </c>
      <c r="AX15" s="245" t="s">
        <v>856</v>
      </c>
      <c r="AY15" s="453"/>
      <c r="AZ15" s="661" t="s">
        <v>868</v>
      </c>
      <c r="BA15" s="561"/>
      <c r="BB15" s="562"/>
      <c r="BC15" s="452"/>
      <c r="BD15" s="563"/>
      <c r="BE15" s="563"/>
      <c r="BF15" s="453"/>
      <c r="BG15" s="569"/>
      <c r="BH15" s="561"/>
      <c r="BI15" s="562"/>
      <c r="BJ15" s="579"/>
      <c r="BK15" s="563"/>
      <c r="BL15" s="563"/>
      <c r="BM15" s="562"/>
      <c r="BN15" s="573"/>
      <c r="BO15" s="581"/>
      <c r="BP15" s="453"/>
      <c r="BQ15" s="452"/>
      <c r="BR15" s="511"/>
      <c r="BS15" s="511"/>
      <c r="BT15" s="453"/>
      <c r="BU15" s="518"/>
      <c r="BV15" s="477"/>
      <c r="BW15" s="453"/>
      <c r="BX15" s="452"/>
      <c r="BY15" s="619"/>
      <c r="BZ15" s="619"/>
      <c r="CA15" s="441"/>
      <c r="CB15" s="412"/>
      <c r="CC15" s="419"/>
      <c r="CD15" s="477"/>
      <c r="CE15" s="453"/>
      <c r="CF15" s="452"/>
      <c r="CG15" s="619"/>
      <c r="CH15" s="619"/>
      <c r="CI15" s="441"/>
      <c r="CJ15" s="412"/>
      <c r="CK15" s="419"/>
      <c r="CL15" s="453"/>
      <c r="CM15" s="688"/>
      <c r="CN15" s="452"/>
    </row>
    <row r="16" spans="1:92" ht="107.25" customHeight="1" x14ac:dyDescent="0.25">
      <c r="A16" s="494"/>
      <c r="B16" s="384"/>
      <c r="C16" s="492"/>
      <c r="D16" s="744" t="s">
        <v>41</v>
      </c>
      <c r="E16" s="723" t="s">
        <v>42</v>
      </c>
      <c r="F16" s="723" t="s">
        <v>43</v>
      </c>
      <c r="G16" s="723" t="s">
        <v>44</v>
      </c>
      <c r="H16" s="135" t="s">
        <v>999</v>
      </c>
      <c r="I16" s="726">
        <v>0.8</v>
      </c>
      <c r="J16" s="718" t="s">
        <v>435</v>
      </c>
      <c r="K16" s="453" t="s">
        <v>295</v>
      </c>
      <c r="L16" s="453" t="s">
        <v>298</v>
      </c>
      <c r="M16" s="453">
        <v>3602018</v>
      </c>
      <c r="N16" s="453" t="s">
        <v>299</v>
      </c>
      <c r="O16" s="453">
        <v>360201800</v>
      </c>
      <c r="P16" s="453" t="s">
        <v>300</v>
      </c>
      <c r="Q16" s="125" t="s">
        <v>435</v>
      </c>
      <c r="R16" s="104" t="s">
        <v>40</v>
      </c>
      <c r="S16" s="510"/>
      <c r="T16" s="510"/>
      <c r="U16" s="510"/>
      <c r="V16" s="510"/>
      <c r="W16" s="453" t="s">
        <v>452</v>
      </c>
      <c r="X16" s="108"/>
      <c r="Y16" s="104" t="s">
        <v>40</v>
      </c>
      <c r="Z16" s="102" t="s">
        <v>36</v>
      </c>
      <c r="AA16" s="63" t="e">
        <f>Z16/Y16</f>
        <v>#VALUE!</v>
      </c>
      <c r="AB16" s="411"/>
      <c r="AC16" s="411"/>
      <c r="AD16" s="453" t="s">
        <v>452</v>
      </c>
      <c r="AE16" s="266" t="s">
        <v>670</v>
      </c>
      <c r="AF16" s="235" t="s">
        <v>691</v>
      </c>
      <c r="AG16" s="96" t="s">
        <v>691</v>
      </c>
      <c r="AH16" s="63" t="e">
        <f>AG16/AF16</f>
        <v>#VALUE!</v>
      </c>
      <c r="AI16" s="74" t="s">
        <v>700</v>
      </c>
      <c r="AJ16" s="74" t="s">
        <v>700</v>
      </c>
      <c r="AK16" s="453" t="s">
        <v>452</v>
      </c>
      <c r="AL16" s="538"/>
      <c r="AM16" s="235" t="s">
        <v>691</v>
      </c>
      <c r="AN16" s="96" t="s">
        <v>691</v>
      </c>
      <c r="AO16" s="63" t="e">
        <f>AN16/AM16</f>
        <v>#VALUE!</v>
      </c>
      <c r="AP16" s="74" t="s">
        <v>700</v>
      </c>
      <c r="AQ16" s="74" t="s">
        <v>700</v>
      </c>
      <c r="AR16" s="453" t="s">
        <v>452</v>
      </c>
      <c r="AS16" s="542"/>
      <c r="AT16" s="223">
        <v>155</v>
      </c>
      <c r="AU16" s="145">
        <v>155</v>
      </c>
      <c r="AV16" s="63">
        <f>AU16/AT16</f>
        <v>1</v>
      </c>
      <c r="AW16" s="245" t="s">
        <v>856</v>
      </c>
      <c r="AX16" s="245" t="s">
        <v>856</v>
      </c>
      <c r="AY16" s="453" t="s">
        <v>452</v>
      </c>
      <c r="AZ16" s="661"/>
      <c r="BA16" s="191">
        <v>253</v>
      </c>
      <c r="BB16" s="80">
        <v>253</v>
      </c>
      <c r="BC16" s="63">
        <f>BB16/BA16</f>
        <v>1</v>
      </c>
      <c r="BD16" s="563">
        <v>150000000</v>
      </c>
      <c r="BE16" s="563">
        <v>150000000</v>
      </c>
      <c r="BF16" s="453" t="s">
        <v>452</v>
      </c>
      <c r="BG16" s="564" t="s">
        <v>938</v>
      </c>
      <c r="BH16" s="191">
        <v>1741</v>
      </c>
      <c r="BI16" s="80">
        <v>1741</v>
      </c>
      <c r="BJ16" s="83">
        <v>1</v>
      </c>
      <c r="BK16" s="563"/>
      <c r="BL16" s="563"/>
      <c r="BM16" s="562" t="s">
        <v>514</v>
      </c>
      <c r="BN16" s="564" t="s">
        <v>515</v>
      </c>
      <c r="BO16" s="130">
        <v>1741</v>
      </c>
      <c r="BP16" s="60">
        <v>1523</v>
      </c>
      <c r="BQ16" s="63">
        <f>BP16/BO16</f>
        <v>0.87478460654796097</v>
      </c>
      <c r="BR16" s="411"/>
      <c r="BS16" s="411"/>
      <c r="BT16" s="453" t="s">
        <v>452</v>
      </c>
      <c r="BU16" s="585" t="s">
        <v>596</v>
      </c>
      <c r="BV16" s="99">
        <v>1741</v>
      </c>
      <c r="BW16" s="60">
        <v>1925</v>
      </c>
      <c r="BX16" s="316">
        <v>1</v>
      </c>
      <c r="BY16" s="400">
        <v>0</v>
      </c>
      <c r="BZ16" s="400">
        <v>0</v>
      </c>
      <c r="CA16" s="299">
        <v>0</v>
      </c>
      <c r="CB16" s="96" t="s">
        <v>999</v>
      </c>
      <c r="CC16" s="455" t="s">
        <v>1047</v>
      </c>
      <c r="CD16" s="99">
        <v>1741</v>
      </c>
      <c r="CE16" s="60">
        <v>1925</v>
      </c>
      <c r="CF16" s="316">
        <v>1</v>
      </c>
      <c r="CG16" s="400">
        <v>0</v>
      </c>
      <c r="CH16" s="400">
        <v>0</v>
      </c>
      <c r="CI16" s="299">
        <v>0</v>
      </c>
      <c r="CJ16" s="96" t="s">
        <v>999</v>
      </c>
      <c r="CK16" s="455" t="s">
        <v>1047</v>
      </c>
      <c r="CL16" s="48" t="s">
        <v>435</v>
      </c>
      <c r="CM16" s="298">
        <v>5959</v>
      </c>
      <c r="CN16" s="63">
        <v>1</v>
      </c>
    </row>
    <row r="17" spans="1:92" ht="71.25" customHeight="1" x14ac:dyDescent="0.25">
      <c r="A17" s="494"/>
      <c r="B17" s="384"/>
      <c r="C17" s="492"/>
      <c r="D17" s="744" t="s">
        <v>45</v>
      </c>
      <c r="E17" s="723" t="s">
        <v>46</v>
      </c>
      <c r="F17" s="723" t="s">
        <v>47</v>
      </c>
      <c r="G17" s="723" t="s">
        <v>44</v>
      </c>
      <c r="H17" s="135" t="s">
        <v>999</v>
      </c>
      <c r="I17" s="723" t="s">
        <v>36</v>
      </c>
      <c r="J17" s="718" t="s">
        <v>435</v>
      </c>
      <c r="K17" s="453"/>
      <c r="L17" s="453"/>
      <c r="M17" s="453"/>
      <c r="N17" s="453"/>
      <c r="O17" s="453"/>
      <c r="P17" s="453"/>
      <c r="Q17" s="125" t="s">
        <v>435</v>
      </c>
      <c r="R17" s="106" t="s">
        <v>40</v>
      </c>
      <c r="S17" s="510"/>
      <c r="T17" s="510"/>
      <c r="U17" s="510"/>
      <c r="V17" s="510"/>
      <c r="W17" s="453"/>
      <c r="X17" s="108"/>
      <c r="Y17" s="106" t="s">
        <v>40</v>
      </c>
      <c r="Z17" s="103">
        <v>0.01</v>
      </c>
      <c r="AA17" s="63" t="e">
        <f>Z17/Y17</f>
        <v>#VALUE!</v>
      </c>
      <c r="AB17" s="411"/>
      <c r="AC17" s="411"/>
      <c r="AD17" s="453"/>
      <c r="AE17" s="266" t="s">
        <v>671</v>
      </c>
      <c r="AF17" s="269">
        <v>4.0000000000000001E-3</v>
      </c>
      <c r="AG17" s="133">
        <v>4.0000000000000001E-3</v>
      </c>
      <c r="AH17" s="63">
        <f>AG17/AF17</f>
        <v>1</v>
      </c>
      <c r="AI17" s="539">
        <v>16500000</v>
      </c>
      <c r="AJ17" s="539">
        <v>16500000</v>
      </c>
      <c r="AK17" s="453"/>
      <c r="AL17" s="538" t="s">
        <v>737</v>
      </c>
      <c r="AM17" s="237">
        <v>4.0000000000000001E-3</v>
      </c>
      <c r="AN17" s="138" t="s">
        <v>40</v>
      </c>
      <c r="AO17" s="63" t="e">
        <f>AN17/AM17</f>
        <v>#VALUE!</v>
      </c>
      <c r="AP17" s="540" t="s">
        <v>790</v>
      </c>
      <c r="AQ17" s="540" t="s">
        <v>700</v>
      </c>
      <c r="AR17" s="453"/>
      <c r="AS17" s="643" t="s">
        <v>819</v>
      </c>
      <c r="AT17" s="228">
        <v>4.0000000000000001E-3</v>
      </c>
      <c r="AU17" s="147">
        <v>3.5000000000000001E-3</v>
      </c>
      <c r="AV17" s="63">
        <f>AU17/AT17</f>
        <v>0.875</v>
      </c>
      <c r="AW17" s="559" t="s">
        <v>856</v>
      </c>
      <c r="AX17" s="559" t="s">
        <v>856</v>
      </c>
      <c r="AY17" s="453"/>
      <c r="AZ17" s="662" t="s">
        <v>869</v>
      </c>
      <c r="BA17" s="191">
        <v>253</v>
      </c>
      <c r="BB17" s="80">
        <v>253</v>
      </c>
      <c r="BC17" s="63">
        <f>BB17/BA17</f>
        <v>1</v>
      </c>
      <c r="BD17" s="563"/>
      <c r="BE17" s="563"/>
      <c r="BF17" s="453"/>
      <c r="BG17" s="564"/>
      <c r="BH17" s="191">
        <v>1741</v>
      </c>
      <c r="BI17" s="80">
        <v>1741</v>
      </c>
      <c r="BJ17" s="83">
        <v>1</v>
      </c>
      <c r="BK17" s="563"/>
      <c r="BL17" s="563"/>
      <c r="BM17" s="562"/>
      <c r="BN17" s="564"/>
      <c r="BO17" s="130">
        <v>1741</v>
      </c>
      <c r="BP17" s="60">
        <v>1523</v>
      </c>
      <c r="BQ17" s="63">
        <f>BP17/BO17</f>
        <v>0.87478460654796097</v>
      </c>
      <c r="BR17" s="411"/>
      <c r="BS17" s="411"/>
      <c r="BT17" s="453"/>
      <c r="BU17" s="585"/>
      <c r="BV17" s="99">
        <v>1741</v>
      </c>
      <c r="BW17" s="60">
        <v>1925</v>
      </c>
      <c r="BX17" s="316">
        <v>1</v>
      </c>
      <c r="BY17" s="401"/>
      <c r="BZ17" s="401"/>
      <c r="CA17" s="299">
        <v>0</v>
      </c>
      <c r="CB17" s="96" t="s">
        <v>999</v>
      </c>
      <c r="CC17" s="457"/>
      <c r="CD17" s="99">
        <v>1741</v>
      </c>
      <c r="CE17" s="60">
        <v>1925</v>
      </c>
      <c r="CF17" s="316">
        <v>1</v>
      </c>
      <c r="CG17" s="401"/>
      <c r="CH17" s="401"/>
      <c r="CI17" s="299">
        <v>0</v>
      </c>
      <c r="CJ17" s="96" t="s">
        <v>999</v>
      </c>
      <c r="CK17" s="457"/>
      <c r="CL17" s="48" t="s">
        <v>435</v>
      </c>
      <c r="CM17" s="298">
        <v>5959</v>
      </c>
      <c r="CN17" s="316">
        <v>1</v>
      </c>
    </row>
    <row r="18" spans="1:92" ht="86.25" customHeight="1" x14ac:dyDescent="0.25">
      <c r="A18" s="494"/>
      <c r="B18" s="384"/>
      <c r="C18" s="492"/>
      <c r="D18" s="741" t="s">
        <v>48</v>
      </c>
      <c r="E18" s="720" t="s">
        <v>49</v>
      </c>
      <c r="F18" s="723" t="s">
        <v>50</v>
      </c>
      <c r="G18" s="723" t="s">
        <v>51</v>
      </c>
      <c r="H18" s="135" t="s">
        <v>1000</v>
      </c>
      <c r="I18" s="723" t="s">
        <v>52</v>
      </c>
      <c r="J18" s="718" t="s">
        <v>53</v>
      </c>
      <c r="K18" s="453" t="s">
        <v>436</v>
      </c>
      <c r="L18" s="453" t="s">
        <v>382</v>
      </c>
      <c r="M18" s="453" t="s">
        <v>301</v>
      </c>
      <c r="N18" s="453" t="s">
        <v>437</v>
      </c>
      <c r="O18" s="453" t="s">
        <v>302</v>
      </c>
      <c r="P18" s="453" t="s">
        <v>396</v>
      </c>
      <c r="Q18" s="125" t="s">
        <v>53</v>
      </c>
      <c r="R18" s="106" t="s">
        <v>40</v>
      </c>
      <c r="S18" s="510"/>
      <c r="T18" s="510"/>
      <c r="U18" s="510"/>
      <c r="V18" s="510"/>
      <c r="W18" s="453" t="s">
        <v>280</v>
      </c>
      <c r="X18" s="108"/>
      <c r="Y18" s="106" t="s">
        <v>40</v>
      </c>
      <c r="Z18" s="103">
        <v>0.05</v>
      </c>
      <c r="AA18" s="41">
        <v>1</v>
      </c>
      <c r="AB18" s="533"/>
      <c r="AC18" s="533"/>
      <c r="AD18" s="453" t="s">
        <v>280</v>
      </c>
      <c r="AE18" s="266" t="s">
        <v>670</v>
      </c>
      <c r="AF18" s="640">
        <v>7.0000000000000001E-3</v>
      </c>
      <c r="AG18" s="550">
        <v>0.109</v>
      </c>
      <c r="AH18" s="41">
        <v>1</v>
      </c>
      <c r="AI18" s="539"/>
      <c r="AJ18" s="539"/>
      <c r="AK18" s="453" t="s">
        <v>280</v>
      </c>
      <c r="AL18" s="538"/>
      <c r="AM18" s="545">
        <v>7.0000000000000001E-3</v>
      </c>
      <c r="AN18" s="546" t="s">
        <v>40</v>
      </c>
      <c r="AO18" s="41">
        <v>1</v>
      </c>
      <c r="AP18" s="540"/>
      <c r="AQ18" s="540"/>
      <c r="AR18" s="453" t="s">
        <v>280</v>
      </c>
      <c r="AS18" s="643"/>
      <c r="AT18" s="646">
        <v>0.1</v>
      </c>
      <c r="AU18" s="647">
        <v>0.08</v>
      </c>
      <c r="AV18" s="41">
        <v>1</v>
      </c>
      <c r="AW18" s="559"/>
      <c r="AX18" s="559"/>
      <c r="AY18" s="453" t="s">
        <v>280</v>
      </c>
      <c r="AZ18" s="662"/>
      <c r="BA18" s="190">
        <v>4.0000000000000001E-3</v>
      </c>
      <c r="BB18" s="78">
        <v>4.3999999999999997E-2</v>
      </c>
      <c r="BC18" s="41">
        <v>1</v>
      </c>
      <c r="BD18" s="565">
        <v>115272000</v>
      </c>
      <c r="BE18" s="565">
        <v>57636000</v>
      </c>
      <c r="BF18" s="453" t="s">
        <v>280</v>
      </c>
      <c r="BG18" s="566"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586" t="s">
        <v>401</v>
      </c>
      <c r="BI18" s="78">
        <v>0.03</v>
      </c>
      <c r="BJ18" s="246">
        <v>1</v>
      </c>
      <c r="BK18" s="587" t="s">
        <v>516</v>
      </c>
      <c r="BL18" s="587">
        <v>1980000</v>
      </c>
      <c r="BM18" s="562" t="s">
        <v>280</v>
      </c>
      <c r="BN18" s="588" t="s">
        <v>517</v>
      </c>
      <c r="BO18" s="590" t="s">
        <v>401</v>
      </c>
      <c r="BP18" s="38">
        <v>0.03</v>
      </c>
      <c r="BQ18" s="41">
        <v>1</v>
      </c>
      <c r="BR18" s="533" t="s">
        <v>465</v>
      </c>
      <c r="BS18" s="533" t="s">
        <v>466</v>
      </c>
      <c r="BT18" s="453" t="s">
        <v>280</v>
      </c>
      <c r="BU18" s="591" t="s">
        <v>597</v>
      </c>
      <c r="BV18" s="367" t="s">
        <v>979</v>
      </c>
      <c r="BW18" s="38">
        <v>0.03</v>
      </c>
      <c r="BX18" s="41">
        <v>1</v>
      </c>
      <c r="BY18" s="621">
        <f>163000000+
31500000</f>
        <v>194500000</v>
      </c>
      <c r="BZ18" s="621">
        <f>163000000+63000000</f>
        <v>226000000</v>
      </c>
      <c r="CA18" s="461">
        <v>1</v>
      </c>
      <c r="CB18" s="96" t="s">
        <v>1000</v>
      </c>
      <c r="CC18" s="624" t="s">
        <v>1048</v>
      </c>
      <c r="CD18" s="99" t="s">
        <v>1103</v>
      </c>
      <c r="CE18" s="38">
        <v>0.03</v>
      </c>
      <c r="CF18" s="41">
        <v>1</v>
      </c>
      <c r="CG18" s="621">
        <f>163000000+13571428+
31500000+33093900</f>
        <v>241165328</v>
      </c>
      <c r="CH18" s="621">
        <f>163000000+63000000+121344300+13571428</f>
        <v>360915728</v>
      </c>
      <c r="CI18" s="461">
        <v>1</v>
      </c>
      <c r="CJ18" s="96" t="s">
        <v>1000</v>
      </c>
      <c r="CK18" s="624" t="s">
        <v>1148</v>
      </c>
      <c r="CL18" s="48" t="s">
        <v>53</v>
      </c>
      <c r="CM18" s="38">
        <v>0.03</v>
      </c>
      <c r="CN18" s="327">
        <v>1</v>
      </c>
    </row>
    <row r="19" spans="1:92" ht="93.75" customHeight="1" x14ac:dyDescent="0.25">
      <c r="A19" s="494"/>
      <c r="B19" s="384"/>
      <c r="C19" s="492"/>
      <c r="D19" s="741"/>
      <c r="E19" s="720"/>
      <c r="F19" s="720" t="s">
        <v>54</v>
      </c>
      <c r="G19" s="720" t="s">
        <v>51</v>
      </c>
      <c r="H19" s="724" t="s">
        <v>1001</v>
      </c>
      <c r="I19" s="720" t="s">
        <v>55</v>
      </c>
      <c r="J19" s="717" t="s">
        <v>56</v>
      </c>
      <c r="K19" s="453"/>
      <c r="L19" s="453"/>
      <c r="M19" s="453"/>
      <c r="N19" s="453"/>
      <c r="O19" s="453"/>
      <c r="P19" s="453"/>
      <c r="Q19" s="513" t="s">
        <v>56</v>
      </c>
      <c r="R19" s="104" t="s">
        <v>40</v>
      </c>
      <c r="S19" s="510"/>
      <c r="T19" s="510"/>
      <c r="U19" s="510"/>
      <c r="V19" s="510"/>
      <c r="W19" s="453"/>
      <c r="X19" s="105"/>
      <c r="Y19" s="104" t="s">
        <v>40</v>
      </c>
      <c r="Z19" s="102">
        <v>1</v>
      </c>
      <c r="AA19" s="452">
        <v>0.97219999999999995</v>
      </c>
      <c r="AB19" s="533"/>
      <c r="AC19" s="533"/>
      <c r="AD19" s="453"/>
      <c r="AE19" s="265" t="s">
        <v>672</v>
      </c>
      <c r="AF19" s="640"/>
      <c r="AG19" s="550"/>
      <c r="AH19" s="452">
        <v>0.97219999999999995</v>
      </c>
      <c r="AI19" s="539"/>
      <c r="AJ19" s="539"/>
      <c r="AK19" s="453"/>
      <c r="AL19" s="538"/>
      <c r="AM19" s="545"/>
      <c r="AN19" s="546"/>
      <c r="AO19" s="452">
        <v>0.97219999999999995</v>
      </c>
      <c r="AP19" s="540"/>
      <c r="AQ19" s="540"/>
      <c r="AR19" s="453"/>
      <c r="AS19" s="643"/>
      <c r="AT19" s="646"/>
      <c r="AU19" s="647"/>
      <c r="AV19" s="452">
        <v>0.97219999999999995</v>
      </c>
      <c r="AW19" s="559"/>
      <c r="AX19" s="559"/>
      <c r="AY19" s="453"/>
      <c r="AZ19" s="662"/>
      <c r="BA19" s="586">
        <v>7.0000000000000001E-3</v>
      </c>
      <c r="BB19" s="567">
        <v>8.6999999999999994E-2</v>
      </c>
      <c r="BC19" s="452">
        <v>0.97219999999999995</v>
      </c>
      <c r="BD19" s="565"/>
      <c r="BE19" s="565"/>
      <c r="BF19" s="453"/>
      <c r="BG19" s="566"/>
      <c r="BH19" s="586"/>
      <c r="BI19" s="567" t="s">
        <v>412</v>
      </c>
      <c r="BJ19" s="592">
        <v>0.97219999999999995</v>
      </c>
      <c r="BK19" s="587"/>
      <c r="BL19" s="587"/>
      <c r="BM19" s="562"/>
      <c r="BN19" s="589"/>
      <c r="BO19" s="590"/>
      <c r="BP19" s="451" t="s">
        <v>412</v>
      </c>
      <c r="BQ19" s="452">
        <v>0.97219999999999995</v>
      </c>
      <c r="BR19" s="533"/>
      <c r="BS19" s="533"/>
      <c r="BT19" s="453"/>
      <c r="BU19" s="591"/>
      <c r="BV19" s="463">
        <v>7.0000000000000007E-2</v>
      </c>
      <c r="BW19" s="451" t="s">
        <v>412</v>
      </c>
      <c r="BX19" s="452">
        <v>0.97219999999999995</v>
      </c>
      <c r="BY19" s="622"/>
      <c r="BZ19" s="622"/>
      <c r="CA19" s="461"/>
      <c r="CB19" s="390" t="s">
        <v>1001</v>
      </c>
      <c r="CC19" s="625"/>
      <c r="CD19" s="463">
        <v>7.0000000000000007E-2</v>
      </c>
      <c r="CE19" s="451" t="s">
        <v>412</v>
      </c>
      <c r="CF19" s="452">
        <v>1</v>
      </c>
      <c r="CG19" s="622"/>
      <c r="CH19" s="622"/>
      <c r="CI19" s="461"/>
      <c r="CJ19" s="390" t="s">
        <v>1001</v>
      </c>
      <c r="CK19" s="625"/>
      <c r="CL19" s="384" t="s">
        <v>56</v>
      </c>
      <c r="CM19" s="458" t="s">
        <v>412</v>
      </c>
      <c r="CN19" s="532">
        <v>1</v>
      </c>
    </row>
    <row r="20" spans="1:92" ht="67.5" customHeight="1" x14ac:dyDescent="0.25">
      <c r="A20" s="494"/>
      <c r="B20" s="384"/>
      <c r="C20" s="492"/>
      <c r="D20" s="741"/>
      <c r="E20" s="720"/>
      <c r="F20" s="720"/>
      <c r="G20" s="720"/>
      <c r="H20" s="725"/>
      <c r="I20" s="720"/>
      <c r="J20" s="717"/>
      <c r="K20" s="453"/>
      <c r="L20" s="453"/>
      <c r="M20" s="453"/>
      <c r="N20" s="453"/>
      <c r="O20" s="453"/>
      <c r="P20" s="453"/>
      <c r="Q20" s="513"/>
      <c r="R20" s="104" t="s">
        <v>40</v>
      </c>
      <c r="S20" s="515"/>
      <c r="T20" s="515"/>
      <c r="U20" s="515"/>
      <c r="V20" s="515"/>
      <c r="W20" s="453"/>
      <c r="X20" s="514"/>
      <c r="Y20" s="104" t="s">
        <v>40</v>
      </c>
      <c r="Z20" s="102" t="s">
        <v>661</v>
      </c>
      <c r="AA20" s="452"/>
      <c r="AB20" s="533"/>
      <c r="AC20" s="533"/>
      <c r="AD20" s="453"/>
      <c r="AE20" s="520" t="s">
        <v>673</v>
      </c>
      <c r="AF20" s="531">
        <v>0.04</v>
      </c>
      <c r="AG20" s="541">
        <v>0.04</v>
      </c>
      <c r="AH20" s="452"/>
      <c r="AI20" s="539">
        <v>10000000</v>
      </c>
      <c r="AJ20" s="539">
        <v>10000000</v>
      </c>
      <c r="AK20" s="453"/>
      <c r="AL20" s="538" t="s">
        <v>738</v>
      </c>
      <c r="AM20" s="543">
        <v>0.05</v>
      </c>
      <c r="AN20" s="547">
        <v>0.05</v>
      </c>
      <c r="AO20" s="452"/>
      <c r="AP20" s="539" t="s">
        <v>791</v>
      </c>
      <c r="AQ20" s="539" t="s">
        <v>792</v>
      </c>
      <c r="AR20" s="453"/>
      <c r="AS20" s="542" t="s">
        <v>820</v>
      </c>
      <c r="AT20" s="553">
        <v>0.06</v>
      </c>
      <c r="AU20" s="555">
        <v>0.06</v>
      </c>
      <c r="AV20" s="452"/>
      <c r="AW20" s="558" t="s">
        <v>856</v>
      </c>
      <c r="AX20" s="558" t="s">
        <v>856</v>
      </c>
      <c r="AY20" s="453"/>
      <c r="AZ20" s="663" t="s">
        <v>870</v>
      </c>
      <c r="BA20" s="586"/>
      <c r="BB20" s="567"/>
      <c r="BC20" s="452"/>
      <c r="BD20" s="565"/>
      <c r="BE20" s="565"/>
      <c r="BF20" s="453"/>
      <c r="BG20" s="566"/>
      <c r="BH20" s="586"/>
      <c r="BI20" s="567"/>
      <c r="BJ20" s="592"/>
      <c r="BK20" s="587"/>
      <c r="BL20" s="587"/>
      <c r="BM20" s="562"/>
      <c r="BN20" s="589"/>
      <c r="BO20" s="590"/>
      <c r="BP20" s="451"/>
      <c r="BQ20" s="452"/>
      <c r="BR20" s="533"/>
      <c r="BS20" s="533"/>
      <c r="BT20" s="453"/>
      <c r="BU20" s="591"/>
      <c r="BV20" s="464"/>
      <c r="BW20" s="451"/>
      <c r="BX20" s="452"/>
      <c r="BY20" s="623"/>
      <c r="BZ20" s="623"/>
      <c r="CA20" s="462"/>
      <c r="CB20" s="412"/>
      <c r="CC20" s="626"/>
      <c r="CD20" s="464"/>
      <c r="CE20" s="451"/>
      <c r="CF20" s="452"/>
      <c r="CG20" s="623"/>
      <c r="CH20" s="623"/>
      <c r="CI20" s="462"/>
      <c r="CJ20" s="412"/>
      <c r="CK20" s="626"/>
      <c r="CL20" s="384"/>
      <c r="CM20" s="459"/>
      <c r="CN20" s="532"/>
    </row>
    <row r="21" spans="1:92" ht="15" customHeight="1" x14ac:dyDescent="0.25">
      <c r="A21" s="494"/>
      <c r="B21" s="384"/>
      <c r="C21" s="492"/>
      <c r="D21" s="741" t="s">
        <v>57</v>
      </c>
      <c r="E21" s="720" t="s">
        <v>58</v>
      </c>
      <c r="F21" s="720" t="s">
        <v>453</v>
      </c>
      <c r="G21" s="720" t="s">
        <v>59</v>
      </c>
      <c r="H21" s="724" t="s">
        <v>1002</v>
      </c>
      <c r="I21" s="720" t="s">
        <v>36</v>
      </c>
      <c r="J21" s="743">
        <v>0.1</v>
      </c>
      <c r="K21" s="453" t="s">
        <v>291</v>
      </c>
      <c r="L21" s="453" t="s">
        <v>303</v>
      </c>
      <c r="M21" s="453">
        <v>4103059</v>
      </c>
      <c r="N21" s="453" t="s">
        <v>304</v>
      </c>
      <c r="O21" s="453">
        <v>410305900</v>
      </c>
      <c r="P21" s="453" t="s">
        <v>305</v>
      </c>
      <c r="Q21" s="523">
        <v>0.1</v>
      </c>
      <c r="R21" s="104" t="s">
        <v>40</v>
      </c>
      <c r="S21" s="510"/>
      <c r="T21" s="510"/>
      <c r="U21" s="510"/>
      <c r="V21" s="510"/>
      <c r="W21" s="453" t="s">
        <v>458</v>
      </c>
      <c r="X21" s="514"/>
      <c r="Y21" s="104" t="s">
        <v>40</v>
      </c>
      <c r="Z21" s="102" t="s">
        <v>661</v>
      </c>
      <c r="AA21" s="385">
        <v>1</v>
      </c>
      <c r="AB21" s="411"/>
      <c r="AC21" s="411"/>
      <c r="AD21" s="453" t="s">
        <v>458</v>
      </c>
      <c r="AE21" s="520"/>
      <c r="AF21" s="531"/>
      <c r="AG21" s="541"/>
      <c r="AH21" s="385">
        <v>1</v>
      </c>
      <c r="AI21" s="539"/>
      <c r="AJ21" s="539"/>
      <c r="AK21" s="453" t="s">
        <v>458</v>
      </c>
      <c r="AL21" s="538"/>
      <c r="AM21" s="543"/>
      <c r="AN21" s="477"/>
      <c r="AO21" s="385">
        <v>1</v>
      </c>
      <c r="AP21" s="539"/>
      <c r="AQ21" s="539"/>
      <c r="AR21" s="453" t="s">
        <v>458</v>
      </c>
      <c r="AS21" s="542"/>
      <c r="AT21" s="553"/>
      <c r="AU21" s="555"/>
      <c r="AV21" s="385">
        <v>1</v>
      </c>
      <c r="AW21" s="558"/>
      <c r="AX21" s="558"/>
      <c r="AY21" s="453" t="s">
        <v>458</v>
      </c>
      <c r="AZ21" s="663"/>
      <c r="BA21" s="561">
        <v>200</v>
      </c>
      <c r="BB21" s="562">
        <v>200</v>
      </c>
      <c r="BC21" s="385">
        <v>1</v>
      </c>
      <c r="BD21" s="563">
        <v>30000000</v>
      </c>
      <c r="BE21" s="563">
        <v>15245000</v>
      </c>
      <c r="BF21" s="453" t="s">
        <v>458</v>
      </c>
      <c r="BG21" s="560" t="s">
        <v>939</v>
      </c>
      <c r="BH21" s="570">
        <v>0</v>
      </c>
      <c r="BI21" s="562">
        <v>0</v>
      </c>
      <c r="BJ21" s="592">
        <v>1</v>
      </c>
      <c r="BK21" s="563"/>
      <c r="BL21" s="563"/>
      <c r="BM21" s="562" t="s">
        <v>518</v>
      </c>
      <c r="BN21" s="564" t="s">
        <v>519</v>
      </c>
      <c r="BO21" s="593">
        <v>10</v>
      </c>
      <c r="BP21" s="453">
        <v>55</v>
      </c>
      <c r="BQ21" s="385">
        <v>1</v>
      </c>
      <c r="BR21" s="411" t="s">
        <v>467</v>
      </c>
      <c r="BS21" s="411" t="s">
        <v>598</v>
      </c>
      <c r="BT21" s="453" t="s">
        <v>458</v>
      </c>
      <c r="BU21" s="585" t="s">
        <v>599</v>
      </c>
      <c r="BV21" s="627">
        <v>0.1336</v>
      </c>
      <c r="BW21" s="451">
        <v>0.1336</v>
      </c>
      <c r="BX21" s="385">
        <v>1</v>
      </c>
      <c r="BY21" s="454">
        <f>70000000+45000000+
363237526+363237526+264860887+163000000</f>
        <v>1269335939</v>
      </c>
      <c r="BZ21" s="435">
        <f>34620000+
30000000+
7000000+171202526+264860887+163000000</f>
        <v>670683413</v>
      </c>
      <c r="CA21" s="379">
        <v>1</v>
      </c>
      <c r="CB21" s="390" t="s">
        <v>1002</v>
      </c>
      <c r="CC21" s="455" t="s">
        <v>1081</v>
      </c>
      <c r="CD21" s="445">
        <v>0.03</v>
      </c>
      <c r="CE21" s="451">
        <v>0.1336</v>
      </c>
      <c r="CF21" s="385">
        <v>1</v>
      </c>
      <c r="CG21" s="454">
        <f>70000000+45000000+5000000+
363237526+363237526+264860887+163000000</f>
        <v>1274335939</v>
      </c>
      <c r="CH21" s="435">
        <f>34620000+1250000+
30000000+
7000000+171202526+264860887+163000000</f>
        <v>671933413</v>
      </c>
      <c r="CI21" s="379">
        <v>1</v>
      </c>
      <c r="CJ21" s="390" t="s">
        <v>1002</v>
      </c>
      <c r="CK21" s="455" t="s">
        <v>1149</v>
      </c>
      <c r="CL21" s="416">
        <v>0.1</v>
      </c>
      <c r="CM21" s="458">
        <v>0.1336</v>
      </c>
      <c r="CN21" s="379">
        <v>1</v>
      </c>
    </row>
    <row r="22" spans="1:92" ht="16.5" x14ac:dyDescent="0.25">
      <c r="A22" s="494"/>
      <c r="B22" s="384"/>
      <c r="C22" s="492"/>
      <c r="D22" s="741"/>
      <c r="E22" s="720"/>
      <c r="F22" s="720"/>
      <c r="G22" s="720"/>
      <c r="H22" s="727"/>
      <c r="I22" s="720"/>
      <c r="J22" s="743"/>
      <c r="K22" s="453"/>
      <c r="L22" s="453"/>
      <c r="M22" s="453"/>
      <c r="N22" s="453"/>
      <c r="O22" s="453"/>
      <c r="P22" s="453"/>
      <c r="Q22" s="523"/>
      <c r="R22" s="104" t="s">
        <v>40</v>
      </c>
      <c r="S22" s="510"/>
      <c r="T22" s="510"/>
      <c r="U22" s="510"/>
      <c r="V22" s="510"/>
      <c r="W22" s="453"/>
      <c r="X22" s="105"/>
      <c r="Y22" s="104" t="s">
        <v>40</v>
      </c>
      <c r="Z22" s="102" t="s">
        <v>661</v>
      </c>
      <c r="AA22" s="385"/>
      <c r="AB22" s="411"/>
      <c r="AC22" s="411"/>
      <c r="AD22" s="453"/>
      <c r="AE22" s="265" t="s">
        <v>674</v>
      </c>
      <c r="AF22" s="531"/>
      <c r="AG22" s="541"/>
      <c r="AH22" s="385"/>
      <c r="AI22" s="539"/>
      <c r="AJ22" s="539"/>
      <c r="AK22" s="453"/>
      <c r="AL22" s="538"/>
      <c r="AM22" s="543"/>
      <c r="AN22" s="477"/>
      <c r="AO22" s="385"/>
      <c r="AP22" s="539"/>
      <c r="AQ22" s="539"/>
      <c r="AR22" s="453"/>
      <c r="AS22" s="542"/>
      <c r="AT22" s="554">
        <v>400</v>
      </c>
      <c r="AU22" s="556">
        <v>437</v>
      </c>
      <c r="AV22" s="385"/>
      <c r="AW22" s="559" t="s">
        <v>856</v>
      </c>
      <c r="AX22" s="559" t="s">
        <v>856</v>
      </c>
      <c r="AY22" s="453"/>
      <c r="AZ22" s="661" t="s">
        <v>871</v>
      </c>
      <c r="BA22" s="561"/>
      <c r="BB22" s="562"/>
      <c r="BC22" s="385"/>
      <c r="BD22" s="563"/>
      <c r="BE22" s="563"/>
      <c r="BF22" s="453"/>
      <c r="BG22" s="560"/>
      <c r="BH22" s="561"/>
      <c r="BI22" s="562"/>
      <c r="BJ22" s="592"/>
      <c r="BK22" s="563"/>
      <c r="BL22" s="563"/>
      <c r="BM22" s="562"/>
      <c r="BN22" s="564"/>
      <c r="BO22" s="593"/>
      <c r="BP22" s="453"/>
      <c r="BQ22" s="385"/>
      <c r="BR22" s="411"/>
      <c r="BS22" s="411"/>
      <c r="BT22" s="453"/>
      <c r="BU22" s="585"/>
      <c r="BV22" s="627"/>
      <c r="BW22" s="453"/>
      <c r="BX22" s="385"/>
      <c r="BY22" s="454"/>
      <c r="BZ22" s="435"/>
      <c r="CA22" s="380"/>
      <c r="CB22" s="391"/>
      <c r="CC22" s="456"/>
      <c r="CD22" s="446"/>
      <c r="CE22" s="453"/>
      <c r="CF22" s="385"/>
      <c r="CG22" s="454"/>
      <c r="CH22" s="435"/>
      <c r="CI22" s="380"/>
      <c r="CJ22" s="391"/>
      <c r="CK22" s="456"/>
      <c r="CL22" s="416"/>
      <c r="CM22" s="686"/>
      <c r="CN22" s="380"/>
    </row>
    <row r="23" spans="1:92" ht="51.75" customHeight="1" x14ac:dyDescent="0.25">
      <c r="A23" s="494"/>
      <c r="B23" s="384"/>
      <c r="C23" s="492"/>
      <c r="D23" s="741"/>
      <c r="E23" s="720"/>
      <c r="F23" s="720"/>
      <c r="G23" s="720"/>
      <c r="H23" s="727"/>
      <c r="I23" s="720"/>
      <c r="J23" s="743"/>
      <c r="K23" s="453"/>
      <c r="L23" s="453"/>
      <c r="M23" s="453"/>
      <c r="N23" s="453"/>
      <c r="O23" s="453"/>
      <c r="P23" s="453"/>
      <c r="Q23" s="523"/>
      <c r="R23" s="104" t="s">
        <v>40</v>
      </c>
      <c r="S23" s="510"/>
      <c r="T23" s="510"/>
      <c r="U23" s="510"/>
      <c r="V23" s="510"/>
      <c r="W23" s="453"/>
      <c r="X23" s="105"/>
      <c r="Y23" s="104" t="s">
        <v>40</v>
      </c>
      <c r="Z23" s="102" t="s">
        <v>661</v>
      </c>
      <c r="AA23" s="385"/>
      <c r="AB23" s="411"/>
      <c r="AC23" s="411"/>
      <c r="AD23" s="453"/>
      <c r="AE23" s="265" t="s">
        <v>675</v>
      </c>
      <c r="AF23" s="531"/>
      <c r="AG23" s="541"/>
      <c r="AH23" s="385"/>
      <c r="AI23" s="539"/>
      <c r="AJ23" s="539"/>
      <c r="AK23" s="453"/>
      <c r="AL23" s="538"/>
      <c r="AM23" s="543"/>
      <c r="AN23" s="477"/>
      <c r="AO23" s="385"/>
      <c r="AP23" s="539"/>
      <c r="AQ23" s="539"/>
      <c r="AR23" s="453"/>
      <c r="AS23" s="542"/>
      <c r="AT23" s="554"/>
      <c r="AU23" s="556"/>
      <c r="AV23" s="385"/>
      <c r="AW23" s="559"/>
      <c r="AX23" s="559"/>
      <c r="AY23" s="453"/>
      <c r="AZ23" s="661"/>
      <c r="BA23" s="561"/>
      <c r="BB23" s="562"/>
      <c r="BC23" s="385"/>
      <c r="BD23" s="563"/>
      <c r="BE23" s="563"/>
      <c r="BF23" s="453"/>
      <c r="BG23" s="560"/>
      <c r="BH23" s="561"/>
      <c r="BI23" s="562"/>
      <c r="BJ23" s="592"/>
      <c r="BK23" s="563"/>
      <c r="BL23" s="563"/>
      <c r="BM23" s="562"/>
      <c r="BN23" s="564"/>
      <c r="BO23" s="593"/>
      <c r="BP23" s="453"/>
      <c r="BQ23" s="385"/>
      <c r="BR23" s="411"/>
      <c r="BS23" s="411"/>
      <c r="BT23" s="453"/>
      <c r="BU23" s="585"/>
      <c r="BV23" s="627"/>
      <c r="BW23" s="453"/>
      <c r="BX23" s="385"/>
      <c r="BY23" s="454"/>
      <c r="BZ23" s="435"/>
      <c r="CA23" s="380"/>
      <c r="CB23" s="391"/>
      <c r="CC23" s="456"/>
      <c r="CD23" s="446"/>
      <c r="CE23" s="453"/>
      <c r="CF23" s="385"/>
      <c r="CG23" s="454"/>
      <c r="CH23" s="435"/>
      <c r="CI23" s="380"/>
      <c r="CJ23" s="391"/>
      <c r="CK23" s="456"/>
      <c r="CL23" s="416"/>
      <c r="CM23" s="686"/>
      <c r="CN23" s="380"/>
    </row>
    <row r="24" spans="1:92" ht="121.5" customHeight="1" x14ac:dyDescent="0.25">
      <c r="A24" s="494"/>
      <c r="B24" s="384"/>
      <c r="C24" s="492"/>
      <c r="D24" s="741"/>
      <c r="E24" s="720"/>
      <c r="F24" s="720"/>
      <c r="G24" s="720"/>
      <c r="H24" s="725"/>
      <c r="I24" s="720"/>
      <c r="J24" s="743"/>
      <c r="K24" s="453"/>
      <c r="L24" s="453"/>
      <c r="M24" s="453"/>
      <c r="N24" s="453"/>
      <c r="O24" s="453"/>
      <c r="P24" s="453"/>
      <c r="Q24" s="523"/>
      <c r="R24" s="104" t="s">
        <v>40</v>
      </c>
      <c r="S24" s="510"/>
      <c r="T24" s="510"/>
      <c r="U24" s="510"/>
      <c r="V24" s="510"/>
      <c r="W24" s="453"/>
      <c r="X24" s="105"/>
      <c r="Y24" s="104" t="s">
        <v>40</v>
      </c>
      <c r="Z24" s="102" t="s">
        <v>661</v>
      </c>
      <c r="AA24" s="385"/>
      <c r="AB24" s="411"/>
      <c r="AC24" s="411"/>
      <c r="AD24" s="453"/>
      <c r="AE24" s="265" t="s">
        <v>676</v>
      </c>
      <c r="AF24" s="238">
        <v>0.15</v>
      </c>
      <c r="AG24" s="133">
        <v>0.15</v>
      </c>
      <c r="AH24" s="385"/>
      <c r="AI24" s="74">
        <v>2338933220</v>
      </c>
      <c r="AJ24" s="74">
        <v>2338933220</v>
      </c>
      <c r="AK24" s="453"/>
      <c r="AL24" s="270" t="s">
        <v>739</v>
      </c>
      <c r="AM24" s="214">
        <v>0.23</v>
      </c>
      <c r="AN24" s="137" t="s">
        <v>700</v>
      </c>
      <c r="AO24" s="385"/>
      <c r="AP24" s="249">
        <f>27500000+48300000</f>
        <v>75800000</v>
      </c>
      <c r="AQ24" s="249">
        <v>17340000</v>
      </c>
      <c r="AR24" s="453"/>
      <c r="AS24" s="224" t="s">
        <v>821</v>
      </c>
      <c r="AT24" s="225">
        <v>0.28000000000000003</v>
      </c>
      <c r="AU24" s="145">
        <v>0.25</v>
      </c>
      <c r="AV24" s="385"/>
      <c r="AW24" s="245" t="s">
        <v>856</v>
      </c>
      <c r="AX24" s="245" t="s">
        <v>856</v>
      </c>
      <c r="AY24" s="453"/>
      <c r="AZ24" s="280" t="s">
        <v>872</v>
      </c>
      <c r="BA24" s="561"/>
      <c r="BB24" s="562"/>
      <c r="BC24" s="385"/>
      <c r="BD24" s="563"/>
      <c r="BE24" s="563"/>
      <c r="BF24" s="453"/>
      <c r="BG24" s="560"/>
      <c r="BH24" s="561"/>
      <c r="BI24" s="562"/>
      <c r="BJ24" s="592"/>
      <c r="BK24" s="563"/>
      <c r="BL24" s="563"/>
      <c r="BM24" s="562"/>
      <c r="BN24" s="564"/>
      <c r="BO24" s="593"/>
      <c r="BP24" s="453"/>
      <c r="BQ24" s="385"/>
      <c r="BR24" s="411"/>
      <c r="BS24" s="411"/>
      <c r="BT24" s="453"/>
      <c r="BU24" s="585"/>
      <c r="BV24" s="627"/>
      <c r="BW24" s="453"/>
      <c r="BX24" s="385"/>
      <c r="BY24" s="454"/>
      <c r="BZ24" s="435"/>
      <c r="CA24" s="389"/>
      <c r="CB24" s="412"/>
      <c r="CC24" s="457"/>
      <c r="CD24" s="446"/>
      <c r="CE24" s="453"/>
      <c r="CF24" s="385"/>
      <c r="CG24" s="454"/>
      <c r="CH24" s="435"/>
      <c r="CI24" s="389"/>
      <c r="CJ24" s="412"/>
      <c r="CK24" s="457"/>
      <c r="CL24" s="416"/>
      <c r="CM24" s="688"/>
      <c r="CN24" s="389"/>
    </row>
    <row r="25" spans="1:92" ht="132.75" customHeight="1" x14ac:dyDescent="0.25">
      <c r="A25" s="494"/>
      <c r="B25" s="384"/>
      <c r="C25" s="492"/>
      <c r="D25" s="744" t="s">
        <v>60</v>
      </c>
      <c r="E25" s="723" t="s">
        <v>61</v>
      </c>
      <c r="F25" s="723" t="s">
        <v>62</v>
      </c>
      <c r="G25" s="723" t="s">
        <v>438</v>
      </c>
      <c r="H25" s="135" t="s">
        <v>1003</v>
      </c>
      <c r="I25" s="723" t="s">
        <v>36</v>
      </c>
      <c r="J25" s="726">
        <v>0.6</v>
      </c>
      <c r="K25" s="60" t="s">
        <v>295</v>
      </c>
      <c r="L25" s="60" t="s">
        <v>383</v>
      </c>
      <c r="M25" s="60" t="s">
        <v>373</v>
      </c>
      <c r="N25" s="60" t="s">
        <v>387</v>
      </c>
      <c r="O25" s="60" t="s">
        <v>374</v>
      </c>
      <c r="P25" s="60" t="s">
        <v>389</v>
      </c>
      <c r="Q25" s="126">
        <v>0.6</v>
      </c>
      <c r="R25" s="104" t="s">
        <v>40</v>
      </c>
      <c r="S25" s="510"/>
      <c r="T25" s="510"/>
      <c r="U25" s="510"/>
      <c r="V25" s="510"/>
      <c r="W25" s="60" t="s">
        <v>256</v>
      </c>
      <c r="X25" s="105"/>
      <c r="Y25" s="104" t="s">
        <v>40</v>
      </c>
      <c r="Z25" s="102" t="s">
        <v>661</v>
      </c>
      <c r="AA25" s="63">
        <v>0.5</v>
      </c>
      <c r="AB25" s="58"/>
      <c r="AC25" s="58"/>
      <c r="AD25" s="60" t="s">
        <v>256</v>
      </c>
      <c r="AE25" s="265" t="s">
        <v>677</v>
      </c>
      <c r="AF25" s="235">
        <v>1</v>
      </c>
      <c r="AG25" s="96">
        <v>1</v>
      </c>
      <c r="AH25" s="63">
        <v>0.5</v>
      </c>
      <c r="AI25" s="74">
        <v>54450000</v>
      </c>
      <c r="AJ25" s="74">
        <v>54450000</v>
      </c>
      <c r="AK25" s="60" t="s">
        <v>256</v>
      </c>
      <c r="AL25" s="268" t="s">
        <v>740</v>
      </c>
      <c r="AM25" s="187">
        <v>4</v>
      </c>
      <c r="AN25" s="72">
        <v>4</v>
      </c>
      <c r="AO25" s="63">
        <v>0.5</v>
      </c>
      <c r="AP25" s="249">
        <f>33000000+20140000</f>
        <v>53140000</v>
      </c>
      <c r="AQ25" s="249">
        <v>31540000</v>
      </c>
      <c r="AR25" s="60" t="s">
        <v>256</v>
      </c>
      <c r="AS25" s="213" t="s">
        <v>822</v>
      </c>
      <c r="AT25" s="223">
        <v>5</v>
      </c>
      <c r="AU25" s="145">
        <v>4.05</v>
      </c>
      <c r="AV25" s="63">
        <v>0.5</v>
      </c>
      <c r="AW25" s="245" t="s">
        <v>856</v>
      </c>
      <c r="AX25" s="245" t="s">
        <v>856</v>
      </c>
      <c r="AY25" s="60" t="s">
        <v>256</v>
      </c>
      <c r="AZ25" s="280" t="s">
        <v>873</v>
      </c>
      <c r="BA25" s="191">
        <v>3</v>
      </c>
      <c r="BB25" s="80" t="s">
        <v>163</v>
      </c>
      <c r="BC25" s="63">
        <v>0.5</v>
      </c>
      <c r="BD25" s="79">
        <v>28800000</v>
      </c>
      <c r="BE25" s="79">
        <v>25081000</v>
      </c>
      <c r="BF25" s="60" t="s">
        <v>256</v>
      </c>
      <c r="BG25" s="181" t="s">
        <v>940</v>
      </c>
      <c r="BH25" s="193">
        <v>0.1</v>
      </c>
      <c r="BI25" s="84">
        <v>0.05</v>
      </c>
      <c r="BJ25" s="83">
        <v>0.5</v>
      </c>
      <c r="BK25" s="79"/>
      <c r="BL25" s="79"/>
      <c r="BM25" s="80" t="s">
        <v>256</v>
      </c>
      <c r="BN25" s="164" t="s">
        <v>520</v>
      </c>
      <c r="BO25" s="163">
        <v>0.1</v>
      </c>
      <c r="BP25" s="62">
        <v>0.05</v>
      </c>
      <c r="BQ25" s="63">
        <v>0.5</v>
      </c>
      <c r="BR25" s="58" t="s">
        <v>600</v>
      </c>
      <c r="BS25" s="58" t="s">
        <v>601</v>
      </c>
      <c r="BT25" s="60" t="s">
        <v>256</v>
      </c>
      <c r="BU25" s="115" t="s">
        <v>602</v>
      </c>
      <c r="BV25" s="137">
        <v>0.5</v>
      </c>
      <c r="BW25" s="62">
        <v>0.58099999999999996</v>
      </c>
      <c r="BX25" s="63">
        <v>1</v>
      </c>
      <c r="BY25" s="337">
        <f>918000000+79914452</f>
        <v>997914452</v>
      </c>
      <c r="BZ25" s="337">
        <v>79914452</v>
      </c>
      <c r="CA25" s="63">
        <f>BZ25/BY25</f>
        <v>8.0081465740712607E-2</v>
      </c>
      <c r="CB25" s="96" t="s">
        <v>1003</v>
      </c>
      <c r="CC25" s="344" t="s">
        <v>1082</v>
      </c>
      <c r="CD25" s="98">
        <v>0.1</v>
      </c>
      <c r="CE25" s="62">
        <v>0.58099999999999996</v>
      </c>
      <c r="CF25" s="63">
        <v>1</v>
      </c>
      <c r="CG25" s="337">
        <f>918000000+79914452</f>
        <v>997914452</v>
      </c>
      <c r="CH25" s="337">
        <v>79914452</v>
      </c>
      <c r="CI25" s="63">
        <f>CH25/CG25</f>
        <v>8.0081465740712607E-2</v>
      </c>
      <c r="CJ25" s="96" t="s">
        <v>1003</v>
      </c>
      <c r="CK25" s="344" t="s">
        <v>1150</v>
      </c>
      <c r="CL25" s="62">
        <v>0.6</v>
      </c>
      <c r="CM25" s="62">
        <v>0.58099999999999996</v>
      </c>
      <c r="CN25" s="63">
        <f>CM25/CL25</f>
        <v>0.96833333333333327</v>
      </c>
    </row>
    <row r="26" spans="1:92" ht="92.25" customHeight="1" x14ac:dyDescent="0.25">
      <c r="A26" s="494"/>
      <c r="B26" s="384"/>
      <c r="C26" s="492"/>
      <c r="D26" s="744" t="s">
        <v>63</v>
      </c>
      <c r="E26" s="718" t="s">
        <v>456</v>
      </c>
      <c r="F26" s="718" t="s">
        <v>64</v>
      </c>
      <c r="G26" s="718" t="s">
        <v>65</v>
      </c>
      <c r="H26" s="135" t="s">
        <v>1004</v>
      </c>
      <c r="I26" s="718">
        <v>1</v>
      </c>
      <c r="J26" s="718">
        <v>5</v>
      </c>
      <c r="K26" s="60" t="s">
        <v>295</v>
      </c>
      <c r="L26" s="60" t="s">
        <v>306</v>
      </c>
      <c r="M26" s="60">
        <v>3502017</v>
      </c>
      <c r="N26" s="60" t="s">
        <v>307</v>
      </c>
      <c r="O26" s="60">
        <v>350201701</v>
      </c>
      <c r="P26" s="60" t="s">
        <v>308</v>
      </c>
      <c r="Q26" s="125">
        <v>5</v>
      </c>
      <c r="R26" s="104" t="s">
        <v>40</v>
      </c>
      <c r="S26" s="510"/>
      <c r="T26" s="510"/>
      <c r="U26" s="510"/>
      <c r="V26" s="510"/>
      <c r="W26" s="60" t="s">
        <v>281</v>
      </c>
      <c r="X26" s="108"/>
      <c r="Y26" s="104" t="s">
        <v>40</v>
      </c>
      <c r="Z26" s="102" t="s">
        <v>661</v>
      </c>
      <c r="AA26" s="57" t="e">
        <f>(Z26/Y26)*1</f>
        <v>#VALUE!</v>
      </c>
      <c r="AB26" s="58"/>
      <c r="AC26" s="58"/>
      <c r="AD26" s="60" t="s">
        <v>281</v>
      </c>
      <c r="AE26" s="266" t="s">
        <v>670</v>
      </c>
      <c r="AF26" s="238">
        <v>0.85</v>
      </c>
      <c r="AG26" s="133">
        <v>0.63</v>
      </c>
      <c r="AH26" s="57">
        <f>(AG26/AF26)*1</f>
        <v>0.74117647058823533</v>
      </c>
      <c r="AI26" s="539">
        <v>7595374483</v>
      </c>
      <c r="AJ26" s="539">
        <v>4950478143</v>
      </c>
      <c r="AK26" s="60" t="s">
        <v>281</v>
      </c>
      <c r="AL26" s="268" t="s">
        <v>741</v>
      </c>
      <c r="AM26" s="235" t="s">
        <v>777</v>
      </c>
      <c r="AN26" s="133">
        <v>0.63</v>
      </c>
      <c r="AO26" s="57" t="e">
        <f>(AN26/AM26)*1</f>
        <v>#VALUE!</v>
      </c>
      <c r="AP26" s="539">
        <v>16187350279</v>
      </c>
      <c r="AQ26" s="539">
        <v>13135040761</v>
      </c>
      <c r="AR26" s="60" t="s">
        <v>281</v>
      </c>
      <c r="AS26" s="542" t="s">
        <v>823</v>
      </c>
      <c r="AT26" s="553">
        <v>0.85</v>
      </c>
      <c r="AU26" s="648">
        <v>0.69599999999999995</v>
      </c>
      <c r="AV26" s="57">
        <f>(AU26/AT26)*1</f>
        <v>0.81882352941176462</v>
      </c>
      <c r="AW26" s="659" t="s">
        <v>856</v>
      </c>
      <c r="AX26" s="659" t="s">
        <v>856</v>
      </c>
      <c r="AY26" s="60" t="s">
        <v>281</v>
      </c>
      <c r="AZ26" s="661" t="s">
        <v>874</v>
      </c>
      <c r="BA26" s="191">
        <v>1</v>
      </c>
      <c r="BB26" s="80" t="s">
        <v>918</v>
      </c>
      <c r="BC26" s="57" t="e">
        <f>(BB26/BA26)*1</f>
        <v>#VALUE!</v>
      </c>
      <c r="BD26" s="79">
        <v>70900000</v>
      </c>
      <c r="BE26" s="79">
        <v>27980000</v>
      </c>
      <c r="BF26" s="60" t="s">
        <v>281</v>
      </c>
      <c r="BG26" s="186" t="s">
        <v>941</v>
      </c>
      <c r="BH26" s="191">
        <v>1</v>
      </c>
      <c r="BI26" s="80">
        <v>0</v>
      </c>
      <c r="BJ26" s="81">
        <f>(BI26/BH26)*1</f>
        <v>0</v>
      </c>
      <c r="BK26" s="79"/>
      <c r="BL26" s="79"/>
      <c r="BM26" s="80" t="s">
        <v>281</v>
      </c>
      <c r="BN26" s="288" t="s">
        <v>521</v>
      </c>
      <c r="BO26" s="130">
        <v>1</v>
      </c>
      <c r="BP26" s="60">
        <v>0</v>
      </c>
      <c r="BQ26" s="57">
        <f>(BP26/BO26)*1</f>
        <v>0</v>
      </c>
      <c r="BR26" s="58">
        <v>0</v>
      </c>
      <c r="BS26" s="58">
        <v>0</v>
      </c>
      <c r="BT26" s="60" t="s">
        <v>281</v>
      </c>
      <c r="BU26" s="289" t="s">
        <v>603</v>
      </c>
      <c r="BV26" s="72">
        <v>1</v>
      </c>
      <c r="BW26" s="60">
        <v>1</v>
      </c>
      <c r="BX26" s="57">
        <f>(BW26/BV26)*1</f>
        <v>1</v>
      </c>
      <c r="BY26" s="337">
        <v>0</v>
      </c>
      <c r="BZ26" s="337">
        <v>0</v>
      </c>
      <c r="CA26" s="302">
        <v>0</v>
      </c>
      <c r="CB26" s="96" t="s">
        <v>1004</v>
      </c>
      <c r="CC26" s="347" t="s">
        <v>1091</v>
      </c>
      <c r="CD26" s="99">
        <v>1</v>
      </c>
      <c r="CE26" s="60">
        <v>1</v>
      </c>
      <c r="CF26" s="57">
        <f>(CE26/CD26)*1</f>
        <v>1</v>
      </c>
      <c r="CG26" s="337">
        <v>0</v>
      </c>
      <c r="CH26" s="337">
        <v>0</v>
      </c>
      <c r="CI26" s="302">
        <v>0</v>
      </c>
      <c r="CJ26" s="96" t="s">
        <v>1004</v>
      </c>
      <c r="CK26" s="347" t="s">
        <v>1118</v>
      </c>
      <c r="CL26" s="48">
        <v>5</v>
      </c>
      <c r="CM26" s="304">
        <v>1</v>
      </c>
      <c r="CN26" s="361">
        <f>CM26/CL26</f>
        <v>0.2</v>
      </c>
    </row>
    <row r="27" spans="1:92" ht="68.25" customHeight="1" x14ac:dyDescent="0.25">
      <c r="A27" s="494"/>
      <c r="B27" s="384" t="s">
        <v>66</v>
      </c>
      <c r="C27" s="492" t="s">
        <v>67</v>
      </c>
      <c r="D27" s="741" t="s">
        <v>68</v>
      </c>
      <c r="E27" s="717" t="s">
        <v>69</v>
      </c>
      <c r="F27" s="718" t="s">
        <v>70</v>
      </c>
      <c r="G27" s="718" t="s">
        <v>71</v>
      </c>
      <c r="H27" s="728" t="s">
        <v>1005</v>
      </c>
      <c r="I27" s="729" t="s">
        <v>72</v>
      </c>
      <c r="J27" s="718" t="s">
        <v>73</v>
      </c>
      <c r="K27" s="453" t="s">
        <v>291</v>
      </c>
      <c r="L27" s="453" t="s">
        <v>309</v>
      </c>
      <c r="M27" s="453" t="s">
        <v>376</v>
      </c>
      <c r="N27" s="453" t="s">
        <v>375</v>
      </c>
      <c r="O27" s="453" t="s">
        <v>377</v>
      </c>
      <c r="P27" s="453" t="s">
        <v>378</v>
      </c>
      <c r="Q27" s="125" t="s">
        <v>73</v>
      </c>
      <c r="R27" s="104" t="s">
        <v>40</v>
      </c>
      <c r="S27" s="515"/>
      <c r="T27" s="515"/>
      <c r="U27" s="515"/>
      <c r="V27" s="515"/>
      <c r="W27" s="453" t="s">
        <v>257</v>
      </c>
      <c r="X27" s="514"/>
      <c r="Y27" s="104" t="s">
        <v>40</v>
      </c>
      <c r="Z27" s="102" t="s">
        <v>661</v>
      </c>
      <c r="AA27" s="57" t="e">
        <f>Z27/Y27</f>
        <v>#VALUE!</v>
      </c>
      <c r="AB27" s="411"/>
      <c r="AC27" s="411"/>
      <c r="AD27" s="453" t="s">
        <v>257</v>
      </c>
      <c r="AE27" s="520" t="s">
        <v>678</v>
      </c>
      <c r="AF27" s="531">
        <v>0.5</v>
      </c>
      <c r="AG27" s="541">
        <v>0.41</v>
      </c>
      <c r="AH27" s="57">
        <f>AG27/AF27</f>
        <v>0.82</v>
      </c>
      <c r="AI27" s="539"/>
      <c r="AJ27" s="539"/>
      <c r="AK27" s="453" t="s">
        <v>257</v>
      </c>
      <c r="AL27" s="542" t="s">
        <v>742</v>
      </c>
      <c r="AM27" s="530" t="s">
        <v>82</v>
      </c>
      <c r="AN27" s="541">
        <v>0.41</v>
      </c>
      <c r="AO27" s="57" t="e">
        <f>AN27/AM27</f>
        <v>#VALUE!</v>
      </c>
      <c r="AP27" s="539"/>
      <c r="AQ27" s="539"/>
      <c r="AR27" s="453" t="s">
        <v>257</v>
      </c>
      <c r="AS27" s="542"/>
      <c r="AT27" s="553"/>
      <c r="AU27" s="648"/>
      <c r="AV27" s="57" t="e">
        <f>AU27/AT27</f>
        <v>#DIV/0!</v>
      </c>
      <c r="AW27" s="659"/>
      <c r="AX27" s="659"/>
      <c r="AY27" s="453" t="s">
        <v>257</v>
      </c>
      <c r="AZ27" s="661"/>
      <c r="BA27" s="193">
        <v>0.85</v>
      </c>
      <c r="BB27" s="84">
        <v>0.66</v>
      </c>
      <c r="BC27" s="57">
        <f>BB27/BA27</f>
        <v>0.77647058823529413</v>
      </c>
      <c r="BD27" s="563" t="s">
        <v>923</v>
      </c>
      <c r="BE27" s="563" t="s">
        <v>924</v>
      </c>
      <c r="BF27" s="453" t="s">
        <v>257</v>
      </c>
      <c r="BG27" s="568" t="s">
        <v>942</v>
      </c>
      <c r="BH27" s="190">
        <v>0.86699999999999999</v>
      </c>
      <c r="BI27" s="251">
        <v>0.85680000000000001</v>
      </c>
      <c r="BJ27" s="81">
        <f>BI27/BH27</f>
        <v>0.9882352941176471</v>
      </c>
      <c r="BK27" s="563"/>
      <c r="BL27" s="79"/>
      <c r="BM27" s="562" t="s">
        <v>257</v>
      </c>
      <c r="BN27" s="192" t="s">
        <v>522</v>
      </c>
      <c r="BO27" s="165">
        <v>0.878</v>
      </c>
      <c r="BP27" s="38">
        <v>0.76090000000000002</v>
      </c>
      <c r="BQ27" s="57">
        <f>BP27/BO27</f>
        <v>0.86662870159453309</v>
      </c>
      <c r="BR27" s="411">
        <v>0</v>
      </c>
      <c r="BS27" s="411">
        <v>0</v>
      </c>
      <c r="BT27" s="453" t="s">
        <v>257</v>
      </c>
      <c r="BU27" s="162" t="s">
        <v>604</v>
      </c>
      <c r="BV27" s="488">
        <v>0.89900000000000002</v>
      </c>
      <c r="BW27" s="490">
        <v>0.63339999999999996</v>
      </c>
      <c r="BX27" s="57">
        <v>0</v>
      </c>
      <c r="BY27" s="411">
        <f>918000000+359582746+698802400+12000000</f>
        <v>1988385146</v>
      </c>
      <c r="BZ27" s="400">
        <f>107874824+209640720+12000000</f>
        <v>329515544</v>
      </c>
      <c r="CA27" s="460">
        <f>BZ27/BY27</f>
        <v>0.16572017984688767</v>
      </c>
      <c r="CB27" s="317" t="s">
        <v>1005</v>
      </c>
      <c r="CC27" s="82" t="s">
        <v>1049</v>
      </c>
      <c r="CD27" s="420">
        <v>0.9</v>
      </c>
      <c r="CE27" s="458">
        <v>0.63339999999999996</v>
      </c>
      <c r="CF27" s="379">
        <v>0</v>
      </c>
      <c r="CG27" s="411">
        <f>918000000+359582746+698802400+12000000+714286</f>
        <v>1989099432</v>
      </c>
      <c r="CH27" s="400">
        <f>107874824+209640720+12000000+714286</f>
        <v>330229830</v>
      </c>
      <c r="CI27" s="460">
        <f>CH27/CG27</f>
        <v>0.16601976989554537</v>
      </c>
      <c r="CJ27" s="317" t="s">
        <v>1005</v>
      </c>
      <c r="CK27" s="82" t="s">
        <v>1151</v>
      </c>
      <c r="CL27" s="669">
        <v>0.9</v>
      </c>
      <c r="CM27" s="458">
        <v>0.63339999999999996</v>
      </c>
      <c r="CN27" s="379">
        <v>0</v>
      </c>
    </row>
    <row r="28" spans="1:92" ht="15" customHeight="1" x14ac:dyDescent="0.25">
      <c r="A28" s="494"/>
      <c r="B28" s="384"/>
      <c r="C28" s="492"/>
      <c r="D28" s="741"/>
      <c r="E28" s="717"/>
      <c r="F28" s="717" t="s">
        <v>74</v>
      </c>
      <c r="G28" s="717" t="s">
        <v>71</v>
      </c>
      <c r="H28" s="724" t="s">
        <v>1005</v>
      </c>
      <c r="I28" s="730" t="s">
        <v>75</v>
      </c>
      <c r="J28" s="717" t="s">
        <v>76</v>
      </c>
      <c r="K28" s="453"/>
      <c r="L28" s="453"/>
      <c r="M28" s="453"/>
      <c r="N28" s="453"/>
      <c r="O28" s="453"/>
      <c r="P28" s="453"/>
      <c r="Q28" s="513" t="s">
        <v>76</v>
      </c>
      <c r="R28" s="104" t="s">
        <v>40</v>
      </c>
      <c r="S28" s="510"/>
      <c r="T28" s="510"/>
      <c r="U28" s="510"/>
      <c r="V28" s="510"/>
      <c r="W28" s="453"/>
      <c r="X28" s="514"/>
      <c r="Y28" s="104" t="s">
        <v>40</v>
      </c>
      <c r="Z28" s="102" t="s">
        <v>661</v>
      </c>
      <c r="AA28" s="532" t="e">
        <f>Z28/Y28</f>
        <v>#VALUE!</v>
      </c>
      <c r="AB28" s="411"/>
      <c r="AC28" s="411"/>
      <c r="AD28" s="453"/>
      <c r="AE28" s="520"/>
      <c r="AF28" s="531"/>
      <c r="AG28" s="541"/>
      <c r="AH28" s="532" t="e">
        <f>AG28/AF28</f>
        <v>#DIV/0!</v>
      </c>
      <c r="AI28" s="539"/>
      <c r="AJ28" s="539"/>
      <c r="AK28" s="453"/>
      <c r="AL28" s="542"/>
      <c r="AM28" s="530"/>
      <c r="AN28" s="480"/>
      <c r="AO28" s="532" t="e">
        <f>AN28/AM28</f>
        <v>#DIV/0!</v>
      </c>
      <c r="AP28" s="539"/>
      <c r="AQ28" s="539"/>
      <c r="AR28" s="453"/>
      <c r="AS28" s="542"/>
      <c r="AT28" s="229">
        <v>0.5</v>
      </c>
      <c r="AU28" s="252">
        <v>0.61519999999999997</v>
      </c>
      <c r="AV28" s="532">
        <f>AU28/AT28</f>
        <v>1.2303999999999999</v>
      </c>
      <c r="AW28" s="245" t="s">
        <v>856</v>
      </c>
      <c r="AX28" s="245" t="s">
        <v>856</v>
      </c>
      <c r="AY28" s="453"/>
      <c r="AZ28" s="232" t="s">
        <v>875</v>
      </c>
      <c r="BA28" s="570">
        <v>0.55000000000000004</v>
      </c>
      <c r="BB28" s="571">
        <v>0.42</v>
      </c>
      <c r="BC28" s="532">
        <f>BB28/BA28</f>
        <v>0.76363636363636356</v>
      </c>
      <c r="BD28" s="563"/>
      <c r="BE28" s="563"/>
      <c r="BF28" s="453"/>
      <c r="BG28" s="568"/>
      <c r="BH28" s="570">
        <v>0.52</v>
      </c>
      <c r="BI28" s="571">
        <v>0.5091</v>
      </c>
      <c r="BJ28" s="592">
        <f>BI28/BH28*1</f>
        <v>0.97903846153846152</v>
      </c>
      <c r="BK28" s="563"/>
      <c r="BL28" s="79"/>
      <c r="BM28" s="562"/>
      <c r="BN28" s="573" t="s">
        <v>523</v>
      </c>
      <c r="BO28" s="580">
        <v>0.52</v>
      </c>
      <c r="BP28" s="451">
        <v>0.41539999999999999</v>
      </c>
      <c r="BQ28" s="532">
        <f>BP28/BO28</f>
        <v>0.79884615384615376</v>
      </c>
      <c r="BR28" s="411"/>
      <c r="BS28" s="411"/>
      <c r="BT28" s="453"/>
      <c r="BU28" s="518" t="s">
        <v>605</v>
      </c>
      <c r="BV28" s="489"/>
      <c r="BW28" s="491"/>
      <c r="BX28" s="532">
        <v>0</v>
      </c>
      <c r="BY28" s="411"/>
      <c r="BZ28" s="426"/>
      <c r="CA28" s="461"/>
      <c r="CB28" s="390" t="s">
        <v>1005</v>
      </c>
      <c r="CC28" s="393" t="s">
        <v>1050</v>
      </c>
      <c r="CD28" s="421"/>
      <c r="CE28" s="459"/>
      <c r="CF28" s="389"/>
      <c r="CG28" s="411"/>
      <c r="CH28" s="426"/>
      <c r="CI28" s="461"/>
      <c r="CJ28" s="390" t="s">
        <v>1005</v>
      </c>
      <c r="CK28" s="393" t="s">
        <v>1157</v>
      </c>
      <c r="CL28" s="670"/>
      <c r="CM28" s="459"/>
      <c r="CN28" s="380"/>
    </row>
    <row r="29" spans="1:92" ht="120.75" customHeight="1" x14ac:dyDescent="0.25">
      <c r="A29" s="494"/>
      <c r="B29" s="384"/>
      <c r="C29" s="492"/>
      <c r="D29" s="741"/>
      <c r="E29" s="717"/>
      <c r="F29" s="717"/>
      <c r="G29" s="717"/>
      <c r="H29" s="725"/>
      <c r="I29" s="730"/>
      <c r="J29" s="717"/>
      <c r="K29" s="453"/>
      <c r="L29" s="453"/>
      <c r="M29" s="453"/>
      <c r="N29" s="453"/>
      <c r="O29" s="453"/>
      <c r="P29" s="453"/>
      <c r="Q29" s="513"/>
      <c r="R29" s="104" t="s">
        <v>40</v>
      </c>
      <c r="S29" s="510"/>
      <c r="T29" s="510"/>
      <c r="U29" s="510"/>
      <c r="V29" s="510"/>
      <c r="W29" s="453"/>
      <c r="X29" s="514"/>
      <c r="Y29" s="104" t="s">
        <v>40</v>
      </c>
      <c r="Z29" s="102" t="s">
        <v>661</v>
      </c>
      <c r="AA29" s="532"/>
      <c r="AB29" s="411"/>
      <c r="AC29" s="411"/>
      <c r="AD29" s="453"/>
      <c r="AE29" s="520" t="s">
        <v>679</v>
      </c>
      <c r="AF29" s="235">
        <v>5</v>
      </c>
      <c r="AG29" s="96">
        <v>5</v>
      </c>
      <c r="AH29" s="532"/>
      <c r="AI29" s="74" t="s">
        <v>701</v>
      </c>
      <c r="AJ29" s="74" t="s">
        <v>702</v>
      </c>
      <c r="AK29" s="453"/>
      <c r="AL29" s="268" t="s">
        <v>743</v>
      </c>
      <c r="AM29" s="187">
        <v>6</v>
      </c>
      <c r="AN29" s="72">
        <v>3</v>
      </c>
      <c r="AO29" s="532"/>
      <c r="AP29" s="139">
        <v>1186000000</v>
      </c>
      <c r="AQ29" s="253">
        <v>976986480</v>
      </c>
      <c r="AR29" s="453"/>
      <c r="AS29" s="213" t="s">
        <v>824</v>
      </c>
      <c r="AT29" s="554">
        <v>7</v>
      </c>
      <c r="AU29" s="556">
        <v>9</v>
      </c>
      <c r="AV29" s="532"/>
      <c r="AW29" s="572" t="s">
        <v>856</v>
      </c>
      <c r="AX29" s="510" t="s">
        <v>856</v>
      </c>
      <c r="AY29" s="453"/>
      <c r="AZ29" s="664" t="s">
        <v>876</v>
      </c>
      <c r="BA29" s="561"/>
      <c r="BB29" s="562"/>
      <c r="BC29" s="532"/>
      <c r="BD29" s="563"/>
      <c r="BE29" s="563"/>
      <c r="BF29" s="453"/>
      <c r="BG29" s="568"/>
      <c r="BH29" s="570"/>
      <c r="BI29" s="571"/>
      <c r="BJ29" s="592"/>
      <c r="BK29" s="563"/>
      <c r="BL29" s="79"/>
      <c r="BM29" s="562"/>
      <c r="BN29" s="573"/>
      <c r="BO29" s="580"/>
      <c r="BP29" s="451"/>
      <c r="BQ29" s="532"/>
      <c r="BR29" s="411"/>
      <c r="BS29" s="411"/>
      <c r="BT29" s="453"/>
      <c r="BU29" s="518"/>
      <c r="BV29" s="76">
        <v>0.53400000000000003</v>
      </c>
      <c r="BW29" s="359">
        <v>0.36549999999999999</v>
      </c>
      <c r="BX29" s="532"/>
      <c r="BY29" s="411"/>
      <c r="BZ29" s="401"/>
      <c r="CA29" s="462"/>
      <c r="CB29" s="412"/>
      <c r="CC29" s="419"/>
      <c r="CD29" s="99" t="s">
        <v>1104</v>
      </c>
      <c r="CE29" s="59">
        <v>0.36549999999999999</v>
      </c>
      <c r="CF29" s="316">
        <v>0</v>
      </c>
      <c r="CG29" s="411"/>
      <c r="CH29" s="401"/>
      <c r="CI29" s="462"/>
      <c r="CJ29" s="412"/>
      <c r="CK29" s="419"/>
      <c r="CL29" s="341">
        <v>0.55000000000000004</v>
      </c>
      <c r="CM29" s="59">
        <v>0.36549999999999999</v>
      </c>
      <c r="CN29" s="322">
        <v>0</v>
      </c>
    </row>
    <row r="30" spans="1:92" ht="39" customHeight="1" x14ac:dyDescent="0.25">
      <c r="A30" s="494"/>
      <c r="B30" s="384"/>
      <c r="C30" s="492"/>
      <c r="D30" s="741" t="s">
        <v>77</v>
      </c>
      <c r="E30" s="718" t="s">
        <v>78</v>
      </c>
      <c r="F30" s="718" t="s">
        <v>439</v>
      </c>
      <c r="G30" s="718" t="s">
        <v>71</v>
      </c>
      <c r="H30" s="135" t="s">
        <v>1005</v>
      </c>
      <c r="I30" s="718">
        <v>4</v>
      </c>
      <c r="J30" s="718">
        <v>8</v>
      </c>
      <c r="K30" s="60" t="s">
        <v>291</v>
      </c>
      <c r="L30" s="60" t="s">
        <v>309</v>
      </c>
      <c r="M30" s="60">
        <v>2201030</v>
      </c>
      <c r="N30" s="60" t="s">
        <v>310</v>
      </c>
      <c r="O30" s="60">
        <v>220103000</v>
      </c>
      <c r="P30" s="60" t="s">
        <v>311</v>
      </c>
      <c r="Q30" s="125">
        <v>8</v>
      </c>
      <c r="R30" s="104" t="s">
        <v>40</v>
      </c>
      <c r="S30" s="510"/>
      <c r="T30" s="510"/>
      <c r="U30" s="510"/>
      <c r="V30" s="510"/>
      <c r="W30" s="60" t="s">
        <v>258</v>
      </c>
      <c r="X30" s="514"/>
      <c r="Y30" s="104" t="s">
        <v>40</v>
      </c>
      <c r="Z30" s="102" t="s">
        <v>661</v>
      </c>
      <c r="AA30" s="57" t="e">
        <f>(Z30/Y30)*1</f>
        <v>#VALUE!</v>
      </c>
      <c r="AB30" s="58"/>
      <c r="AC30" s="58"/>
      <c r="AD30" s="60" t="s">
        <v>258</v>
      </c>
      <c r="AE30" s="520"/>
      <c r="AF30" s="238">
        <v>0.4</v>
      </c>
      <c r="AG30" s="133">
        <v>0.19</v>
      </c>
      <c r="AH30" s="57">
        <f>(AG30/AF30)*1</f>
        <v>0.47499999999999998</v>
      </c>
      <c r="AI30" s="539">
        <v>130000000</v>
      </c>
      <c r="AJ30" s="539">
        <v>988000</v>
      </c>
      <c r="AK30" s="60" t="s">
        <v>258</v>
      </c>
      <c r="AL30" s="268" t="s">
        <v>744</v>
      </c>
      <c r="AM30" s="235" t="s">
        <v>778</v>
      </c>
      <c r="AN30" s="96" t="s">
        <v>40</v>
      </c>
      <c r="AO30" s="57" t="e">
        <f>(AN30/AM30)*1</f>
        <v>#VALUE!</v>
      </c>
      <c r="AP30" s="539" t="s">
        <v>793</v>
      </c>
      <c r="AQ30" s="539">
        <v>67600000</v>
      </c>
      <c r="AR30" s="60" t="s">
        <v>258</v>
      </c>
      <c r="AS30" s="542" t="s">
        <v>825</v>
      </c>
      <c r="AT30" s="554"/>
      <c r="AU30" s="556"/>
      <c r="AV30" s="57" t="e">
        <f>(AU30/AT30)*1</f>
        <v>#DIV/0!</v>
      </c>
      <c r="AW30" s="572"/>
      <c r="AX30" s="510"/>
      <c r="AY30" s="60" t="s">
        <v>258</v>
      </c>
      <c r="AZ30" s="663"/>
      <c r="BA30" s="191">
        <v>8</v>
      </c>
      <c r="BB30" s="80">
        <v>8</v>
      </c>
      <c r="BC30" s="57">
        <f>(BB30/BA30)*1</f>
        <v>1</v>
      </c>
      <c r="BD30" s="79" t="s">
        <v>925</v>
      </c>
      <c r="BE30" s="79" t="s">
        <v>926</v>
      </c>
      <c r="BF30" s="60" t="s">
        <v>258</v>
      </c>
      <c r="BG30" s="182" t="s">
        <v>943</v>
      </c>
      <c r="BH30" s="194">
        <v>8</v>
      </c>
      <c r="BI30" s="80">
        <v>8</v>
      </c>
      <c r="BJ30" s="81">
        <f>(BI30/BH30)*1</f>
        <v>1</v>
      </c>
      <c r="BK30" s="79"/>
      <c r="BL30" s="79"/>
      <c r="BM30" s="80" t="s">
        <v>258</v>
      </c>
      <c r="BN30" s="195" t="s">
        <v>524</v>
      </c>
      <c r="BO30" s="166">
        <v>8</v>
      </c>
      <c r="BP30" s="60">
        <v>8</v>
      </c>
      <c r="BQ30" s="57">
        <f>(BP30/BO30)*1</f>
        <v>1</v>
      </c>
      <c r="BR30" s="58"/>
      <c r="BS30" s="58"/>
      <c r="BT30" s="60" t="s">
        <v>258</v>
      </c>
      <c r="BU30" s="180" t="s">
        <v>606</v>
      </c>
      <c r="BV30" s="364">
        <v>8</v>
      </c>
      <c r="BW30" s="365">
        <v>4</v>
      </c>
      <c r="BX30" s="57">
        <f>(BW30/BV30)*1</f>
        <v>0.5</v>
      </c>
      <c r="BY30" s="58">
        <v>0</v>
      </c>
      <c r="BZ30" s="58">
        <v>0</v>
      </c>
      <c r="CA30" s="57">
        <v>0</v>
      </c>
      <c r="CB30" s="96" t="s">
        <v>1005</v>
      </c>
      <c r="CC30" s="348" t="s">
        <v>1092</v>
      </c>
      <c r="CD30" s="372">
        <v>8</v>
      </c>
      <c r="CE30" s="365">
        <v>4</v>
      </c>
      <c r="CF30" s="57">
        <f>(CE30/CD30)*1</f>
        <v>0.5</v>
      </c>
      <c r="CG30" s="58">
        <v>0</v>
      </c>
      <c r="CH30" s="58">
        <v>0</v>
      </c>
      <c r="CI30" s="57">
        <v>0</v>
      </c>
      <c r="CJ30" s="96" t="s">
        <v>1005</v>
      </c>
      <c r="CK30" s="348" t="s">
        <v>1108</v>
      </c>
      <c r="CL30" s="48">
        <v>8</v>
      </c>
      <c r="CM30" s="60">
        <v>4</v>
      </c>
      <c r="CN30" s="63">
        <f>CM30/CL30</f>
        <v>0.5</v>
      </c>
    </row>
    <row r="31" spans="1:92" ht="195.75" customHeight="1" x14ac:dyDescent="0.25">
      <c r="A31" s="494"/>
      <c r="B31" s="384"/>
      <c r="C31" s="492"/>
      <c r="D31" s="741"/>
      <c r="E31" s="718" t="s">
        <v>454</v>
      </c>
      <c r="F31" s="718" t="s">
        <v>79</v>
      </c>
      <c r="G31" s="718" t="s">
        <v>80</v>
      </c>
      <c r="H31" s="135" t="s">
        <v>1006</v>
      </c>
      <c r="I31" s="731" t="s">
        <v>81</v>
      </c>
      <c r="J31" s="718" t="s">
        <v>82</v>
      </c>
      <c r="K31" s="60" t="s">
        <v>291</v>
      </c>
      <c r="L31" s="60" t="s">
        <v>312</v>
      </c>
      <c r="M31" s="60" t="s">
        <v>293</v>
      </c>
      <c r="N31" s="60" t="s">
        <v>313</v>
      </c>
      <c r="O31" s="60" t="s">
        <v>293</v>
      </c>
      <c r="P31" s="60" t="s">
        <v>314</v>
      </c>
      <c r="Q31" s="125" t="s">
        <v>82</v>
      </c>
      <c r="R31" s="104" t="s">
        <v>40</v>
      </c>
      <c r="S31" s="510"/>
      <c r="T31" s="510"/>
      <c r="U31" s="510"/>
      <c r="V31" s="510"/>
      <c r="W31" s="453" t="s">
        <v>259</v>
      </c>
      <c r="X31" s="108"/>
      <c r="Y31" s="104" t="s">
        <v>40</v>
      </c>
      <c r="Z31" s="102" t="s">
        <v>661</v>
      </c>
      <c r="AA31" s="57">
        <v>1</v>
      </c>
      <c r="AB31" s="58"/>
      <c r="AC31" s="58"/>
      <c r="AD31" s="453" t="s">
        <v>259</v>
      </c>
      <c r="AE31" s="266" t="s">
        <v>680</v>
      </c>
      <c r="AF31" s="238">
        <v>0.5</v>
      </c>
      <c r="AG31" s="96" t="s">
        <v>40</v>
      </c>
      <c r="AH31" s="57">
        <v>1</v>
      </c>
      <c r="AI31" s="539"/>
      <c r="AJ31" s="539"/>
      <c r="AK31" s="453" t="s">
        <v>259</v>
      </c>
      <c r="AL31" s="542" t="s">
        <v>745</v>
      </c>
      <c r="AM31" s="238">
        <v>0.5</v>
      </c>
      <c r="AN31" s="133" t="s">
        <v>40</v>
      </c>
      <c r="AO31" s="57">
        <v>1</v>
      </c>
      <c r="AP31" s="539"/>
      <c r="AQ31" s="539"/>
      <c r="AR31" s="453" t="s">
        <v>259</v>
      </c>
      <c r="AS31" s="542"/>
      <c r="AT31" s="225">
        <v>0.24</v>
      </c>
      <c r="AU31" s="146">
        <v>0.44</v>
      </c>
      <c r="AV31" s="57">
        <v>1</v>
      </c>
      <c r="AW31" s="245" t="s">
        <v>856</v>
      </c>
      <c r="AX31" s="245" t="s">
        <v>856</v>
      </c>
      <c r="AY31" s="453" t="s">
        <v>259</v>
      </c>
      <c r="AZ31" s="231" t="s">
        <v>877</v>
      </c>
      <c r="BA31" s="191"/>
      <c r="BB31" s="80"/>
      <c r="BC31" s="57">
        <v>1</v>
      </c>
      <c r="BD31" s="563" t="s">
        <v>927</v>
      </c>
      <c r="BE31" s="563" t="s">
        <v>927</v>
      </c>
      <c r="BF31" s="453" t="s">
        <v>259</v>
      </c>
      <c r="BG31" s="182" t="s">
        <v>944</v>
      </c>
      <c r="BH31" s="196">
        <v>0.4415</v>
      </c>
      <c r="BI31" s="86">
        <v>0.47299999999999998</v>
      </c>
      <c r="BJ31" s="81">
        <v>1</v>
      </c>
      <c r="BK31" s="79" t="s">
        <v>525</v>
      </c>
      <c r="BL31" s="79" t="s">
        <v>526</v>
      </c>
      <c r="BM31" s="562" t="s">
        <v>259</v>
      </c>
      <c r="BN31" s="195" t="s">
        <v>527</v>
      </c>
      <c r="BO31" s="168">
        <v>0.46100000000000002</v>
      </c>
      <c r="BP31" s="39">
        <v>0.47299999999999998</v>
      </c>
      <c r="BQ31" s="57">
        <v>1</v>
      </c>
      <c r="BR31" s="58" t="s">
        <v>468</v>
      </c>
      <c r="BS31" s="58" t="s">
        <v>469</v>
      </c>
      <c r="BT31" s="453" t="s">
        <v>259</v>
      </c>
      <c r="BU31" s="180" t="s">
        <v>607</v>
      </c>
      <c r="BV31" s="137" t="s">
        <v>980</v>
      </c>
      <c r="BW31" s="39">
        <v>0.47299999999999998</v>
      </c>
      <c r="BX31" s="57">
        <v>0.93</v>
      </c>
      <c r="BY31" s="58">
        <f>918000000+
3690000</f>
        <v>921690000</v>
      </c>
      <c r="BZ31" s="336">
        <v>3960000</v>
      </c>
      <c r="CA31" s="57">
        <f>BZ31/BY31</f>
        <v>4.296455424274973E-3</v>
      </c>
      <c r="CB31" s="96" t="s">
        <v>1006</v>
      </c>
      <c r="CC31" s="393" t="s">
        <v>1095</v>
      </c>
      <c r="CD31" s="98">
        <v>0.5</v>
      </c>
      <c r="CE31" s="373">
        <v>0.47299999999999998</v>
      </c>
      <c r="CF31" s="362">
        <v>0.86</v>
      </c>
      <c r="CG31" s="58">
        <f>918000000+
3690000+1700000</f>
        <v>923390000</v>
      </c>
      <c r="CH31" s="336">
        <f>3960000+1700000</f>
        <v>5660000</v>
      </c>
      <c r="CI31" s="57">
        <f>CH31/CG31</f>
        <v>6.1295877148333858E-3</v>
      </c>
      <c r="CJ31" s="96" t="s">
        <v>1006</v>
      </c>
      <c r="CK31" s="393" t="s">
        <v>1119</v>
      </c>
      <c r="CL31" s="48" t="s">
        <v>82</v>
      </c>
      <c r="CM31" s="373">
        <v>0.47299999999999998</v>
      </c>
      <c r="CN31" s="362">
        <v>0.86</v>
      </c>
    </row>
    <row r="32" spans="1:92" ht="108" customHeight="1" x14ac:dyDescent="0.25">
      <c r="A32" s="494"/>
      <c r="B32" s="384"/>
      <c r="C32" s="492"/>
      <c r="D32" s="741" t="s">
        <v>83</v>
      </c>
      <c r="E32" s="718" t="s">
        <v>84</v>
      </c>
      <c r="F32" s="718" t="s">
        <v>85</v>
      </c>
      <c r="G32" s="718" t="s">
        <v>80</v>
      </c>
      <c r="H32" s="135" t="s">
        <v>1006</v>
      </c>
      <c r="I32" s="731" t="s">
        <v>86</v>
      </c>
      <c r="J32" s="718" t="s">
        <v>87</v>
      </c>
      <c r="K32" s="453" t="s">
        <v>291</v>
      </c>
      <c r="L32" s="453" t="s">
        <v>309</v>
      </c>
      <c r="M32" s="453">
        <v>2201033</v>
      </c>
      <c r="N32" s="453" t="s">
        <v>315</v>
      </c>
      <c r="O32" s="453">
        <v>220103300</v>
      </c>
      <c r="P32" s="453" t="s">
        <v>316</v>
      </c>
      <c r="Q32" s="125" t="s">
        <v>87</v>
      </c>
      <c r="R32" s="104" t="s">
        <v>40</v>
      </c>
      <c r="S32" s="510"/>
      <c r="T32" s="510"/>
      <c r="U32" s="510"/>
      <c r="V32" s="510"/>
      <c r="W32" s="453"/>
      <c r="X32" s="514"/>
      <c r="Y32" s="104" t="s">
        <v>40</v>
      </c>
      <c r="Z32" s="102" t="s">
        <v>661</v>
      </c>
      <c r="AA32" s="57">
        <v>0.86550000000000005</v>
      </c>
      <c r="AB32" s="58"/>
      <c r="AC32" s="58"/>
      <c r="AD32" s="453"/>
      <c r="AE32" s="520" t="s">
        <v>681</v>
      </c>
      <c r="AF32" s="238">
        <v>0.1</v>
      </c>
      <c r="AG32" s="1">
        <v>8.7999999999999995E-2</v>
      </c>
      <c r="AH32" s="57">
        <v>0.86550000000000005</v>
      </c>
      <c r="AI32" s="539"/>
      <c r="AJ32" s="539"/>
      <c r="AK32" s="453"/>
      <c r="AL32" s="542"/>
      <c r="AM32" s="214">
        <v>0.09</v>
      </c>
      <c r="AN32" s="137" t="s">
        <v>40</v>
      </c>
      <c r="AO32" s="57">
        <v>0.86550000000000005</v>
      </c>
      <c r="AP32" s="539"/>
      <c r="AQ32" s="539"/>
      <c r="AR32" s="453"/>
      <c r="AS32" s="542"/>
      <c r="AT32" s="225">
        <v>0.48</v>
      </c>
      <c r="AU32" s="146">
        <v>0.42</v>
      </c>
      <c r="AV32" s="57">
        <v>0.86550000000000005</v>
      </c>
      <c r="AW32" s="245" t="s">
        <v>856</v>
      </c>
      <c r="AX32" s="245" t="s">
        <v>856</v>
      </c>
      <c r="AY32" s="453"/>
      <c r="AZ32" s="230" t="s">
        <v>878</v>
      </c>
      <c r="BA32" s="193"/>
      <c r="BB32" s="80"/>
      <c r="BC32" s="57">
        <v>0.86550000000000005</v>
      </c>
      <c r="BD32" s="563"/>
      <c r="BE32" s="563"/>
      <c r="BF32" s="453"/>
      <c r="BG32" s="192" t="s">
        <v>945</v>
      </c>
      <c r="BH32" s="197">
        <v>0.47</v>
      </c>
      <c r="BI32" s="87">
        <v>0.54300000000000004</v>
      </c>
      <c r="BJ32" s="81">
        <v>0</v>
      </c>
      <c r="BK32" s="79">
        <v>71030094</v>
      </c>
      <c r="BL32" s="79">
        <v>56824075</v>
      </c>
      <c r="BM32" s="562"/>
      <c r="BN32" s="192" t="s">
        <v>528</v>
      </c>
      <c r="BO32" s="169">
        <v>0.46800000000000003</v>
      </c>
      <c r="BP32" s="61">
        <v>0.54300000000000004</v>
      </c>
      <c r="BQ32" s="57">
        <v>0.86550000000000005</v>
      </c>
      <c r="BR32" s="58">
        <v>0</v>
      </c>
      <c r="BS32" s="58">
        <v>0</v>
      </c>
      <c r="BT32" s="453"/>
      <c r="BU32" s="162" t="s">
        <v>608</v>
      </c>
      <c r="BV32" s="138" t="s">
        <v>981</v>
      </c>
      <c r="BW32" s="61">
        <v>0.54300000000000004</v>
      </c>
      <c r="BX32" s="57">
        <v>0</v>
      </c>
      <c r="BY32" s="58">
        <v>0</v>
      </c>
      <c r="BZ32" s="58">
        <v>0</v>
      </c>
      <c r="CA32" s="57">
        <v>0</v>
      </c>
      <c r="CB32" s="96" t="s">
        <v>1006</v>
      </c>
      <c r="CC32" s="419"/>
      <c r="CD32" s="84">
        <v>0.45</v>
      </c>
      <c r="CE32" s="61">
        <v>0.54300000000000004</v>
      </c>
      <c r="CF32" s="57">
        <v>0</v>
      </c>
      <c r="CG32" s="58">
        <v>0</v>
      </c>
      <c r="CH32" s="58">
        <v>0</v>
      </c>
      <c r="CI32" s="57">
        <v>0</v>
      </c>
      <c r="CJ32" s="96" t="s">
        <v>1006</v>
      </c>
      <c r="CK32" s="419"/>
      <c r="CL32" s="48" t="s">
        <v>87</v>
      </c>
      <c r="CM32" s="61">
        <v>0.54300000000000004</v>
      </c>
      <c r="CN32" s="63">
        <v>0</v>
      </c>
    </row>
    <row r="33" spans="1:92" ht="183" customHeight="1" x14ac:dyDescent="0.25">
      <c r="A33" s="494"/>
      <c r="B33" s="384"/>
      <c r="C33" s="492"/>
      <c r="D33" s="741"/>
      <c r="E33" s="718" t="s">
        <v>88</v>
      </c>
      <c r="F33" s="718" t="s">
        <v>89</v>
      </c>
      <c r="G33" s="718" t="s">
        <v>80</v>
      </c>
      <c r="H33" s="135" t="s">
        <v>1006</v>
      </c>
      <c r="I33" s="731" t="s">
        <v>90</v>
      </c>
      <c r="J33" s="718" t="s">
        <v>91</v>
      </c>
      <c r="K33" s="453"/>
      <c r="L33" s="453"/>
      <c r="M33" s="453"/>
      <c r="N33" s="453"/>
      <c r="O33" s="453"/>
      <c r="P33" s="453"/>
      <c r="Q33" s="125" t="s">
        <v>91</v>
      </c>
      <c r="R33" s="104" t="s">
        <v>40</v>
      </c>
      <c r="S33" s="510"/>
      <c r="T33" s="510"/>
      <c r="U33" s="510"/>
      <c r="V33" s="510"/>
      <c r="W33" s="453"/>
      <c r="X33" s="514"/>
      <c r="Y33" s="104" t="s">
        <v>40</v>
      </c>
      <c r="Z33" s="102" t="s">
        <v>661</v>
      </c>
      <c r="AA33" s="57">
        <v>1</v>
      </c>
      <c r="AB33" s="58"/>
      <c r="AC33" s="58"/>
      <c r="AD33" s="453"/>
      <c r="AE33" s="520"/>
      <c r="AF33" s="238">
        <v>0.55000000000000004</v>
      </c>
      <c r="AG33" s="133">
        <v>0.51</v>
      </c>
      <c r="AH33" s="57">
        <v>1</v>
      </c>
      <c r="AI33" s="539"/>
      <c r="AJ33" s="539"/>
      <c r="AK33" s="453"/>
      <c r="AL33" s="213" t="s">
        <v>746</v>
      </c>
      <c r="AM33" s="238">
        <v>0.57999999999999996</v>
      </c>
      <c r="AN33" s="133" t="s">
        <v>40</v>
      </c>
      <c r="AO33" s="57">
        <v>1</v>
      </c>
      <c r="AP33" s="539"/>
      <c r="AQ33" s="539"/>
      <c r="AR33" s="453"/>
      <c r="AS33" s="542"/>
      <c r="AT33" s="225">
        <v>0.08</v>
      </c>
      <c r="AU33" s="147">
        <v>8.5000000000000006E-2</v>
      </c>
      <c r="AV33" s="57">
        <v>1</v>
      </c>
      <c r="AW33" s="245" t="s">
        <v>856</v>
      </c>
      <c r="AX33" s="245" t="s">
        <v>856</v>
      </c>
      <c r="AY33" s="453"/>
      <c r="AZ33" s="231" t="s">
        <v>879</v>
      </c>
      <c r="BA33" s="193">
        <v>7.0000000000000007E-2</v>
      </c>
      <c r="BB33" s="78" t="s">
        <v>919</v>
      </c>
      <c r="BC33" s="57">
        <v>1</v>
      </c>
      <c r="BD33" s="563"/>
      <c r="BE33" s="563"/>
      <c r="BF33" s="453"/>
      <c r="BG33" s="192" t="s">
        <v>946</v>
      </c>
      <c r="BH33" s="197">
        <v>8.6800000000000002E-2</v>
      </c>
      <c r="BI33" s="87">
        <v>8.7900000000000006E-2</v>
      </c>
      <c r="BJ33" s="81">
        <v>1</v>
      </c>
      <c r="BK33" s="79" t="s">
        <v>529</v>
      </c>
      <c r="BL33" s="79" t="s">
        <v>529</v>
      </c>
      <c r="BM33" s="562"/>
      <c r="BN33" s="192" t="s">
        <v>530</v>
      </c>
      <c r="BO33" s="169">
        <v>8.1199999999999994E-2</v>
      </c>
      <c r="BP33" s="61">
        <v>8.7900000000000006E-2</v>
      </c>
      <c r="BQ33" s="57">
        <v>1</v>
      </c>
      <c r="BR33" s="58">
        <v>0</v>
      </c>
      <c r="BS33" s="58">
        <v>0</v>
      </c>
      <c r="BT33" s="453"/>
      <c r="BU33" s="162" t="s">
        <v>609</v>
      </c>
      <c r="BV33" s="138" t="s">
        <v>982</v>
      </c>
      <c r="BW33" s="61">
        <v>8.7900000000000006E-2</v>
      </c>
      <c r="BX33" s="57">
        <v>0.75</v>
      </c>
      <c r="BY33" s="58">
        <f>359582000+90000000</f>
        <v>449582000</v>
      </c>
      <c r="BZ33" s="58">
        <f>107874824+90000000</f>
        <v>197874824</v>
      </c>
      <c r="CA33" s="57">
        <f>BZ33/BY33</f>
        <v>0.44013066359418301</v>
      </c>
      <c r="CB33" s="96" t="s">
        <v>1006</v>
      </c>
      <c r="CC33" s="82" t="s">
        <v>1051</v>
      </c>
      <c r="CD33" s="98">
        <v>7.0000000000000007E-2</v>
      </c>
      <c r="CE33" s="250">
        <v>8.7900000000000006E-2</v>
      </c>
      <c r="CF33" s="57">
        <v>0.68</v>
      </c>
      <c r="CG33" s="58">
        <f>359582000+90000000+1700000</f>
        <v>451282000</v>
      </c>
      <c r="CH33" s="58">
        <f>107874824+90000000+1700000</f>
        <v>199574824</v>
      </c>
      <c r="CI33" s="57">
        <f>CH33/CG33</f>
        <v>0.4422397170726951</v>
      </c>
      <c r="CJ33" s="96" t="s">
        <v>1006</v>
      </c>
      <c r="CK33" s="82" t="s">
        <v>1120</v>
      </c>
      <c r="CL33" s="48" t="s">
        <v>91</v>
      </c>
      <c r="CM33" s="250">
        <v>8.7900000000000006E-2</v>
      </c>
      <c r="CN33" s="63">
        <v>0.68</v>
      </c>
    </row>
    <row r="34" spans="1:92" ht="116.25" customHeight="1" x14ac:dyDescent="0.25">
      <c r="A34" s="494"/>
      <c r="B34" s="384"/>
      <c r="C34" s="492"/>
      <c r="D34" s="744" t="s">
        <v>92</v>
      </c>
      <c r="E34" s="718" t="s">
        <v>93</v>
      </c>
      <c r="F34" s="718" t="s">
        <v>94</v>
      </c>
      <c r="G34" s="718" t="s">
        <v>80</v>
      </c>
      <c r="H34" s="135" t="s">
        <v>1006</v>
      </c>
      <c r="I34" s="731" t="s">
        <v>95</v>
      </c>
      <c r="J34" s="718" t="s">
        <v>96</v>
      </c>
      <c r="K34" s="60" t="s">
        <v>291</v>
      </c>
      <c r="L34" s="60" t="s">
        <v>312</v>
      </c>
      <c r="M34" s="60" t="s">
        <v>293</v>
      </c>
      <c r="N34" s="60" t="s">
        <v>313</v>
      </c>
      <c r="O34" s="60" t="s">
        <v>293</v>
      </c>
      <c r="P34" s="60" t="s">
        <v>314</v>
      </c>
      <c r="Q34" s="125" t="s">
        <v>96</v>
      </c>
      <c r="R34" s="104" t="s">
        <v>40</v>
      </c>
      <c r="S34" s="510"/>
      <c r="T34" s="510"/>
      <c r="U34" s="510"/>
      <c r="V34" s="510"/>
      <c r="W34" s="453"/>
      <c r="X34" s="514"/>
      <c r="Y34" s="104" t="s">
        <v>40</v>
      </c>
      <c r="Z34" s="102" t="s">
        <v>661</v>
      </c>
      <c r="AA34" s="57" t="e">
        <f>Z34/Y34</f>
        <v>#VALUE!</v>
      </c>
      <c r="AB34" s="58"/>
      <c r="AC34" s="58"/>
      <c r="AD34" s="453"/>
      <c r="AE34" s="520"/>
      <c r="AF34" s="238">
        <v>0.7</v>
      </c>
      <c r="AG34" s="133">
        <v>0.5</v>
      </c>
      <c r="AH34" s="57">
        <f>AG34/AF34</f>
        <v>0.7142857142857143</v>
      </c>
      <c r="AI34" s="74" t="s">
        <v>703</v>
      </c>
      <c r="AJ34" s="74" t="s">
        <v>704</v>
      </c>
      <c r="AK34" s="453"/>
      <c r="AL34" s="268" t="s">
        <v>747</v>
      </c>
      <c r="AM34" s="214">
        <v>0.7</v>
      </c>
      <c r="AN34" s="137">
        <v>0.5</v>
      </c>
      <c r="AO34" s="57">
        <f>AN34/AM34</f>
        <v>0.7142857142857143</v>
      </c>
      <c r="AP34" s="254">
        <v>25750000</v>
      </c>
      <c r="AQ34" s="255">
        <v>22400000</v>
      </c>
      <c r="AR34" s="453"/>
      <c r="AS34" s="224" t="s">
        <v>826</v>
      </c>
      <c r="AT34" s="225">
        <v>0.6</v>
      </c>
      <c r="AU34" s="146">
        <v>0.56899999999999995</v>
      </c>
      <c r="AV34" s="57">
        <f>AU34/AT34</f>
        <v>0.94833333333333325</v>
      </c>
      <c r="AW34" s="245" t="s">
        <v>856</v>
      </c>
      <c r="AX34" s="245" t="s">
        <v>856</v>
      </c>
      <c r="AY34" s="453"/>
      <c r="AZ34" s="231" t="s">
        <v>880</v>
      </c>
      <c r="BA34" s="193">
        <v>0.71</v>
      </c>
      <c r="BB34" s="84">
        <v>0.63</v>
      </c>
      <c r="BC34" s="57">
        <f>BB34/BA34</f>
        <v>0.88732394366197187</v>
      </c>
      <c r="BD34" s="563"/>
      <c r="BE34" s="563"/>
      <c r="BF34" s="453"/>
      <c r="BG34" s="215" t="s">
        <v>947</v>
      </c>
      <c r="BH34" s="198">
        <v>0.68600000000000005</v>
      </c>
      <c r="BI34" s="88">
        <v>0.623</v>
      </c>
      <c r="BJ34" s="81">
        <f>BI34/BH34</f>
        <v>0.90816326530612235</v>
      </c>
      <c r="BK34" s="79"/>
      <c r="BL34" s="79"/>
      <c r="BM34" s="562"/>
      <c r="BN34" s="186" t="s">
        <v>531</v>
      </c>
      <c r="BO34" s="170">
        <v>0.69020000000000004</v>
      </c>
      <c r="BP34" s="40">
        <v>0.623</v>
      </c>
      <c r="BQ34" s="57">
        <f>BP34/BO34</f>
        <v>0.9026369168356998</v>
      </c>
      <c r="BR34" s="58">
        <v>0</v>
      </c>
      <c r="BS34" s="58">
        <v>0</v>
      </c>
      <c r="BT34" s="453"/>
      <c r="BU34" s="113" t="s">
        <v>610</v>
      </c>
      <c r="BV34" s="137">
        <v>0.70199999999999996</v>
      </c>
      <c r="BW34" s="40">
        <v>0.623</v>
      </c>
      <c r="BX34" s="57">
        <v>0.122</v>
      </c>
      <c r="BY34" s="58">
        <v>0</v>
      </c>
      <c r="BZ34" s="337">
        <v>0</v>
      </c>
      <c r="CA34" s="57">
        <f>BY34/BX34</f>
        <v>0</v>
      </c>
      <c r="CB34" s="96" t="s">
        <v>1006</v>
      </c>
      <c r="CC34" s="349" t="s">
        <v>1052</v>
      </c>
      <c r="CD34" s="98">
        <v>0.71</v>
      </c>
      <c r="CE34" s="40">
        <v>0.623</v>
      </c>
      <c r="CF34" s="57">
        <v>0.122</v>
      </c>
      <c r="CG34" s="58">
        <v>0</v>
      </c>
      <c r="CH34" s="337">
        <v>0</v>
      </c>
      <c r="CI34" s="57">
        <f>CG34/CF34</f>
        <v>0</v>
      </c>
      <c r="CJ34" s="96" t="s">
        <v>1006</v>
      </c>
      <c r="CK34" s="349" t="s">
        <v>1052</v>
      </c>
      <c r="CL34" s="48" t="s">
        <v>96</v>
      </c>
      <c r="CM34" s="40">
        <v>0.623</v>
      </c>
      <c r="CN34" s="63">
        <v>0.122</v>
      </c>
    </row>
    <row r="35" spans="1:92" ht="165.75" customHeight="1" x14ac:dyDescent="0.25">
      <c r="A35" s="494"/>
      <c r="B35" s="384" t="s">
        <v>97</v>
      </c>
      <c r="C35" s="492" t="s">
        <v>98</v>
      </c>
      <c r="D35" s="744" t="s">
        <v>99</v>
      </c>
      <c r="E35" s="718" t="s">
        <v>100</v>
      </c>
      <c r="F35" s="718" t="s">
        <v>101</v>
      </c>
      <c r="G35" s="718" t="s">
        <v>102</v>
      </c>
      <c r="H35" s="732" t="s">
        <v>1007</v>
      </c>
      <c r="I35" s="731" t="s">
        <v>103</v>
      </c>
      <c r="J35" s="742">
        <v>0.8</v>
      </c>
      <c r="K35" s="60" t="s">
        <v>291</v>
      </c>
      <c r="L35" s="60" t="s">
        <v>317</v>
      </c>
      <c r="M35" s="60" t="s">
        <v>293</v>
      </c>
      <c r="N35" s="48" t="s">
        <v>318</v>
      </c>
      <c r="O35" s="48" t="s">
        <v>293</v>
      </c>
      <c r="P35" s="48" t="s">
        <v>319</v>
      </c>
      <c r="Q35" s="126">
        <v>0.8</v>
      </c>
      <c r="R35" s="104" t="s">
        <v>40</v>
      </c>
      <c r="S35" s="510"/>
      <c r="T35" s="510"/>
      <c r="U35" s="510"/>
      <c r="V35" s="510"/>
      <c r="W35" s="60" t="s">
        <v>260</v>
      </c>
      <c r="X35" s="105"/>
      <c r="Y35" s="104" t="s">
        <v>40</v>
      </c>
      <c r="Z35" s="102" t="s">
        <v>661</v>
      </c>
      <c r="AA35" s="57" t="e">
        <f>Z35/Y35</f>
        <v>#VALUE!</v>
      </c>
      <c r="AB35" s="58"/>
      <c r="AC35" s="55"/>
      <c r="AD35" s="60" t="s">
        <v>260</v>
      </c>
      <c r="AE35" s="265" t="s">
        <v>670</v>
      </c>
      <c r="AF35" s="238">
        <v>0.6</v>
      </c>
      <c r="AG35" s="133">
        <v>0.86</v>
      </c>
      <c r="AH35" s="57">
        <f>AG35/AF35</f>
        <v>1.4333333333333333</v>
      </c>
      <c r="AI35" s="74">
        <v>28200000</v>
      </c>
      <c r="AJ35" s="74">
        <v>8167000</v>
      </c>
      <c r="AK35" s="60" t="s">
        <v>260</v>
      </c>
      <c r="AL35" s="268" t="s">
        <v>748</v>
      </c>
      <c r="AM35" s="214">
        <v>0.65</v>
      </c>
      <c r="AN35" s="137">
        <v>0.86</v>
      </c>
      <c r="AO35" s="57">
        <f>AN35/AM35</f>
        <v>1.323076923076923</v>
      </c>
      <c r="AP35" s="256">
        <v>29046000</v>
      </c>
      <c r="AQ35" s="140" t="s">
        <v>700</v>
      </c>
      <c r="AR35" s="60" t="s">
        <v>260</v>
      </c>
      <c r="AS35" s="224" t="s">
        <v>827</v>
      </c>
      <c r="AT35" s="225">
        <v>0.72</v>
      </c>
      <c r="AU35" s="146">
        <v>0.5</v>
      </c>
      <c r="AV35" s="57">
        <f>AU35/AT35</f>
        <v>0.69444444444444442</v>
      </c>
      <c r="AW35" s="245" t="s">
        <v>856</v>
      </c>
      <c r="AX35" s="245" t="s">
        <v>856</v>
      </c>
      <c r="AY35" s="60" t="s">
        <v>260</v>
      </c>
      <c r="AZ35" s="280" t="s">
        <v>881</v>
      </c>
      <c r="BA35" s="191">
        <v>12</v>
      </c>
      <c r="BB35" s="80">
        <v>12</v>
      </c>
      <c r="BC35" s="57">
        <f>BB35/BA35</f>
        <v>1</v>
      </c>
      <c r="BD35" s="79"/>
      <c r="BE35" s="79"/>
      <c r="BF35" s="60" t="s">
        <v>260</v>
      </c>
      <c r="BG35" s="182" t="s">
        <v>948</v>
      </c>
      <c r="BH35" s="193">
        <v>0.56000000000000005</v>
      </c>
      <c r="BI35" s="89">
        <f>5/12</f>
        <v>0.41666666666666669</v>
      </c>
      <c r="BJ35" s="81">
        <f>BI35/BH35</f>
        <v>0.74404761904761896</v>
      </c>
      <c r="BK35" s="79" t="s">
        <v>532</v>
      </c>
      <c r="BL35" s="101">
        <v>900</v>
      </c>
      <c r="BM35" s="80" t="s">
        <v>260</v>
      </c>
      <c r="BN35" s="182" t="s">
        <v>533</v>
      </c>
      <c r="BO35" s="163">
        <v>0.74</v>
      </c>
      <c r="BP35" s="59">
        <f>5/12</f>
        <v>0.41666666666666669</v>
      </c>
      <c r="BQ35" s="57">
        <f>BP35/BO35</f>
        <v>0.56306306306306309</v>
      </c>
      <c r="BR35" s="58" t="s">
        <v>461</v>
      </c>
      <c r="BS35" s="55" t="s">
        <v>460</v>
      </c>
      <c r="BT35" s="60" t="s">
        <v>260</v>
      </c>
      <c r="BU35" s="180" t="s">
        <v>611</v>
      </c>
      <c r="BV35" s="137">
        <v>0.72</v>
      </c>
      <c r="BW35" s="59">
        <f>11/12</f>
        <v>0.91666666666666663</v>
      </c>
      <c r="BX35" s="57">
        <v>1</v>
      </c>
      <c r="BY35" s="342">
        <v>90000000</v>
      </c>
      <c r="BZ35" s="313">
        <v>28753833</v>
      </c>
      <c r="CA35" s="57">
        <f>BZ35/BY35</f>
        <v>0.31948703333333334</v>
      </c>
      <c r="CB35" s="1" t="s">
        <v>1007</v>
      </c>
      <c r="CC35" s="350" t="s">
        <v>1053</v>
      </c>
      <c r="CD35" s="98">
        <v>0.8</v>
      </c>
      <c r="CE35" s="59">
        <f>11/12</f>
        <v>0.91666666666666663</v>
      </c>
      <c r="CF35" s="57">
        <v>1</v>
      </c>
      <c r="CG35" s="342">
        <v>90000000</v>
      </c>
      <c r="CH35" s="313">
        <v>28753833</v>
      </c>
      <c r="CI35" s="57">
        <f>CH35/CG35</f>
        <v>0.31948703333333334</v>
      </c>
      <c r="CJ35" s="1" t="s">
        <v>1007</v>
      </c>
      <c r="CK35" s="350" t="s">
        <v>1121</v>
      </c>
      <c r="CL35" s="64">
        <v>0.8</v>
      </c>
      <c r="CM35" s="59">
        <f>11/12</f>
        <v>0.91666666666666663</v>
      </c>
      <c r="CN35" s="63">
        <v>1</v>
      </c>
    </row>
    <row r="36" spans="1:92" ht="123.75" customHeight="1" x14ac:dyDescent="0.25">
      <c r="A36" s="494"/>
      <c r="B36" s="384"/>
      <c r="C36" s="492"/>
      <c r="D36" s="744" t="s">
        <v>104</v>
      </c>
      <c r="E36" s="718" t="s">
        <v>105</v>
      </c>
      <c r="F36" s="718" t="s">
        <v>106</v>
      </c>
      <c r="G36" s="718" t="s">
        <v>107</v>
      </c>
      <c r="H36" s="135" t="s">
        <v>1008</v>
      </c>
      <c r="I36" s="718" t="s">
        <v>108</v>
      </c>
      <c r="J36" s="742">
        <v>1</v>
      </c>
      <c r="K36" s="60" t="s">
        <v>291</v>
      </c>
      <c r="L36" s="60" t="s">
        <v>320</v>
      </c>
      <c r="M36" s="48">
        <v>1903011</v>
      </c>
      <c r="N36" s="48" t="s">
        <v>321</v>
      </c>
      <c r="O36" s="48">
        <v>190301100</v>
      </c>
      <c r="P36" s="48" t="s">
        <v>322</v>
      </c>
      <c r="Q36" s="126">
        <v>1</v>
      </c>
      <c r="R36" s="104" t="s">
        <v>40</v>
      </c>
      <c r="S36" s="510"/>
      <c r="T36" s="510"/>
      <c r="U36" s="510"/>
      <c r="V36" s="510"/>
      <c r="W36" s="60" t="s">
        <v>261</v>
      </c>
      <c r="X36" s="105"/>
      <c r="Y36" s="104" t="s">
        <v>40</v>
      </c>
      <c r="Z36" s="102" t="s">
        <v>661</v>
      </c>
      <c r="AA36" s="57" t="e">
        <f>Z36/Y36</f>
        <v>#VALUE!</v>
      </c>
      <c r="AB36" s="58"/>
      <c r="AC36" s="58"/>
      <c r="AD36" s="60" t="s">
        <v>261</v>
      </c>
      <c r="AE36" s="265" t="s">
        <v>680</v>
      </c>
      <c r="AF36" s="530">
        <v>13</v>
      </c>
      <c r="AG36" s="480">
        <v>13</v>
      </c>
      <c r="AH36" s="57">
        <f>AG36/AF36</f>
        <v>1</v>
      </c>
      <c r="AI36" s="539" t="s">
        <v>705</v>
      </c>
      <c r="AJ36" s="539" t="s">
        <v>706</v>
      </c>
      <c r="AK36" s="60" t="s">
        <v>261</v>
      </c>
      <c r="AL36" s="542" t="s">
        <v>749</v>
      </c>
      <c r="AM36" s="548">
        <v>15</v>
      </c>
      <c r="AN36" s="549">
        <v>15</v>
      </c>
      <c r="AO36" s="57">
        <f>AN36/AM36</f>
        <v>1</v>
      </c>
      <c r="AP36" s="540">
        <v>405652392</v>
      </c>
      <c r="AQ36" s="540">
        <v>222770997</v>
      </c>
      <c r="AR36" s="60" t="s">
        <v>261</v>
      </c>
      <c r="AS36" s="644" t="s">
        <v>828</v>
      </c>
      <c r="AT36" s="225">
        <v>0.7</v>
      </c>
      <c r="AU36" s="146">
        <v>0.7</v>
      </c>
      <c r="AV36" s="57">
        <f>AU36/AT36</f>
        <v>1</v>
      </c>
      <c r="AW36" s="245" t="s">
        <v>856</v>
      </c>
      <c r="AX36" s="245" t="s">
        <v>856</v>
      </c>
      <c r="AY36" s="60" t="s">
        <v>261</v>
      </c>
      <c r="AZ36" s="280" t="s">
        <v>882</v>
      </c>
      <c r="BA36" s="191">
        <v>12</v>
      </c>
      <c r="BB36" s="80">
        <v>12</v>
      </c>
      <c r="BC36" s="57">
        <f>BB36/BA36</f>
        <v>1</v>
      </c>
      <c r="BD36" s="79"/>
      <c r="BE36" s="79"/>
      <c r="BF36" s="60" t="s">
        <v>261</v>
      </c>
      <c r="BG36" s="182" t="s">
        <v>948</v>
      </c>
      <c r="BH36" s="199">
        <v>0.94769999999999999</v>
      </c>
      <c r="BI36" s="89">
        <v>0.85</v>
      </c>
      <c r="BJ36" s="81">
        <f>BI36/BH36</f>
        <v>0.89690830431571167</v>
      </c>
      <c r="BK36" s="79"/>
      <c r="BL36" s="79"/>
      <c r="BM36" s="80" t="s">
        <v>261</v>
      </c>
      <c r="BN36" s="182" t="s">
        <v>534</v>
      </c>
      <c r="BO36" s="171">
        <v>0.96509999999999996</v>
      </c>
      <c r="BP36" s="59">
        <v>0.85</v>
      </c>
      <c r="BQ36" s="57">
        <f>BP36/BO36</f>
        <v>0.88073774738369082</v>
      </c>
      <c r="BR36" s="58">
        <v>0</v>
      </c>
      <c r="BS36" s="58">
        <v>0</v>
      </c>
      <c r="BT36" s="60" t="s">
        <v>261</v>
      </c>
      <c r="BU36" s="167" t="s">
        <v>612</v>
      </c>
      <c r="BV36" s="138">
        <v>0.98250000000000004</v>
      </c>
      <c r="BW36" s="59">
        <v>0.85</v>
      </c>
      <c r="BX36" s="57">
        <v>0.15379999999999999</v>
      </c>
      <c r="BY36" s="337">
        <v>0</v>
      </c>
      <c r="BZ36" s="337">
        <v>0</v>
      </c>
      <c r="CA36" s="57">
        <v>0</v>
      </c>
      <c r="CB36" s="96" t="s">
        <v>1008</v>
      </c>
      <c r="CC36" s="348" t="s">
        <v>1096</v>
      </c>
      <c r="CD36" s="84">
        <v>1</v>
      </c>
      <c r="CE36" s="59">
        <v>0.85</v>
      </c>
      <c r="CF36" s="57">
        <v>0.15379999999999999</v>
      </c>
      <c r="CG36" s="337">
        <v>0</v>
      </c>
      <c r="CH36" s="337">
        <v>0</v>
      </c>
      <c r="CI36" s="57">
        <v>0</v>
      </c>
      <c r="CJ36" s="96" t="s">
        <v>1008</v>
      </c>
      <c r="CK36" s="348" t="s">
        <v>1122</v>
      </c>
      <c r="CL36" s="64">
        <v>1</v>
      </c>
      <c r="CM36" s="59">
        <v>0.85</v>
      </c>
      <c r="CN36" s="63">
        <v>0.13800000000000001</v>
      </c>
    </row>
    <row r="37" spans="1:92" ht="15" customHeight="1" x14ac:dyDescent="0.25">
      <c r="A37" s="494"/>
      <c r="B37" s="384"/>
      <c r="C37" s="492"/>
      <c r="D37" s="741" t="s">
        <v>109</v>
      </c>
      <c r="E37" s="717" t="s">
        <v>110</v>
      </c>
      <c r="F37" s="717" t="s">
        <v>440</v>
      </c>
      <c r="G37" s="717" t="s">
        <v>111</v>
      </c>
      <c r="H37" s="724" t="s">
        <v>1009</v>
      </c>
      <c r="I37" s="717" t="s">
        <v>36</v>
      </c>
      <c r="J37" s="717" t="s">
        <v>441</v>
      </c>
      <c r="K37" s="453" t="s">
        <v>291</v>
      </c>
      <c r="L37" s="453" t="s">
        <v>323</v>
      </c>
      <c r="M37" s="453">
        <v>4301037</v>
      </c>
      <c r="N37" s="453" t="s">
        <v>324</v>
      </c>
      <c r="O37" s="453">
        <v>430103704</v>
      </c>
      <c r="P37" s="453" t="s">
        <v>325</v>
      </c>
      <c r="Q37" s="513" t="s">
        <v>441</v>
      </c>
      <c r="R37" s="104" t="s">
        <v>40</v>
      </c>
      <c r="S37" s="510"/>
      <c r="T37" s="510"/>
      <c r="U37" s="510"/>
      <c r="V37" s="510"/>
      <c r="W37" s="453" t="s">
        <v>262</v>
      </c>
      <c r="X37" s="534"/>
      <c r="Y37" s="104" t="s">
        <v>40</v>
      </c>
      <c r="Z37" s="102" t="s">
        <v>661</v>
      </c>
      <c r="AA37" s="385">
        <v>1</v>
      </c>
      <c r="AB37" s="411"/>
      <c r="AC37" s="411"/>
      <c r="AD37" s="453" t="s">
        <v>262</v>
      </c>
      <c r="AE37" s="637" t="s">
        <v>670</v>
      </c>
      <c r="AF37" s="530"/>
      <c r="AG37" s="480"/>
      <c r="AH37" s="385">
        <v>1</v>
      </c>
      <c r="AI37" s="539"/>
      <c r="AJ37" s="539"/>
      <c r="AK37" s="453" t="s">
        <v>262</v>
      </c>
      <c r="AL37" s="542"/>
      <c r="AM37" s="548"/>
      <c r="AN37" s="549"/>
      <c r="AO37" s="385">
        <v>1</v>
      </c>
      <c r="AP37" s="540"/>
      <c r="AQ37" s="540"/>
      <c r="AR37" s="453" t="s">
        <v>262</v>
      </c>
      <c r="AS37" s="644"/>
      <c r="AT37" s="554">
        <v>18</v>
      </c>
      <c r="AU37" s="556">
        <v>18</v>
      </c>
      <c r="AV37" s="385">
        <v>1</v>
      </c>
      <c r="AW37" s="572" t="s">
        <v>856</v>
      </c>
      <c r="AX37" s="572" t="s">
        <v>856</v>
      </c>
      <c r="AY37" s="453" t="s">
        <v>262</v>
      </c>
      <c r="AZ37" s="665" t="s">
        <v>883</v>
      </c>
      <c r="BA37" s="561">
        <v>1</v>
      </c>
      <c r="BB37" s="562">
        <v>1</v>
      </c>
      <c r="BC37" s="385">
        <v>1</v>
      </c>
      <c r="BD37" s="563" t="s">
        <v>928</v>
      </c>
      <c r="BE37" s="563">
        <v>120300000</v>
      </c>
      <c r="BF37" s="453" t="s">
        <v>262</v>
      </c>
      <c r="BG37" s="573" t="s">
        <v>949</v>
      </c>
      <c r="BH37" s="598">
        <v>0.21</v>
      </c>
      <c r="BI37" s="599">
        <v>0.75</v>
      </c>
      <c r="BJ37" s="592">
        <v>1</v>
      </c>
      <c r="BK37" s="563" t="s">
        <v>535</v>
      </c>
      <c r="BL37" s="600" t="s">
        <v>536</v>
      </c>
      <c r="BM37" s="562" t="s">
        <v>262</v>
      </c>
      <c r="BN37" s="573" t="s">
        <v>537</v>
      </c>
      <c r="BO37" s="601">
        <v>0.24</v>
      </c>
      <c r="BP37" s="406">
        <v>0.75</v>
      </c>
      <c r="BQ37" s="385">
        <v>1</v>
      </c>
      <c r="BR37" s="411">
        <v>143411000</v>
      </c>
      <c r="BS37" s="411" t="s">
        <v>613</v>
      </c>
      <c r="BT37" s="453" t="s">
        <v>262</v>
      </c>
      <c r="BU37" s="594" t="s">
        <v>614</v>
      </c>
      <c r="BV37" s="547">
        <v>0.27</v>
      </c>
      <c r="BW37" s="406">
        <v>0.75</v>
      </c>
      <c r="BX37" s="385">
        <v>1</v>
      </c>
      <c r="BY37" s="411">
        <f>12894828+14057500+
1253376033+
1405500</f>
        <v>1281733861</v>
      </c>
      <c r="BZ37" s="411">
        <f>12894828+
592550000+
14057500+14057500</f>
        <v>633559828</v>
      </c>
      <c r="CA37" s="379">
        <f>BZ37/BY37</f>
        <v>0.4942990485604406</v>
      </c>
      <c r="CB37" s="390" t="s">
        <v>1009</v>
      </c>
      <c r="CC37" s="444" t="s">
        <v>1054</v>
      </c>
      <c r="CD37" s="445">
        <v>0.3</v>
      </c>
      <c r="CE37" s="406">
        <v>0.75</v>
      </c>
      <c r="CF37" s="385">
        <v>1</v>
      </c>
      <c r="CG37" s="411">
        <f>12894828+14057500+37200000+278428571+
1253376033+
1405500+830364707</f>
        <v>2427727139</v>
      </c>
      <c r="CH37" s="411">
        <f>12894828+37200000+278428571+
592550000+
14057500+14057500+130000000</f>
        <v>1079188399</v>
      </c>
      <c r="CI37" s="379">
        <f>CH37/CG37</f>
        <v>0.44452623264924501</v>
      </c>
      <c r="CJ37" s="390" t="s">
        <v>1009</v>
      </c>
      <c r="CK37" s="444" t="s">
        <v>1123</v>
      </c>
      <c r="CL37" s="384" t="s">
        <v>441</v>
      </c>
      <c r="CM37" s="689">
        <v>0.75</v>
      </c>
      <c r="CN37" s="379">
        <v>1</v>
      </c>
    </row>
    <row r="38" spans="1:92" ht="83.25" customHeight="1" x14ac:dyDescent="0.25">
      <c r="A38" s="494"/>
      <c r="B38" s="384"/>
      <c r="C38" s="492"/>
      <c r="D38" s="741"/>
      <c r="E38" s="717"/>
      <c r="F38" s="717"/>
      <c r="G38" s="717"/>
      <c r="H38" s="727"/>
      <c r="I38" s="717"/>
      <c r="J38" s="717"/>
      <c r="K38" s="453"/>
      <c r="L38" s="453"/>
      <c r="M38" s="453"/>
      <c r="N38" s="453"/>
      <c r="O38" s="453"/>
      <c r="P38" s="453"/>
      <c r="Q38" s="513"/>
      <c r="R38" s="104" t="s">
        <v>40</v>
      </c>
      <c r="S38" s="510"/>
      <c r="T38" s="510"/>
      <c r="U38" s="510"/>
      <c r="V38" s="510"/>
      <c r="W38" s="453"/>
      <c r="X38" s="534"/>
      <c r="Y38" s="104" t="s">
        <v>40</v>
      </c>
      <c r="Z38" s="102" t="s">
        <v>661</v>
      </c>
      <c r="AA38" s="385"/>
      <c r="AB38" s="411"/>
      <c r="AC38" s="447"/>
      <c r="AD38" s="453"/>
      <c r="AE38" s="637"/>
      <c r="AF38" s="530"/>
      <c r="AG38" s="480"/>
      <c r="AH38" s="385"/>
      <c r="AI38" s="539"/>
      <c r="AJ38" s="539"/>
      <c r="AK38" s="453"/>
      <c r="AL38" s="542"/>
      <c r="AM38" s="548"/>
      <c r="AN38" s="549"/>
      <c r="AO38" s="385"/>
      <c r="AP38" s="540"/>
      <c r="AQ38" s="540"/>
      <c r="AR38" s="453"/>
      <c r="AS38" s="644"/>
      <c r="AT38" s="554"/>
      <c r="AU38" s="556"/>
      <c r="AV38" s="385"/>
      <c r="AW38" s="572"/>
      <c r="AX38" s="572"/>
      <c r="AY38" s="453"/>
      <c r="AZ38" s="665"/>
      <c r="BA38" s="561"/>
      <c r="BB38" s="562"/>
      <c r="BC38" s="385"/>
      <c r="BD38" s="563"/>
      <c r="BE38" s="563"/>
      <c r="BF38" s="453"/>
      <c r="BG38" s="573"/>
      <c r="BH38" s="598"/>
      <c r="BI38" s="599"/>
      <c r="BJ38" s="592"/>
      <c r="BK38" s="563"/>
      <c r="BL38" s="600"/>
      <c r="BM38" s="562"/>
      <c r="BN38" s="573"/>
      <c r="BO38" s="601"/>
      <c r="BP38" s="406"/>
      <c r="BQ38" s="385"/>
      <c r="BR38" s="411"/>
      <c r="BS38" s="447"/>
      <c r="BT38" s="453"/>
      <c r="BU38" s="518"/>
      <c r="BV38" s="477"/>
      <c r="BW38" s="406"/>
      <c r="BX38" s="385"/>
      <c r="BY38" s="411"/>
      <c r="BZ38" s="447"/>
      <c r="CA38" s="380"/>
      <c r="CB38" s="391"/>
      <c r="CC38" s="394"/>
      <c r="CD38" s="446"/>
      <c r="CE38" s="406"/>
      <c r="CF38" s="385"/>
      <c r="CG38" s="411"/>
      <c r="CH38" s="447"/>
      <c r="CI38" s="380"/>
      <c r="CJ38" s="391"/>
      <c r="CK38" s="394"/>
      <c r="CL38" s="384"/>
      <c r="CM38" s="690"/>
      <c r="CN38" s="380"/>
    </row>
    <row r="39" spans="1:92" ht="84.75" customHeight="1" x14ac:dyDescent="0.25">
      <c r="A39" s="494"/>
      <c r="B39" s="384"/>
      <c r="C39" s="492"/>
      <c r="D39" s="741"/>
      <c r="E39" s="717"/>
      <c r="F39" s="717"/>
      <c r="G39" s="717"/>
      <c r="H39" s="725"/>
      <c r="I39" s="717"/>
      <c r="J39" s="717"/>
      <c r="K39" s="453"/>
      <c r="L39" s="453"/>
      <c r="M39" s="453"/>
      <c r="N39" s="453"/>
      <c r="O39" s="453"/>
      <c r="P39" s="453"/>
      <c r="Q39" s="513"/>
      <c r="R39" s="104" t="s">
        <v>40</v>
      </c>
      <c r="S39" s="510"/>
      <c r="T39" s="510"/>
      <c r="U39" s="510"/>
      <c r="V39" s="510"/>
      <c r="W39" s="453"/>
      <c r="X39" s="105"/>
      <c r="Y39" s="104" t="s">
        <v>40</v>
      </c>
      <c r="Z39" s="102" t="s">
        <v>661</v>
      </c>
      <c r="AA39" s="385"/>
      <c r="AB39" s="411"/>
      <c r="AC39" s="447"/>
      <c r="AD39" s="453"/>
      <c r="AE39" s="265" t="s">
        <v>670</v>
      </c>
      <c r="AF39" s="235">
        <v>12</v>
      </c>
      <c r="AG39" s="96">
        <v>12</v>
      </c>
      <c r="AH39" s="385"/>
      <c r="AI39" s="74" t="s">
        <v>707</v>
      </c>
      <c r="AJ39" s="74" t="s">
        <v>708</v>
      </c>
      <c r="AK39" s="453"/>
      <c r="AL39" s="268" t="s">
        <v>750</v>
      </c>
      <c r="AM39" s="187">
        <v>12</v>
      </c>
      <c r="AN39" s="72">
        <v>6</v>
      </c>
      <c r="AO39" s="385"/>
      <c r="AP39" s="140" t="s">
        <v>794</v>
      </c>
      <c r="AQ39" s="141">
        <v>31680000</v>
      </c>
      <c r="AR39" s="453"/>
      <c r="AS39" s="213" t="s">
        <v>829</v>
      </c>
      <c r="AT39" s="223">
        <v>12</v>
      </c>
      <c r="AU39" s="145">
        <v>12</v>
      </c>
      <c r="AV39" s="385"/>
      <c r="AW39" s="245" t="s">
        <v>856</v>
      </c>
      <c r="AX39" s="245" t="s">
        <v>856</v>
      </c>
      <c r="AY39" s="453"/>
      <c r="AZ39" s="231" t="s">
        <v>884</v>
      </c>
      <c r="BA39" s="561"/>
      <c r="BB39" s="562"/>
      <c r="BC39" s="385"/>
      <c r="BD39" s="563"/>
      <c r="BE39" s="563"/>
      <c r="BF39" s="453"/>
      <c r="BG39" s="573"/>
      <c r="BH39" s="598"/>
      <c r="BI39" s="599"/>
      <c r="BJ39" s="592"/>
      <c r="BK39" s="563"/>
      <c r="BL39" s="600"/>
      <c r="BM39" s="562"/>
      <c r="BN39" s="573"/>
      <c r="BO39" s="601"/>
      <c r="BP39" s="406"/>
      <c r="BQ39" s="385"/>
      <c r="BR39" s="411"/>
      <c r="BS39" s="447"/>
      <c r="BT39" s="453"/>
      <c r="BU39" s="518"/>
      <c r="BV39" s="477"/>
      <c r="BW39" s="406"/>
      <c r="BX39" s="385"/>
      <c r="BY39" s="411"/>
      <c r="BZ39" s="447"/>
      <c r="CA39" s="389"/>
      <c r="CB39" s="412"/>
      <c r="CC39" s="419"/>
      <c r="CD39" s="446"/>
      <c r="CE39" s="406"/>
      <c r="CF39" s="385"/>
      <c r="CG39" s="411"/>
      <c r="CH39" s="447"/>
      <c r="CI39" s="389"/>
      <c r="CJ39" s="412"/>
      <c r="CK39" s="419"/>
      <c r="CL39" s="384"/>
      <c r="CM39" s="691"/>
      <c r="CN39" s="389"/>
    </row>
    <row r="40" spans="1:92" s="2" customFormat="1" ht="104.25" customHeight="1" x14ac:dyDescent="0.25">
      <c r="A40" s="494"/>
      <c r="B40" s="384"/>
      <c r="C40" s="492"/>
      <c r="D40" s="745" t="s">
        <v>112</v>
      </c>
      <c r="E40" s="723" t="s">
        <v>113</v>
      </c>
      <c r="F40" s="723" t="s">
        <v>114</v>
      </c>
      <c r="G40" s="723" t="s">
        <v>107</v>
      </c>
      <c r="H40" s="135" t="s">
        <v>1010</v>
      </c>
      <c r="I40" s="723" t="s">
        <v>36</v>
      </c>
      <c r="J40" s="723">
        <v>12</v>
      </c>
      <c r="K40" s="60" t="s">
        <v>291</v>
      </c>
      <c r="L40" s="60" t="s">
        <v>384</v>
      </c>
      <c r="M40" s="60" t="s">
        <v>326</v>
      </c>
      <c r="N40" s="60" t="s">
        <v>442</v>
      </c>
      <c r="O40" s="60" t="s">
        <v>327</v>
      </c>
      <c r="P40" s="60" t="s">
        <v>397</v>
      </c>
      <c r="Q40" s="129">
        <v>12</v>
      </c>
      <c r="R40" s="104" t="s">
        <v>40</v>
      </c>
      <c r="S40" s="510"/>
      <c r="T40" s="510"/>
      <c r="U40" s="510"/>
      <c r="V40" s="510"/>
      <c r="W40" s="60" t="s">
        <v>263</v>
      </c>
      <c r="X40" s="108"/>
      <c r="Y40" s="104" t="s">
        <v>40</v>
      </c>
      <c r="Z40" s="102" t="s">
        <v>661</v>
      </c>
      <c r="AA40" s="59">
        <v>1</v>
      </c>
      <c r="AB40" s="58"/>
      <c r="AC40" s="58"/>
      <c r="AD40" s="60" t="s">
        <v>263</v>
      </c>
      <c r="AE40" s="266" t="s">
        <v>678</v>
      </c>
      <c r="AF40" s="238">
        <v>1</v>
      </c>
      <c r="AG40" s="133">
        <v>1</v>
      </c>
      <c r="AH40" s="59">
        <v>1</v>
      </c>
      <c r="AI40" s="74" t="s">
        <v>709</v>
      </c>
      <c r="AJ40" s="74" t="s">
        <v>710</v>
      </c>
      <c r="AK40" s="60" t="s">
        <v>263</v>
      </c>
      <c r="AL40" s="270" t="s">
        <v>751</v>
      </c>
      <c r="AM40" s="239">
        <v>0.6</v>
      </c>
      <c r="AN40" s="76">
        <v>0.7</v>
      </c>
      <c r="AO40" s="59">
        <v>1</v>
      </c>
      <c r="AP40" s="142" t="s">
        <v>795</v>
      </c>
      <c r="AQ40" s="143">
        <v>43190000</v>
      </c>
      <c r="AR40" s="60" t="s">
        <v>263</v>
      </c>
      <c r="AS40" s="240" t="s">
        <v>830</v>
      </c>
      <c r="AT40" s="225">
        <v>0.65</v>
      </c>
      <c r="AU40" s="146">
        <v>0</v>
      </c>
      <c r="AV40" s="59">
        <v>1</v>
      </c>
      <c r="AW40" s="245" t="s">
        <v>856</v>
      </c>
      <c r="AX40" s="245" t="s">
        <v>856</v>
      </c>
      <c r="AY40" s="60" t="s">
        <v>263</v>
      </c>
      <c r="AZ40" s="281" t="s">
        <v>885</v>
      </c>
      <c r="BA40" s="191">
        <v>12</v>
      </c>
      <c r="BB40" s="80">
        <v>12</v>
      </c>
      <c r="BC40" s="59">
        <v>1</v>
      </c>
      <c r="BD40" s="79" t="s">
        <v>929</v>
      </c>
      <c r="BE40" s="79" t="s">
        <v>930</v>
      </c>
      <c r="BF40" s="60" t="s">
        <v>263</v>
      </c>
      <c r="BG40" s="182" t="s">
        <v>950</v>
      </c>
      <c r="BH40" s="194">
        <v>7</v>
      </c>
      <c r="BI40" s="80">
        <v>0</v>
      </c>
      <c r="BJ40" s="89">
        <f>(BI40/BH40)*1</f>
        <v>0</v>
      </c>
      <c r="BK40" s="79"/>
      <c r="BL40" s="79"/>
      <c r="BM40" s="80" t="s">
        <v>263</v>
      </c>
      <c r="BN40" s="182" t="s">
        <v>538</v>
      </c>
      <c r="BO40" s="111">
        <v>8</v>
      </c>
      <c r="BP40" s="48">
        <v>12</v>
      </c>
      <c r="BQ40" s="59">
        <v>1</v>
      </c>
      <c r="BR40" s="58">
        <v>0</v>
      </c>
      <c r="BS40" s="58">
        <v>5770000</v>
      </c>
      <c r="BT40" s="60" t="s">
        <v>263</v>
      </c>
      <c r="BU40" s="290" t="s">
        <v>615</v>
      </c>
      <c r="BV40" s="95">
        <v>9</v>
      </c>
      <c r="BW40" s="48">
        <v>11</v>
      </c>
      <c r="BX40" s="59">
        <v>1</v>
      </c>
      <c r="BY40" s="342">
        <v>90000000</v>
      </c>
      <c r="BZ40" s="313">
        <v>28753833</v>
      </c>
      <c r="CA40" s="303">
        <v>0</v>
      </c>
      <c r="CB40" s="96" t="s">
        <v>1010</v>
      </c>
      <c r="CC40" s="351" t="s">
        <v>1055</v>
      </c>
      <c r="CD40" s="370">
        <v>12</v>
      </c>
      <c r="CE40" s="48">
        <v>11</v>
      </c>
      <c r="CF40" s="59">
        <v>1</v>
      </c>
      <c r="CG40" s="342">
        <v>90000000</v>
      </c>
      <c r="CH40" s="313">
        <v>28753833</v>
      </c>
      <c r="CI40" s="303">
        <v>0</v>
      </c>
      <c r="CJ40" s="96" t="s">
        <v>1010</v>
      </c>
      <c r="CK40" s="351" t="s">
        <v>1124</v>
      </c>
      <c r="CL40" s="60">
        <v>12</v>
      </c>
      <c r="CM40" s="304">
        <v>11</v>
      </c>
      <c r="CN40" s="322">
        <f>CM40/CL40</f>
        <v>0.91666666666666663</v>
      </c>
    </row>
    <row r="41" spans="1:92" s="2" customFormat="1" ht="147.75" customHeight="1" x14ac:dyDescent="0.25">
      <c r="A41" s="494"/>
      <c r="B41" s="384"/>
      <c r="C41" s="492"/>
      <c r="D41" s="745" t="s">
        <v>115</v>
      </c>
      <c r="E41" s="723" t="s">
        <v>116</v>
      </c>
      <c r="F41" s="723" t="s">
        <v>117</v>
      </c>
      <c r="G41" s="723" t="s">
        <v>107</v>
      </c>
      <c r="H41" s="135" t="s">
        <v>1010</v>
      </c>
      <c r="I41" s="723" t="s">
        <v>36</v>
      </c>
      <c r="J41" s="726">
        <v>1</v>
      </c>
      <c r="K41" s="60" t="s">
        <v>291</v>
      </c>
      <c r="L41" s="60" t="s">
        <v>328</v>
      </c>
      <c r="M41" s="60" t="s">
        <v>36</v>
      </c>
      <c r="N41" s="60" t="s">
        <v>329</v>
      </c>
      <c r="O41" s="60" t="s">
        <v>36</v>
      </c>
      <c r="P41" s="60" t="s">
        <v>330</v>
      </c>
      <c r="Q41" s="131">
        <v>1</v>
      </c>
      <c r="R41" s="104" t="s">
        <v>40</v>
      </c>
      <c r="S41" s="510"/>
      <c r="T41" s="510"/>
      <c r="U41" s="510"/>
      <c r="V41" s="510"/>
      <c r="W41" s="60" t="s">
        <v>264</v>
      </c>
      <c r="X41" s="514"/>
      <c r="Y41" s="104" t="s">
        <v>40</v>
      </c>
      <c r="Z41" s="102" t="s">
        <v>661</v>
      </c>
      <c r="AA41" s="59">
        <v>1</v>
      </c>
      <c r="AB41" s="58"/>
      <c r="AC41" s="58"/>
      <c r="AD41" s="60" t="s">
        <v>264</v>
      </c>
      <c r="AE41" s="520" t="s">
        <v>682</v>
      </c>
      <c r="AF41" s="235">
        <v>12</v>
      </c>
      <c r="AG41" s="96">
        <v>12</v>
      </c>
      <c r="AH41" s="59">
        <v>1</v>
      </c>
      <c r="AI41" s="539" t="s">
        <v>711</v>
      </c>
      <c r="AJ41" s="539" t="s">
        <v>711</v>
      </c>
      <c r="AK41" s="60" t="s">
        <v>264</v>
      </c>
      <c r="AL41" s="542" t="s">
        <v>752</v>
      </c>
      <c r="AM41" s="187">
        <v>12</v>
      </c>
      <c r="AN41" s="72">
        <v>12</v>
      </c>
      <c r="AO41" s="59">
        <v>1</v>
      </c>
      <c r="AP41" s="635">
        <v>106571580996</v>
      </c>
      <c r="AQ41" s="635">
        <v>47709283071</v>
      </c>
      <c r="AR41" s="60" t="s">
        <v>264</v>
      </c>
      <c r="AS41" s="542" t="s">
        <v>831</v>
      </c>
      <c r="AT41" s="223">
        <v>12</v>
      </c>
      <c r="AU41" s="145">
        <v>12</v>
      </c>
      <c r="AV41" s="59">
        <v>1</v>
      </c>
      <c r="AW41" s="245" t="s">
        <v>856</v>
      </c>
      <c r="AX41" s="245" t="s">
        <v>856</v>
      </c>
      <c r="AY41" s="60" t="s">
        <v>264</v>
      </c>
      <c r="AZ41" s="232" t="s">
        <v>886</v>
      </c>
      <c r="BA41" s="191">
        <v>12</v>
      </c>
      <c r="BB41" s="80">
        <v>10</v>
      </c>
      <c r="BC41" s="59">
        <v>1</v>
      </c>
      <c r="BD41" s="79"/>
      <c r="BE41" s="79"/>
      <c r="BF41" s="60" t="s">
        <v>264</v>
      </c>
      <c r="BG41" s="181" t="s">
        <v>951</v>
      </c>
      <c r="BH41" s="200">
        <v>1</v>
      </c>
      <c r="BI41" s="80">
        <v>0</v>
      </c>
      <c r="BJ41" s="89">
        <v>0</v>
      </c>
      <c r="BK41" s="79"/>
      <c r="BL41" s="79"/>
      <c r="BM41" s="80" t="s">
        <v>264</v>
      </c>
      <c r="BN41" s="181" t="s">
        <v>539</v>
      </c>
      <c r="BO41" s="111">
        <v>100</v>
      </c>
      <c r="BP41" s="48">
        <v>1</v>
      </c>
      <c r="BQ41" s="59">
        <v>1</v>
      </c>
      <c r="BR41" s="58">
        <v>13200000</v>
      </c>
      <c r="BS41" s="58" t="s">
        <v>616</v>
      </c>
      <c r="BT41" s="60" t="s">
        <v>264</v>
      </c>
      <c r="BU41" s="181" t="s">
        <v>617</v>
      </c>
      <c r="BV41" s="64">
        <v>1</v>
      </c>
      <c r="BW41" s="64">
        <v>1</v>
      </c>
      <c r="BX41" s="59">
        <v>1</v>
      </c>
      <c r="BY41" s="337">
        <v>8655000</v>
      </c>
      <c r="BZ41" s="337">
        <v>8655000</v>
      </c>
      <c r="CA41" s="59">
        <f>BZ41/BY41</f>
        <v>1</v>
      </c>
      <c r="CB41" s="96" t="s">
        <v>1010</v>
      </c>
      <c r="CC41" s="352" t="s">
        <v>1056</v>
      </c>
      <c r="CD41" s="98">
        <v>1</v>
      </c>
      <c r="CE41" s="64">
        <v>1</v>
      </c>
      <c r="CF41" s="59">
        <v>1</v>
      </c>
      <c r="CG41" s="337">
        <v>8655000</v>
      </c>
      <c r="CH41" s="337">
        <v>8655000</v>
      </c>
      <c r="CI41" s="59">
        <f>CH41/CG41</f>
        <v>1</v>
      </c>
      <c r="CJ41" s="96" t="s">
        <v>1010</v>
      </c>
      <c r="CK41" s="352" t="s">
        <v>1125</v>
      </c>
      <c r="CL41" s="64">
        <v>1</v>
      </c>
      <c r="CM41" s="64">
        <v>1</v>
      </c>
      <c r="CN41" s="59">
        <f>CM41/CL41</f>
        <v>1</v>
      </c>
    </row>
    <row r="42" spans="1:92" ht="123" customHeight="1" x14ac:dyDescent="0.25">
      <c r="A42" s="494"/>
      <c r="B42" s="384"/>
      <c r="C42" s="492"/>
      <c r="D42" s="741" t="s">
        <v>118</v>
      </c>
      <c r="E42" s="717" t="s">
        <v>119</v>
      </c>
      <c r="F42" s="718" t="s">
        <v>120</v>
      </c>
      <c r="G42" s="718" t="s">
        <v>121</v>
      </c>
      <c r="H42" s="135" t="s">
        <v>1011</v>
      </c>
      <c r="I42" s="718">
        <v>1</v>
      </c>
      <c r="J42" s="718">
        <v>12</v>
      </c>
      <c r="K42" s="453" t="s">
        <v>291</v>
      </c>
      <c r="L42" s="529" t="s">
        <v>331</v>
      </c>
      <c r="M42" s="384">
        <v>1203002</v>
      </c>
      <c r="N42" s="384" t="s">
        <v>332</v>
      </c>
      <c r="O42" s="384">
        <v>120300200</v>
      </c>
      <c r="P42" s="384" t="s">
        <v>333</v>
      </c>
      <c r="Q42" s="125">
        <v>12</v>
      </c>
      <c r="R42" s="104" t="s">
        <v>40</v>
      </c>
      <c r="S42" s="510"/>
      <c r="T42" s="510"/>
      <c r="U42" s="510"/>
      <c r="V42" s="510"/>
      <c r="W42" s="453" t="s">
        <v>265</v>
      </c>
      <c r="X42" s="514"/>
      <c r="Y42" s="104" t="s">
        <v>40</v>
      </c>
      <c r="Z42" s="102" t="s">
        <v>662</v>
      </c>
      <c r="AA42" s="57" t="e">
        <f>Z42/Y42</f>
        <v>#VALUE!</v>
      </c>
      <c r="AB42" s="58"/>
      <c r="AC42" s="58"/>
      <c r="AD42" s="453" t="s">
        <v>265</v>
      </c>
      <c r="AE42" s="520"/>
      <c r="AF42" s="235">
        <v>1</v>
      </c>
      <c r="AG42" s="96">
        <v>1</v>
      </c>
      <c r="AH42" s="57">
        <f>AG42/AF42</f>
        <v>1</v>
      </c>
      <c r="AI42" s="539"/>
      <c r="AJ42" s="539"/>
      <c r="AK42" s="453" t="s">
        <v>265</v>
      </c>
      <c r="AL42" s="542"/>
      <c r="AM42" s="187">
        <v>1</v>
      </c>
      <c r="AN42" s="72">
        <v>1</v>
      </c>
      <c r="AO42" s="57">
        <f>AN42/AM42</f>
        <v>1</v>
      </c>
      <c r="AP42" s="477"/>
      <c r="AQ42" s="477"/>
      <c r="AR42" s="453" t="s">
        <v>265</v>
      </c>
      <c r="AS42" s="542"/>
      <c r="AT42" s="223">
        <v>1</v>
      </c>
      <c r="AU42" s="145">
        <v>1</v>
      </c>
      <c r="AV42" s="57">
        <f>AU42/AT42</f>
        <v>1</v>
      </c>
      <c r="AW42" s="245" t="s">
        <v>856</v>
      </c>
      <c r="AX42" s="245" t="s">
        <v>856</v>
      </c>
      <c r="AY42" s="453" t="s">
        <v>265</v>
      </c>
      <c r="AZ42" s="233" t="s">
        <v>887</v>
      </c>
      <c r="BA42" s="191">
        <v>1</v>
      </c>
      <c r="BB42" s="80">
        <v>1</v>
      </c>
      <c r="BC42" s="57">
        <f>BB42/BA42</f>
        <v>1</v>
      </c>
      <c r="BD42" s="563"/>
      <c r="BE42" s="563"/>
      <c r="BF42" s="453" t="s">
        <v>265</v>
      </c>
      <c r="BG42" s="568" t="s">
        <v>1033</v>
      </c>
      <c r="BH42" s="194">
        <v>12</v>
      </c>
      <c r="BI42" s="80">
        <v>10</v>
      </c>
      <c r="BJ42" s="81">
        <f>BI42/BH42</f>
        <v>0.83333333333333337</v>
      </c>
      <c r="BK42" s="79">
        <v>14200000</v>
      </c>
      <c r="BL42" s="79">
        <v>14200000</v>
      </c>
      <c r="BM42" s="562" t="s">
        <v>265</v>
      </c>
      <c r="BN42" s="192" t="s">
        <v>540</v>
      </c>
      <c r="BO42" s="166">
        <v>12</v>
      </c>
      <c r="BP42" s="60">
        <v>12</v>
      </c>
      <c r="BQ42" s="57">
        <f>BP42/BO42</f>
        <v>1</v>
      </c>
      <c r="BR42" s="58">
        <v>14200000</v>
      </c>
      <c r="BS42" s="58" t="s">
        <v>987</v>
      </c>
      <c r="BT42" s="453" t="s">
        <v>265</v>
      </c>
      <c r="BU42" s="162" t="s">
        <v>988</v>
      </c>
      <c r="BV42" s="329">
        <v>12</v>
      </c>
      <c r="BW42" s="331">
        <v>12</v>
      </c>
      <c r="BX42" s="57">
        <f>BW42/BV42</f>
        <v>1</v>
      </c>
      <c r="BY42" s="337">
        <v>0</v>
      </c>
      <c r="BZ42" s="337">
        <v>0</v>
      </c>
      <c r="CA42" s="57">
        <f>BY42/BX42</f>
        <v>0</v>
      </c>
      <c r="CB42" s="96" t="s">
        <v>1011</v>
      </c>
      <c r="CC42" s="82" t="s">
        <v>1057</v>
      </c>
      <c r="CD42" s="374">
        <v>12</v>
      </c>
      <c r="CE42" s="331">
        <v>12</v>
      </c>
      <c r="CF42" s="362">
        <f>CE42/CD42</f>
        <v>1</v>
      </c>
      <c r="CG42" s="337">
        <v>9000000</v>
      </c>
      <c r="CH42" s="337">
        <v>9000000</v>
      </c>
      <c r="CI42" s="57">
        <f>CG42/CH42</f>
        <v>1</v>
      </c>
      <c r="CJ42" s="96" t="s">
        <v>1011</v>
      </c>
      <c r="CK42" s="82" t="s">
        <v>1126</v>
      </c>
      <c r="CL42" s="48">
        <v>12</v>
      </c>
      <c r="CM42" s="60">
        <v>12</v>
      </c>
      <c r="CN42" s="63">
        <f>CM42/CL42</f>
        <v>1</v>
      </c>
    </row>
    <row r="43" spans="1:92" ht="131.25" customHeight="1" x14ac:dyDescent="0.25">
      <c r="A43" s="494"/>
      <c r="B43" s="384"/>
      <c r="C43" s="492"/>
      <c r="D43" s="741"/>
      <c r="E43" s="717"/>
      <c r="F43" s="723" t="s">
        <v>122</v>
      </c>
      <c r="G43" s="723" t="s">
        <v>123</v>
      </c>
      <c r="H43" s="135" t="s">
        <v>1012</v>
      </c>
      <c r="I43" s="718" t="s">
        <v>124</v>
      </c>
      <c r="J43" s="718" t="s">
        <v>125</v>
      </c>
      <c r="K43" s="453"/>
      <c r="L43" s="529"/>
      <c r="M43" s="384"/>
      <c r="N43" s="384"/>
      <c r="O43" s="384"/>
      <c r="P43" s="384"/>
      <c r="Q43" s="125" t="s">
        <v>125</v>
      </c>
      <c r="R43" s="104" t="s">
        <v>40</v>
      </c>
      <c r="S43" s="510"/>
      <c r="T43" s="510"/>
      <c r="U43" s="510"/>
      <c r="V43" s="510"/>
      <c r="W43" s="453"/>
      <c r="X43" s="105"/>
      <c r="Y43" s="104" t="s">
        <v>40</v>
      </c>
      <c r="Z43" s="102" t="s">
        <v>36</v>
      </c>
      <c r="AA43" s="257">
        <v>1</v>
      </c>
      <c r="AB43" s="58"/>
      <c r="AC43" s="58"/>
      <c r="AD43" s="453"/>
      <c r="AE43" s="265" t="s">
        <v>683</v>
      </c>
      <c r="AF43" s="530">
        <v>1</v>
      </c>
      <c r="AG43" s="480">
        <v>1</v>
      </c>
      <c r="AH43" s="257">
        <v>1</v>
      </c>
      <c r="AI43" s="539"/>
      <c r="AJ43" s="539"/>
      <c r="AK43" s="453"/>
      <c r="AL43" s="542"/>
      <c r="AM43" s="530" t="s">
        <v>693</v>
      </c>
      <c r="AN43" s="480" t="s">
        <v>693</v>
      </c>
      <c r="AO43" s="257">
        <v>1</v>
      </c>
      <c r="AP43" s="539" t="s">
        <v>796</v>
      </c>
      <c r="AQ43" s="539" t="s">
        <v>700</v>
      </c>
      <c r="AR43" s="453"/>
      <c r="AS43" s="542" t="s">
        <v>832</v>
      </c>
      <c r="AT43" s="649">
        <v>1</v>
      </c>
      <c r="AU43" s="556">
        <v>1</v>
      </c>
      <c r="AV43" s="257">
        <v>1</v>
      </c>
      <c r="AW43" s="558" t="s">
        <v>857</v>
      </c>
      <c r="AX43" s="558" t="s">
        <v>858</v>
      </c>
      <c r="AY43" s="453"/>
      <c r="AZ43" s="661" t="s">
        <v>888</v>
      </c>
      <c r="BA43" s="191">
        <v>332</v>
      </c>
      <c r="BB43" s="80">
        <v>200</v>
      </c>
      <c r="BC43" s="257">
        <v>1</v>
      </c>
      <c r="BD43" s="563"/>
      <c r="BE43" s="563"/>
      <c r="BF43" s="453"/>
      <c r="BG43" s="568"/>
      <c r="BH43" s="191">
        <v>234.42</v>
      </c>
      <c r="BI43" s="80">
        <v>306.45999999999998</v>
      </c>
      <c r="BJ43" s="258">
        <v>1</v>
      </c>
      <c r="BK43" s="79">
        <v>97928400</v>
      </c>
      <c r="BL43" s="79">
        <v>27393333</v>
      </c>
      <c r="BM43" s="562"/>
      <c r="BN43" s="192" t="s">
        <v>541</v>
      </c>
      <c r="BO43" s="130">
        <v>234.42</v>
      </c>
      <c r="BP43" s="60">
        <v>306.45999999999998</v>
      </c>
      <c r="BQ43" s="257">
        <v>1</v>
      </c>
      <c r="BR43" s="58">
        <v>97928400</v>
      </c>
      <c r="BS43" s="58" t="s">
        <v>990</v>
      </c>
      <c r="BT43" s="453"/>
      <c r="BU43" s="162" t="s">
        <v>989</v>
      </c>
      <c r="BV43" s="96">
        <v>234.42</v>
      </c>
      <c r="BW43" s="60">
        <v>682</v>
      </c>
      <c r="BX43" s="257">
        <v>0</v>
      </c>
      <c r="BY43" s="58">
        <f>17310000+11170350+
768000+7770000</f>
        <v>37018350</v>
      </c>
      <c r="BZ43" s="58">
        <f>17310000+22340700+384000+7770000</f>
        <v>47804700</v>
      </c>
      <c r="CA43" s="325">
        <v>1</v>
      </c>
      <c r="CB43" s="96" t="s">
        <v>1012</v>
      </c>
      <c r="CC43" s="82" t="s">
        <v>1058</v>
      </c>
      <c r="CD43" s="80" t="s">
        <v>983</v>
      </c>
      <c r="CE43" s="60">
        <v>682</v>
      </c>
      <c r="CF43" s="257">
        <v>0</v>
      </c>
      <c r="CG43" s="58">
        <f>17310000+11170350+
768000+7770000+44965000</f>
        <v>81983350</v>
      </c>
      <c r="CH43" s="58">
        <f>17310000+22340700+384000+7770000+9775000</f>
        <v>57579700</v>
      </c>
      <c r="CI43" s="325">
        <f>CH43/CG43</f>
        <v>0.70233407149134552</v>
      </c>
      <c r="CJ43" s="96" t="s">
        <v>1012</v>
      </c>
      <c r="CK43" s="82" t="s">
        <v>1127</v>
      </c>
      <c r="CL43" s="80" t="s">
        <v>125</v>
      </c>
      <c r="CM43" s="363">
        <v>682</v>
      </c>
      <c r="CN43" s="361">
        <v>1</v>
      </c>
    </row>
    <row r="44" spans="1:92" ht="45" customHeight="1" x14ac:dyDescent="0.25">
      <c r="A44" s="494"/>
      <c r="B44" s="384"/>
      <c r="C44" s="492"/>
      <c r="D44" s="741" t="s">
        <v>126</v>
      </c>
      <c r="E44" s="717" t="s">
        <v>127</v>
      </c>
      <c r="F44" s="717" t="s">
        <v>128</v>
      </c>
      <c r="G44" s="717" t="s">
        <v>123</v>
      </c>
      <c r="H44" s="724" t="s">
        <v>1012</v>
      </c>
      <c r="I44" s="717" t="s">
        <v>129</v>
      </c>
      <c r="J44" s="717" t="s">
        <v>125</v>
      </c>
      <c r="K44" s="453" t="s">
        <v>291</v>
      </c>
      <c r="L44" s="529" t="s">
        <v>331</v>
      </c>
      <c r="M44" s="384">
        <v>1203002</v>
      </c>
      <c r="N44" s="384" t="s">
        <v>332</v>
      </c>
      <c r="O44" s="384">
        <v>120300200</v>
      </c>
      <c r="P44" s="384" t="s">
        <v>333</v>
      </c>
      <c r="Q44" s="513" t="s">
        <v>125</v>
      </c>
      <c r="R44" s="104" t="s">
        <v>40</v>
      </c>
      <c r="S44" s="510"/>
      <c r="T44" s="510"/>
      <c r="U44" s="510"/>
      <c r="V44" s="510"/>
      <c r="W44" s="453"/>
      <c r="X44" s="514"/>
      <c r="Y44" s="104" t="s">
        <v>40</v>
      </c>
      <c r="Z44" s="102" t="s">
        <v>36</v>
      </c>
      <c r="AA44" s="434">
        <v>0.76700000000000002</v>
      </c>
      <c r="AB44" s="411"/>
      <c r="AC44" s="411"/>
      <c r="AD44" s="453"/>
      <c r="AE44" s="520" t="s">
        <v>679</v>
      </c>
      <c r="AF44" s="530"/>
      <c r="AG44" s="480"/>
      <c r="AH44" s="434">
        <v>0.76700000000000002</v>
      </c>
      <c r="AI44" s="539"/>
      <c r="AJ44" s="539"/>
      <c r="AK44" s="453"/>
      <c r="AL44" s="542"/>
      <c r="AM44" s="530"/>
      <c r="AN44" s="480"/>
      <c r="AO44" s="434">
        <v>0.76700000000000002</v>
      </c>
      <c r="AP44" s="539"/>
      <c r="AQ44" s="539"/>
      <c r="AR44" s="453"/>
      <c r="AS44" s="542"/>
      <c r="AT44" s="649"/>
      <c r="AU44" s="556"/>
      <c r="AV44" s="434">
        <v>0.76700000000000002</v>
      </c>
      <c r="AW44" s="558"/>
      <c r="AX44" s="558"/>
      <c r="AY44" s="453"/>
      <c r="AZ44" s="661"/>
      <c r="BA44" s="561">
        <v>1</v>
      </c>
      <c r="BB44" s="562">
        <v>1</v>
      </c>
      <c r="BC44" s="434">
        <v>0.76700000000000002</v>
      </c>
      <c r="BD44" s="563"/>
      <c r="BE44" s="563"/>
      <c r="BF44" s="453"/>
      <c r="BG44" s="568"/>
      <c r="BH44" s="586" t="s">
        <v>418</v>
      </c>
      <c r="BI44" s="595">
        <v>0.31940000000000002</v>
      </c>
      <c r="BJ44" s="596">
        <v>0</v>
      </c>
      <c r="BK44" s="563">
        <v>15000000</v>
      </c>
      <c r="BL44" s="563">
        <v>3620000</v>
      </c>
      <c r="BM44" s="562"/>
      <c r="BN44" s="573" t="s">
        <v>542</v>
      </c>
      <c r="BO44" s="597" t="s">
        <v>418</v>
      </c>
      <c r="BP44" s="448">
        <v>0.31940000000000002</v>
      </c>
      <c r="BQ44" s="434">
        <v>0.76700000000000002</v>
      </c>
      <c r="BR44" s="411">
        <v>15000000</v>
      </c>
      <c r="BS44" s="411" t="s">
        <v>618</v>
      </c>
      <c r="BT44" s="453"/>
      <c r="BU44" s="518" t="s">
        <v>619</v>
      </c>
      <c r="BV44" s="513" t="s">
        <v>125</v>
      </c>
      <c r="BW44" s="620">
        <v>56.78</v>
      </c>
      <c r="BX44" s="434">
        <v>0.76700000000000002</v>
      </c>
      <c r="BY44" s="449">
        <v>157000000</v>
      </c>
      <c r="BZ44" s="400">
        <v>0</v>
      </c>
      <c r="CA44" s="436">
        <f>BZ44/BY44</f>
        <v>0</v>
      </c>
      <c r="CB44" s="390" t="s">
        <v>1012</v>
      </c>
      <c r="CC44" s="393" t="s">
        <v>1083</v>
      </c>
      <c r="CD44" s="431" t="s">
        <v>983</v>
      </c>
      <c r="CE44" s="448">
        <v>0.56779999999999997</v>
      </c>
      <c r="CF44" s="434">
        <v>0.76700000000000002</v>
      </c>
      <c r="CG44" s="449">
        <f>157000000+1020000</f>
        <v>158020000</v>
      </c>
      <c r="CH44" s="400">
        <v>10200000</v>
      </c>
      <c r="CI44" s="436">
        <f>CH44/CG44</f>
        <v>6.4548791292241489E-2</v>
      </c>
      <c r="CJ44" s="390" t="s">
        <v>1012</v>
      </c>
      <c r="CK44" s="393" t="s">
        <v>1128</v>
      </c>
      <c r="CL44" s="384" t="s">
        <v>125</v>
      </c>
      <c r="CM44" s="692">
        <v>0.31940000000000002</v>
      </c>
      <c r="CN44" s="436">
        <v>0</v>
      </c>
    </row>
    <row r="45" spans="1:92" ht="97.5" customHeight="1" x14ac:dyDescent="0.25">
      <c r="A45" s="494"/>
      <c r="B45" s="384"/>
      <c r="C45" s="492"/>
      <c r="D45" s="741"/>
      <c r="E45" s="717"/>
      <c r="F45" s="717"/>
      <c r="G45" s="717"/>
      <c r="H45" s="725"/>
      <c r="I45" s="717"/>
      <c r="J45" s="717"/>
      <c r="K45" s="453"/>
      <c r="L45" s="529"/>
      <c r="M45" s="384"/>
      <c r="N45" s="384"/>
      <c r="O45" s="384"/>
      <c r="P45" s="384"/>
      <c r="Q45" s="513"/>
      <c r="R45" s="104" t="s">
        <v>40</v>
      </c>
      <c r="S45" s="510"/>
      <c r="T45" s="510"/>
      <c r="U45" s="510"/>
      <c r="V45" s="510"/>
      <c r="W45" s="453"/>
      <c r="X45" s="514"/>
      <c r="Y45" s="104" t="s">
        <v>40</v>
      </c>
      <c r="Z45" s="102" t="s">
        <v>36</v>
      </c>
      <c r="AA45" s="434"/>
      <c r="AB45" s="411"/>
      <c r="AC45" s="411"/>
      <c r="AD45" s="453"/>
      <c r="AE45" s="520"/>
      <c r="AF45" s="530">
        <v>1</v>
      </c>
      <c r="AG45" s="480">
        <v>1</v>
      </c>
      <c r="AH45" s="434"/>
      <c r="AI45" s="539" t="s">
        <v>712</v>
      </c>
      <c r="AJ45" s="539" t="s">
        <v>713</v>
      </c>
      <c r="AK45" s="453"/>
      <c r="AL45" s="542" t="s">
        <v>753</v>
      </c>
      <c r="AM45" s="544">
        <v>1</v>
      </c>
      <c r="AN45" s="477">
        <v>1</v>
      </c>
      <c r="AO45" s="434"/>
      <c r="AP45" s="540">
        <v>20600000</v>
      </c>
      <c r="AQ45" s="540" t="s">
        <v>700</v>
      </c>
      <c r="AR45" s="453"/>
      <c r="AS45" s="542" t="s">
        <v>833</v>
      </c>
      <c r="AT45" s="649">
        <v>1</v>
      </c>
      <c r="AU45" s="556">
        <v>1</v>
      </c>
      <c r="AV45" s="434"/>
      <c r="AW45" s="559" t="s">
        <v>856</v>
      </c>
      <c r="AX45" s="559" t="s">
        <v>856</v>
      </c>
      <c r="AY45" s="453"/>
      <c r="AZ45" s="661" t="s">
        <v>889</v>
      </c>
      <c r="BA45" s="561"/>
      <c r="BB45" s="562"/>
      <c r="BC45" s="434"/>
      <c r="BD45" s="563"/>
      <c r="BE45" s="563"/>
      <c r="BF45" s="453"/>
      <c r="BG45" s="568"/>
      <c r="BH45" s="586"/>
      <c r="BI45" s="595"/>
      <c r="BJ45" s="596"/>
      <c r="BK45" s="563"/>
      <c r="BL45" s="563"/>
      <c r="BM45" s="562"/>
      <c r="BN45" s="573"/>
      <c r="BO45" s="597"/>
      <c r="BP45" s="448"/>
      <c r="BQ45" s="434"/>
      <c r="BR45" s="411"/>
      <c r="BS45" s="411"/>
      <c r="BT45" s="453"/>
      <c r="BU45" s="518"/>
      <c r="BV45" s="513"/>
      <c r="BW45" s="620"/>
      <c r="BX45" s="434"/>
      <c r="BY45" s="450"/>
      <c r="BZ45" s="401"/>
      <c r="CA45" s="437"/>
      <c r="CB45" s="412"/>
      <c r="CC45" s="419"/>
      <c r="CD45" s="432"/>
      <c r="CE45" s="448"/>
      <c r="CF45" s="434"/>
      <c r="CG45" s="450"/>
      <c r="CH45" s="401"/>
      <c r="CI45" s="437"/>
      <c r="CJ45" s="412"/>
      <c r="CK45" s="419"/>
      <c r="CL45" s="384"/>
      <c r="CM45" s="693"/>
      <c r="CN45" s="437"/>
    </row>
    <row r="46" spans="1:92" ht="51" customHeight="1" x14ac:dyDescent="0.25">
      <c r="A46" s="494"/>
      <c r="B46" s="384"/>
      <c r="C46" s="492"/>
      <c r="D46" s="741" t="s">
        <v>130</v>
      </c>
      <c r="E46" s="717" t="s">
        <v>131</v>
      </c>
      <c r="F46" s="717" t="s">
        <v>132</v>
      </c>
      <c r="G46" s="717" t="s">
        <v>123</v>
      </c>
      <c r="H46" s="724" t="s">
        <v>1013</v>
      </c>
      <c r="I46" s="717" t="s">
        <v>133</v>
      </c>
      <c r="J46" s="717" t="s">
        <v>125</v>
      </c>
      <c r="K46" s="384" t="s">
        <v>334</v>
      </c>
      <c r="L46" s="384" t="s">
        <v>335</v>
      </c>
      <c r="M46" s="384" t="s">
        <v>36</v>
      </c>
      <c r="N46" s="384" t="s">
        <v>336</v>
      </c>
      <c r="O46" s="384" t="s">
        <v>36</v>
      </c>
      <c r="P46" s="384" t="s">
        <v>337</v>
      </c>
      <c r="Q46" s="513" t="s">
        <v>125</v>
      </c>
      <c r="R46" s="104" t="s">
        <v>40</v>
      </c>
      <c r="S46" s="510"/>
      <c r="T46" s="510"/>
      <c r="U46" s="510"/>
      <c r="V46" s="510"/>
      <c r="W46" s="384" t="s">
        <v>266</v>
      </c>
      <c r="X46" s="514"/>
      <c r="Y46" s="104" t="s">
        <v>40</v>
      </c>
      <c r="Z46" s="102" t="s">
        <v>36</v>
      </c>
      <c r="AA46" s="434">
        <v>0.74860000000000004</v>
      </c>
      <c r="AB46" s="411"/>
      <c r="AC46" s="411"/>
      <c r="AD46" s="384" t="s">
        <v>266</v>
      </c>
      <c r="AE46" s="520"/>
      <c r="AF46" s="530"/>
      <c r="AG46" s="480"/>
      <c r="AH46" s="434">
        <v>0.74860000000000004</v>
      </c>
      <c r="AI46" s="539"/>
      <c r="AJ46" s="539"/>
      <c r="AK46" s="384" t="s">
        <v>266</v>
      </c>
      <c r="AL46" s="542"/>
      <c r="AM46" s="544"/>
      <c r="AN46" s="477"/>
      <c r="AO46" s="434">
        <v>0.74860000000000004</v>
      </c>
      <c r="AP46" s="540"/>
      <c r="AQ46" s="540"/>
      <c r="AR46" s="384" t="s">
        <v>266</v>
      </c>
      <c r="AS46" s="542"/>
      <c r="AT46" s="649"/>
      <c r="AU46" s="556"/>
      <c r="AV46" s="434">
        <v>0.74860000000000004</v>
      </c>
      <c r="AW46" s="559"/>
      <c r="AX46" s="559"/>
      <c r="AY46" s="384" t="s">
        <v>266</v>
      </c>
      <c r="AZ46" s="661"/>
      <c r="BA46" s="561">
        <v>933</v>
      </c>
      <c r="BB46" s="562">
        <v>558</v>
      </c>
      <c r="BC46" s="434">
        <v>0.74860000000000004</v>
      </c>
      <c r="BD46" s="563">
        <v>430000000</v>
      </c>
      <c r="BE46" s="563">
        <v>260170284</v>
      </c>
      <c r="BF46" s="384" t="s">
        <v>266</v>
      </c>
      <c r="BG46" s="568" t="s">
        <v>952</v>
      </c>
      <c r="BH46" s="531" t="s">
        <v>417</v>
      </c>
      <c r="BI46" s="550">
        <v>0.1862</v>
      </c>
      <c r="BJ46" s="604">
        <v>0</v>
      </c>
      <c r="BK46" s="539"/>
      <c r="BL46" s="539"/>
      <c r="BM46" s="480" t="s">
        <v>266</v>
      </c>
      <c r="BN46" s="605" t="s">
        <v>543</v>
      </c>
      <c r="BO46" s="526" t="s">
        <v>417</v>
      </c>
      <c r="BP46" s="429">
        <v>0.1862</v>
      </c>
      <c r="BQ46" s="434">
        <v>0.74860000000000004</v>
      </c>
      <c r="BR46" s="411"/>
      <c r="BS46" s="411">
        <v>21000000</v>
      </c>
      <c r="BT46" s="384" t="s">
        <v>266</v>
      </c>
      <c r="BU46" s="603" t="s">
        <v>620</v>
      </c>
      <c r="BV46" s="390" t="s">
        <v>983</v>
      </c>
      <c r="BW46" s="632">
        <v>131</v>
      </c>
      <c r="BX46" s="434">
        <v>0.74860000000000004</v>
      </c>
      <c r="BY46" s="411">
        <f>49862300+85288200+85288200+10000000</f>
        <v>230438700</v>
      </c>
      <c r="BZ46" s="435">
        <f>85288200+85288200+10000000</f>
        <v>180576400</v>
      </c>
      <c r="CA46" s="436">
        <f>BZ46/BY46</f>
        <v>0.78362011242035301</v>
      </c>
      <c r="CB46" s="390" t="s">
        <v>1013</v>
      </c>
      <c r="CC46" s="438" t="s">
        <v>1059</v>
      </c>
      <c r="CD46" s="431" t="s">
        <v>983</v>
      </c>
      <c r="CE46" s="433">
        <v>131</v>
      </c>
      <c r="CF46" s="434">
        <v>0.74860000000000004</v>
      </c>
      <c r="CG46" s="411">
        <f>49862300+85288200+85288200+10000000+26250000+3000000</f>
        <v>259688700</v>
      </c>
      <c r="CH46" s="435">
        <f>85288200+85288200+10000000+12250000+3000000</f>
        <v>195826400</v>
      </c>
      <c r="CI46" s="436">
        <f>CH46/CG46</f>
        <v>0.7540813289141961</v>
      </c>
      <c r="CJ46" s="390" t="s">
        <v>1013</v>
      </c>
      <c r="CK46" s="438" t="s">
        <v>1152</v>
      </c>
      <c r="CL46" s="384" t="s">
        <v>125</v>
      </c>
      <c r="CM46" s="490">
        <v>0.1862</v>
      </c>
      <c r="CN46" s="436">
        <v>0</v>
      </c>
    </row>
    <row r="47" spans="1:92" ht="92.25" customHeight="1" x14ac:dyDescent="0.25">
      <c r="A47" s="494"/>
      <c r="B47" s="384"/>
      <c r="C47" s="492"/>
      <c r="D47" s="741"/>
      <c r="E47" s="717"/>
      <c r="F47" s="717"/>
      <c r="G47" s="717"/>
      <c r="H47" s="725"/>
      <c r="I47" s="717"/>
      <c r="J47" s="717"/>
      <c r="K47" s="384"/>
      <c r="L47" s="384"/>
      <c r="M47" s="384"/>
      <c r="N47" s="384"/>
      <c r="O47" s="384"/>
      <c r="P47" s="384"/>
      <c r="Q47" s="513"/>
      <c r="R47" s="104" t="s">
        <v>40</v>
      </c>
      <c r="S47" s="510"/>
      <c r="T47" s="510"/>
      <c r="U47" s="510"/>
      <c r="V47" s="510"/>
      <c r="W47" s="384"/>
      <c r="X47" s="514"/>
      <c r="Y47" s="104" t="s">
        <v>40</v>
      </c>
      <c r="Z47" s="102" t="s">
        <v>36</v>
      </c>
      <c r="AA47" s="434"/>
      <c r="AB47" s="411"/>
      <c r="AC47" s="411"/>
      <c r="AD47" s="384"/>
      <c r="AE47" s="520"/>
      <c r="AF47" s="235">
        <v>1</v>
      </c>
      <c r="AG47" s="96">
        <v>1</v>
      </c>
      <c r="AH47" s="434"/>
      <c r="AI47" s="74" t="s">
        <v>709</v>
      </c>
      <c r="AJ47" s="74" t="s">
        <v>710</v>
      </c>
      <c r="AK47" s="384"/>
      <c r="AL47" s="213" t="s">
        <v>754</v>
      </c>
      <c r="AM47" s="187">
        <v>1</v>
      </c>
      <c r="AN47" s="72">
        <v>1</v>
      </c>
      <c r="AO47" s="434"/>
      <c r="AP47" s="142" t="s">
        <v>795</v>
      </c>
      <c r="AQ47" s="143">
        <v>43190000</v>
      </c>
      <c r="AR47" s="384"/>
      <c r="AS47" s="240" t="s">
        <v>830</v>
      </c>
      <c r="AT47" s="223">
        <v>1</v>
      </c>
      <c r="AU47" s="145">
        <v>1</v>
      </c>
      <c r="AV47" s="434"/>
      <c r="AW47" s="245" t="s">
        <v>856</v>
      </c>
      <c r="AX47" s="245" t="s">
        <v>856</v>
      </c>
      <c r="AY47" s="384"/>
      <c r="AZ47" s="281" t="s">
        <v>890</v>
      </c>
      <c r="BA47" s="561"/>
      <c r="BB47" s="562"/>
      <c r="BC47" s="434"/>
      <c r="BD47" s="563"/>
      <c r="BE47" s="563"/>
      <c r="BF47" s="384"/>
      <c r="BG47" s="568"/>
      <c r="BH47" s="530"/>
      <c r="BI47" s="550"/>
      <c r="BJ47" s="604"/>
      <c r="BK47" s="539"/>
      <c r="BL47" s="539"/>
      <c r="BM47" s="480"/>
      <c r="BN47" s="605"/>
      <c r="BO47" s="483"/>
      <c r="BP47" s="429"/>
      <c r="BQ47" s="434"/>
      <c r="BR47" s="411"/>
      <c r="BS47" s="411"/>
      <c r="BT47" s="384"/>
      <c r="BU47" s="603"/>
      <c r="BV47" s="412"/>
      <c r="BW47" s="632"/>
      <c r="BX47" s="434"/>
      <c r="BY47" s="411"/>
      <c r="BZ47" s="435"/>
      <c r="CA47" s="437"/>
      <c r="CB47" s="412"/>
      <c r="CC47" s="439"/>
      <c r="CD47" s="432"/>
      <c r="CE47" s="433"/>
      <c r="CF47" s="434"/>
      <c r="CG47" s="411"/>
      <c r="CH47" s="435"/>
      <c r="CI47" s="437"/>
      <c r="CJ47" s="412"/>
      <c r="CK47" s="439"/>
      <c r="CL47" s="384"/>
      <c r="CM47" s="491"/>
      <c r="CN47" s="437"/>
    </row>
    <row r="48" spans="1:92" ht="348.75" customHeight="1" x14ac:dyDescent="0.25">
      <c r="A48" s="494"/>
      <c r="B48" s="384"/>
      <c r="C48" s="492"/>
      <c r="D48" s="744" t="s">
        <v>134</v>
      </c>
      <c r="E48" s="718" t="s">
        <v>135</v>
      </c>
      <c r="F48" s="718" t="s">
        <v>136</v>
      </c>
      <c r="G48" s="718" t="s">
        <v>123</v>
      </c>
      <c r="H48" s="135" t="s">
        <v>1014</v>
      </c>
      <c r="I48" s="718" t="s">
        <v>137</v>
      </c>
      <c r="J48" s="718" t="s">
        <v>125</v>
      </c>
      <c r="K48" s="60" t="s">
        <v>291</v>
      </c>
      <c r="L48" s="60" t="s">
        <v>328</v>
      </c>
      <c r="M48" s="48" t="s">
        <v>36</v>
      </c>
      <c r="N48" s="48" t="s">
        <v>329</v>
      </c>
      <c r="O48" s="48" t="s">
        <v>36</v>
      </c>
      <c r="P48" s="48" t="s">
        <v>330</v>
      </c>
      <c r="Q48" s="129" t="s">
        <v>125</v>
      </c>
      <c r="R48" s="104" t="s">
        <v>40</v>
      </c>
      <c r="S48" s="510"/>
      <c r="T48" s="510"/>
      <c r="U48" s="510"/>
      <c r="V48" s="510"/>
      <c r="W48" s="60" t="s">
        <v>264</v>
      </c>
      <c r="X48" s="514"/>
      <c r="Y48" s="104" t="s">
        <v>40</v>
      </c>
      <c r="Z48" s="102" t="s">
        <v>36</v>
      </c>
      <c r="AA48" s="257">
        <v>0.71279999999999999</v>
      </c>
      <c r="AB48" s="58"/>
      <c r="AC48" s="58"/>
      <c r="AD48" s="60" t="s">
        <v>264</v>
      </c>
      <c r="AE48" s="520"/>
      <c r="AF48" s="235">
        <v>1</v>
      </c>
      <c r="AG48" s="133" t="s">
        <v>36</v>
      </c>
      <c r="AH48" s="257">
        <v>0.71279999999999999</v>
      </c>
      <c r="AI48" s="539" t="s">
        <v>714</v>
      </c>
      <c r="AJ48" s="539" t="s">
        <v>715</v>
      </c>
      <c r="AK48" s="60" t="s">
        <v>264</v>
      </c>
      <c r="AL48" s="538" t="s">
        <v>755</v>
      </c>
      <c r="AM48" s="187">
        <v>1</v>
      </c>
      <c r="AN48" s="72">
        <v>1</v>
      </c>
      <c r="AO48" s="257">
        <v>0.71279999999999999</v>
      </c>
      <c r="AP48" s="540" t="s">
        <v>797</v>
      </c>
      <c r="AQ48" s="540" t="s">
        <v>798</v>
      </c>
      <c r="AR48" s="60" t="s">
        <v>264</v>
      </c>
      <c r="AS48" s="542" t="s">
        <v>834</v>
      </c>
      <c r="AT48" s="223">
        <v>1</v>
      </c>
      <c r="AU48" s="145">
        <v>3</v>
      </c>
      <c r="AV48" s="257">
        <v>0.71279999999999999</v>
      </c>
      <c r="AW48" s="245" t="s">
        <v>856</v>
      </c>
      <c r="AX48" s="245" t="s">
        <v>856</v>
      </c>
      <c r="AY48" s="60" t="s">
        <v>264</v>
      </c>
      <c r="AZ48" s="232" t="s">
        <v>891</v>
      </c>
      <c r="BA48" s="191">
        <v>12</v>
      </c>
      <c r="BB48" s="80">
        <v>10</v>
      </c>
      <c r="BC48" s="257">
        <v>0.71279999999999999</v>
      </c>
      <c r="BD48" s="79"/>
      <c r="BE48" s="79"/>
      <c r="BF48" s="60" t="s">
        <v>264</v>
      </c>
      <c r="BG48" s="181" t="s">
        <v>951</v>
      </c>
      <c r="BH48" s="201" t="s">
        <v>416</v>
      </c>
      <c r="BI48" s="87">
        <v>8.1500000000000003E-2</v>
      </c>
      <c r="BJ48" s="91">
        <v>0</v>
      </c>
      <c r="BK48" s="79"/>
      <c r="BL48" s="79"/>
      <c r="BM48" s="80" t="s">
        <v>264</v>
      </c>
      <c r="BN48" s="164" t="s">
        <v>544</v>
      </c>
      <c r="BO48" s="172" t="s">
        <v>416</v>
      </c>
      <c r="BP48" s="250">
        <v>8.1500000000000003E-2</v>
      </c>
      <c r="BQ48" s="257">
        <v>0.71279999999999999</v>
      </c>
      <c r="BR48" s="58">
        <v>23080000</v>
      </c>
      <c r="BS48" s="58"/>
      <c r="BT48" s="60" t="s">
        <v>264</v>
      </c>
      <c r="BU48" s="115" t="s">
        <v>621</v>
      </c>
      <c r="BV48" s="96" t="s">
        <v>983</v>
      </c>
      <c r="BW48" s="340">
        <v>7.2</v>
      </c>
      <c r="BX48" s="257">
        <v>0.71279999999999999</v>
      </c>
      <c r="BY48" s="337">
        <v>8655000</v>
      </c>
      <c r="BZ48" s="337">
        <v>8655000</v>
      </c>
      <c r="CA48" s="306">
        <f>BZ48/BY48</f>
        <v>1</v>
      </c>
      <c r="CB48" s="96" t="s">
        <v>1014</v>
      </c>
      <c r="CC48" s="344" t="s">
        <v>1060</v>
      </c>
      <c r="CD48" s="375" t="s">
        <v>983</v>
      </c>
      <c r="CE48" s="340">
        <v>7.2</v>
      </c>
      <c r="CF48" s="257">
        <v>0.71279999999999999</v>
      </c>
      <c r="CG48" s="337">
        <f>8655000+10200000+13571428</f>
        <v>32426428</v>
      </c>
      <c r="CH48" s="337">
        <f>8655000+10200000+13571428</f>
        <v>32426428</v>
      </c>
      <c r="CI48" s="306">
        <f>CH48/CG48</f>
        <v>1</v>
      </c>
      <c r="CJ48" s="96" t="s">
        <v>1014</v>
      </c>
      <c r="CK48" s="344" t="s">
        <v>1153</v>
      </c>
      <c r="CL48" s="48" t="s">
        <v>125</v>
      </c>
      <c r="CM48" s="305">
        <v>8.1500000000000003E-2</v>
      </c>
      <c r="CN48" s="306">
        <v>0</v>
      </c>
    </row>
    <row r="49" spans="1:92" ht="41.25" customHeight="1" x14ac:dyDescent="0.25">
      <c r="A49" s="494"/>
      <c r="B49" s="384"/>
      <c r="C49" s="492"/>
      <c r="D49" s="741" t="s">
        <v>138</v>
      </c>
      <c r="E49" s="717" t="s">
        <v>139</v>
      </c>
      <c r="F49" s="718" t="s">
        <v>443</v>
      </c>
      <c r="G49" s="718" t="s">
        <v>140</v>
      </c>
      <c r="H49" s="135" t="s">
        <v>1015</v>
      </c>
      <c r="I49" s="718" t="s">
        <v>36</v>
      </c>
      <c r="J49" s="742">
        <v>1</v>
      </c>
      <c r="K49" s="453" t="s">
        <v>291</v>
      </c>
      <c r="L49" s="453" t="s">
        <v>338</v>
      </c>
      <c r="M49" s="453" t="s">
        <v>36</v>
      </c>
      <c r="N49" s="453" t="s">
        <v>339</v>
      </c>
      <c r="O49" s="453" t="s">
        <v>36</v>
      </c>
      <c r="P49" s="453" t="s">
        <v>390</v>
      </c>
      <c r="Q49" s="126">
        <v>1</v>
      </c>
      <c r="R49" s="104" t="s">
        <v>40</v>
      </c>
      <c r="S49" s="510"/>
      <c r="T49" s="510"/>
      <c r="U49" s="510"/>
      <c r="V49" s="510"/>
      <c r="W49" s="453" t="s">
        <v>267</v>
      </c>
      <c r="X49" s="514"/>
      <c r="Y49" s="104" t="s">
        <v>40</v>
      </c>
      <c r="Z49" s="102">
        <v>2</v>
      </c>
      <c r="AA49" s="63" t="e">
        <f>Z49/Y49</f>
        <v>#VALUE!</v>
      </c>
      <c r="AB49" s="411"/>
      <c r="AC49" s="411"/>
      <c r="AD49" s="453" t="s">
        <v>267</v>
      </c>
      <c r="AE49" s="520"/>
      <c r="AF49" s="238" t="s">
        <v>692</v>
      </c>
      <c r="AG49" s="96">
        <v>441</v>
      </c>
      <c r="AH49" s="63" t="e">
        <f>AG49/AF49</f>
        <v>#VALUE!</v>
      </c>
      <c r="AI49" s="539"/>
      <c r="AJ49" s="539"/>
      <c r="AK49" s="453" t="s">
        <v>267</v>
      </c>
      <c r="AL49" s="538"/>
      <c r="AM49" s="187" t="s">
        <v>692</v>
      </c>
      <c r="AN49" s="72" t="s">
        <v>40</v>
      </c>
      <c r="AO49" s="63" t="e">
        <f>AN49/AM49</f>
        <v>#VALUE!</v>
      </c>
      <c r="AP49" s="540"/>
      <c r="AQ49" s="540"/>
      <c r="AR49" s="453" t="s">
        <v>267</v>
      </c>
      <c r="AS49" s="542"/>
      <c r="AT49" s="223">
        <v>12</v>
      </c>
      <c r="AU49" s="145">
        <v>3</v>
      </c>
      <c r="AV49" s="63">
        <f>AU49/AT49</f>
        <v>0.25</v>
      </c>
      <c r="AW49" s="245" t="s">
        <v>856</v>
      </c>
      <c r="AX49" s="245" t="s">
        <v>856</v>
      </c>
      <c r="AY49" s="453" t="s">
        <v>267</v>
      </c>
      <c r="AZ49" s="232" t="s">
        <v>892</v>
      </c>
      <c r="BA49" s="191">
        <v>1</v>
      </c>
      <c r="BB49" s="97">
        <v>4</v>
      </c>
      <c r="BC49" s="63">
        <f>BB49/BA49</f>
        <v>4</v>
      </c>
      <c r="BD49" s="563"/>
      <c r="BE49" s="563"/>
      <c r="BF49" s="453" t="s">
        <v>267</v>
      </c>
      <c r="BG49" s="216" t="s">
        <v>953</v>
      </c>
      <c r="BH49" s="193">
        <v>0.7</v>
      </c>
      <c r="BI49" s="80">
        <v>0</v>
      </c>
      <c r="BJ49" s="83" t="s">
        <v>545</v>
      </c>
      <c r="BK49" s="563"/>
      <c r="BL49" s="563"/>
      <c r="BM49" s="562" t="s">
        <v>267</v>
      </c>
      <c r="BN49" s="157" t="s">
        <v>546</v>
      </c>
      <c r="BO49" s="173">
        <v>1800</v>
      </c>
      <c r="BP49" s="60">
        <v>1361</v>
      </c>
      <c r="BQ49" s="63">
        <f>BP49/BO49</f>
        <v>0.75611111111111107</v>
      </c>
      <c r="BR49" s="411">
        <v>1000000000</v>
      </c>
      <c r="BS49" s="411" t="s">
        <v>470</v>
      </c>
      <c r="BT49" s="453" t="s">
        <v>267</v>
      </c>
      <c r="BU49" s="174" t="s">
        <v>622</v>
      </c>
      <c r="BV49" s="137">
        <v>1</v>
      </c>
      <c r="BW49" s="64">
        <v>1</v>
      </c>
      <c r="BX49" s="362">
        <f>BW49/BV49</f>
        <v>1</v>
      </c>
      <c r="BY49" s="400">
        <f>6000000+10000000</f>
        <v>16000000</v>
      </c>
      <c r="BZ49" s="400">
        <f>6000000+10000000</f>
        <v>16000000</v>
      </c>
      <c r="CA49" s="440">
        <f>BZ49/BY49</f>
        <v>1</v>
      </c>
      <c r="CB49" s="96" t="s">
        <v>1015</v>
      </c>
      <c r="CC49" s="353" t="s">
        <v>1090</v>
      </c>
      <c r="CD49" s="98">
        <v>1</v>
      </c>
      <c r="CE49" s="64">
        <v>1</v>
      </c>
      <c r="CF49" s="362">
        <f>CE49/CD49</f>
        <v>1</v>
      </c>
      <c r="CG49" s="400">
        <f>6000000+10000000</f>
        <v>16000000</v>
      </c>
      <c r="CH49" s="400">
        <f>6000000+10000000</f>
        <v>16000000</v>
      </c>
      <c r="CI49" s="440">
        <f>CH49/CG49</f>
        <v>1</v>
      </c>
      <c r="CJ49" s="96" t="s">
        <v>1015</v>
      </c>
      <c r="CK49" s="353" t="s">
        <v>1129</v>
      </c>
      <c r="CL49" s="64">
        <v>1</v>
      </c>
      <c r="CM49" s="62">
        <v>1</v>
      </c>
      <c r="CN49" s="316">
        <v>1</v>
      </c>
    </row>
    <row r="50" spans="1:92" ht="104.25" customHeight="1" x14ac:dyDescent="0.25">
      <c r="A50" s="494"/>
      <c r="B50" s="384"/>
      <c r="C50" s="492"/>
      <c r="D50" s="741"/>
      <c r="E50" s="717"/>
      <c r="F50" s="718" t="s">
        <v>141</v>
      </c>
      <c r="G50" s="718" t="s">
        <v>123</v>
      </c>
      <c r="H50" s="135" t="s">
        <v>1012</v>
      </c>
      <c r="I50" s="718" t="s">
        <v>142</v>
      </c>
      <c r="J50" s="718" t="s">
        <v>125</v>
      </c>
      <c r="K50" s="453"/>
      <c r="L50" s="453"/>
      <c r="M50" s="453"/>
      <c r="N50" s="453"/>
      <c r="O50" s="453"/>
      <c r="P50" s="453"/>
      <c r="Q50" s="129" t="s">
        <v>125</v>
      </c>
      <c r="R50" s="104" t="s">
        <v>40</v>
      </c>
      <c r="S50" s="510"/>
      <c r="T50" s="510"/>
      <c r="U50" s="510"/>
      <c r="V50" s="510"/>
      <c r="W50" s="453"/>
      <c r="X50" s="105"/>
      <c r="Y50" s="104" t="s">
        <v>40</v>
      </c>
      <c r="Z50" s="102">
        <v>1</v>
      </c>
      <c r="AA50" s="57">
        <v>1</v>
      </c>
      <c r="AB50" s="411"/>
      <c r="AC50" s="411"/>
      <c r="AD50" s="453"/>
      <c r="AE50" s="267" t="s">
        <v>684</v>
      </c>
      <c r="AF50" s="530">
        <v>4</v>
      </c>
      <c r="AG50" s="550">
        <v>0.04</v>
      </c>
      <c r="AH50" s="57">
        <v>1</v>
      </c>
      <c r="AI50" s="539" t="s">
        <v>716</v>
      </c>
      <c r="AJ50" s="539" t="s">
        <v>717</v>
      </c>
      <c r="AK50" s="453"/>
      <c r="AL50" s="542" t="s">
        <v>756</v>
      </c>
      <c r="AM50" s="544">
        <v>5</v>
      </c>
      <c r="AN50" s="477">
        <v>5</v>
      </c>
      <c r="AO50" s="57">
        <v>1</v>
      </c>
      <c r="AP50" s="540" t="s">
        <v>799</v>
      </c>
      <c r="AQ50" s="540" t="s">
        <v>800</v>
      </c>
      <c r="AR50" s="453"/>
      <c r="AS50" s="542" t="s">
        <v>835</v>
      </c>
      <c r="AT50" s="554">
        <v>6</v>
      </c>
      <c r="AU50" s="556">
        <v>3</v>
      </c>
      <c r="AV50" s="57">
        <v>1</v>
      </c>
      <c r="AW50" s="559" t="s">
        <v>856</v>
      </c>
      <c r="AX50" s="559" t="s">
        <v>856</v>
      </c>
      <c r="AY50" s="453"/>
      <c r="AZ50" s="657" t="s">
        <v>893</v>
      </c>
      <c r="BA50" s="187" t="s">
        <v>692</v>
      </c>
      <c r="BB50" s="80">
        <v>200</v>
      </c>
      <c r="BC50" s="57">
        <v>1</v>
      </c>
      <c r="BD50" s="563"/>
      <c r="BE50" s="563"/>
      <c r="BF50" s="453"/>
      <c r="BG50" s="286" t="s">
        <v>954</v>
      </c>
      <c r="BH50" s="199">
        <v>0.15</v>
      </c>
      <c r="BI50" s="87">
        <v>0.1227</v>
      </c>
      <c r="BJ50" s="81">
        <v>1</v>
      </c>
      <c r="BK50" s="563"/>
      <c r="BL50" s="563"/>
      <c r="BM50" s="562"/>
      <c r="BN50" s="286" t="s">
        <v>547</v>
      </c>
      <c r="BO50" s="171">
        <v>0.15</v>
      </c>
      <c r="BP50" s="61">
        <v>0.1227</v>
      </c>
      <c r="BQ50" s="57">
        <v>1</v>
      </c>
      <c r="BR50" s="411"/>
      <c r="BS50" s="411"/>
      <c r="BT50" s="453"/>
      <c r="BU50" s="291" t="s">
        <v>623</v>
      </c>
      <c r="BV50" s="133">
        <v>0.15</v>
      </c>
      <c r="BW50" s="61">
        <v>0.1227</v>
      </c>
      <c r="BX50" s="57">
        <v>1</v>
      </c>
      <c r="BY50" s="401"/>
      <c r="BZ50" s="401"/>
      <c r="CA50" s="441"/>
      <c r="CB50" s="96" t="s">
        <v>1012</v>
      </c>
      <c r="CC50" s="354" t="s">
        <v>1061</v>
      </c>
      <c r="CD50" s="375" t="s">
        <v>983</v>
      </c>
      <c r="CE50" s="61">
        <v>0.1227</v>
      </c>
      <c r="CF50" s="57">
        <v>1</v>
      </c>
      <c r="CG50" s="401"/>
      <c r="CH50" s="401"/>
      <c r="CI50" s="441"/>
      <c r="CJ50" s="96" t="s">
        <v>1012</v>
      </c>
      <c r="CK50" s="354" t="s">
        <v>1154</v>
      </c>
      <c r="CL50" s="48" t="s">
        <v>1039</v>
      </c>
      <c r="CM50" s="307">
        <v>0.1227</v>
      </c>
      <c r="CN50" s="316">
        <v>1</v>
      </c>
    </row>
    <row r="51" spans="1:92" ht="41.25" customHeight="1" x14ac:dyDescent="0.25">
      <c r="A51" s="494"/>
      <c r="B51" s="384"/>
      <c r="C51" s="492"/>
      <c r="D51" s="741" t="s">
        <v>143</v>
      </c>
      <c r="E51" s="720" t="s">
        <v>144</v>
      </c>
      <c r="F51" s="720" t="s">
        <v>444</v>
      </c>
      <c r="G51" s="720" t="s">
        <v>445</v>
      </c>
      <c r="H51" s="724" t="s">
        <v>1016</v>
      </c>
      <c r="I51" s="720">
        <v>1</v>
      </c>
      <c r="J51" s="717" t="s">
        <v>446</v>
      </c>
      <c r="K51" s="453" t="s">
        <v>291</v>
      </c>
      <c r="L51" s="453" t="s">
        <v>385</v>
      </c>
      <c r="M51" s="384" t="s">
        <v>340</v>
      </c>
      <c r="N51" s="384" t="s">
        <v>447</v>
      </c>
      <c r="O51" s="384" t="s">
        <v>341</v>
      </c>
      <c r="P51" s="384" t="s">
        <v>342</v>
      </c>
      <c r="Q51" s="513" t="s">
        <v>446</v>
      </c>
      <c r="R51" s="104" t="s">
        <v>40</v>
      </c>
      <c r="S51" s="515"/>
      <c r="T51" s="515"/>
      <c r="U51" s="515"/>
      <c r="V51" s="515"/>
      <c r="W51" s="453" t="s">
        <v>268</v>
      </c>
      <c r="X51" s="105"/>
      <c r="Y51" s="104" t="s">
        <v>40</v>
      </c>
      <c r="Z51" s="102" t="s">
        <v>36</v>
      </c>
      <c r="AA51" s="385" t="e">
        <f>Z51/Y51</f>
        <v>#VALUE!</v>
      </c>
      <c r="AB51" s="411"/>
      <c r="AC51" s="411"/>
      <c r="AD51" s="453" t="s">
        <v>268</v>
      </c>
      <c r="AE51" s="265" t="s">
        <v>685</v>
      </c>
      <c r="AF51" s="530"/>
      <c r="AG51" s="550"/>
      <c r="AH51" s="385" t="e">
        <f>AG51/AF51</f>
        <v>#DIV/0!</v>
      </c>
      <c r="AI51" s="539"/>
      <c r="AJ51" s="539"/>
      <c r="AK51" s="453" t="s">
        <v>268</v>
      </c>
      <c r="AL51" s="542"/>
      <c r="AM51" s="544"/>
      <c r="AN51" s="477"/>
      <c r="AO51" s="385" t="e">
        <f>AN51/AM51</f>
        <v>#DIV/0!</v>
      </c>
      <c r="AP51" s="540"/>
      <c r="AQ51" s="540"/>
      <c r="AR51" s="453" t="s">
        <v>268</v>
      </c>
      <c r="AS51" s="542"/>
      <c r="AT51" s="554"/>
      <c r="AU51" s="556"/>
      <c r="AV51" s="385" t="e">
        <f>AU51/AT51</f>
        <v>#DIV/0!</v>
      </c>
      <c r="AW51" s="559"/>
      <c r="AX51" s="559"/>
      <c r="AY51" s="453" t="s">
        <v>268</v>
      </c>
      <c r="AZ51" s="657"/>
      <c r="BA51" s="561">
        <v>1</v>
      </c>
      <c r="BB51" s="562" t="s">
        <v>915</v>
      </c>
      <c r="BC51" s="385" t="e">
        <f>BB51/BA51</f>
        <v>#VALUE!</v>
      </c>
      <c r="BD51" s="563">
        <v>562895700</v>
      </c>
      <c r="BE51" s="563">
        <v>256575255</v>
      </c>
      <c r="BF51" s="453" t="s">
        <v>268</v>
      </c>
      <c r="BG51" s="568" t="s">
        <v>955</v>
      </c>
      <c r="BH51" s="570">
        <v>0.01</v>
      </c>
      <c r="BI51" s="599">
        <v>0</v>
      </c>
      <c r="BJ51" s="592">
        <f>BI51/BH51</f>
        <v>0</v>
      </c>
      <c r="BK51" s="563">
        <v>3000000</v>
      </c>
      <c r="BL51" s="563">
        <v>3000000</v>
      </c>
      <c r="BM51" s="562" t="s">
        <v>268</v>
      </c>
      <c r="BN51" s="594" t="s">
        <v>1041</v>
      </c>
      <c r="BO51" s="602">
        <v>0.01</v>
      </c>
      <c r="BP51" s="422">
        <v>0.01</v>
      </c>
      <c r="BQ51" s="385">
        <f>BP51/BO51</f>
        <v>1</v>
      </c>
      <c r="BR51" s="411">
        <v>3000000</v>
      </c>
      <c r="BS51" s="411">
        <v>3000000</v>
      </c>
      <c r="BT51" s="453" t="s">
        <v>268</v>
      </c>
      <c r="BU51" s="606" t="s">
        <v>624</v>
      </c>
      <c r="BV51" s="413">
        <v>0.01</v>
      </c>
      <c r="BW51" s="422">
        <v>0.01</v>
      </c>
      <c r="BX51" s="385">
        <f>BW51/BV51</f>
        <v>1</v>
      </c>
      <c r="BY51" s="400">
        <f>3800000+5600000</f>
        <v>9400000</v>
      </c>
      <c r="BZ51" s="400">
        <f>3800000+3000000+5600000</f>
        <v>12400000</v>
      </c>
      <c r="CA51" s="379">
        <v>1</v>
      </c>
      <c r="CB51" s="390" t="s">
        <v>1016</v>
      </c>
      <c r="CC51" s="444" t="s">
        <v>1062</v>
      </c>
      <c r="CD51" s="442">
        <v>0.01</v>
      </c>
      <c r="CE51" s="422">
        <v>0.01</v>
      </c>
      <c r="CF51" s="385">
        <f>CE51/CD51</f>
        <v>1</v>
      </c>
      <c r="CG51" s="400">
        <f>3800000+5600000</f>
        <v>9400000</v>
      </c>
      <c r="CH51" s="400">
        <f>3800000+3000000+5600000</f>
        <v>12400000</v>
      </c>
      <c r="CI51" s="379">
        <v>1</v>
      </c>
      <c r="CJ51" s="390" t="s">
        <v>1016</v>
      </c>
      <c r="CK51" s="444" t="s">
        <v>1105</v>
      </c>
      <c r="CL51" s="384" t="s">
        <v>446</v>
      </c>
      <c r="CM51" s="675">
        <v>0.01</v>
      </c>
      <c r="CN51" s="379">
        <v>1</v>
      </c>
    </row>
    <row r="52" spans="1:92" ht="76.5" customHeight="1" x14ac:dyDescent="0.25">
      <c r="A52" s="494"/>
      <c r="B52" s="384"/>
      <c r="C52" s="492"/>
      <c r="D52" s="741"/>
      <c r="E52" s="720"/>
      <c r="F52" s="720"/>
      <c r="G52" s="720"/>
      <c r="H52" s="725"/>
      <c r="I52" s="720"/>
      <c r="J52" s="717"/>
      <c r="K52" s="453"/>
      <c r="L52" s="453"/>
      <c r="M52" s="384"/>
      <c r="N52" s="384"/>
      <c r="O52" s="384"/>
      <c r="P52" s="384"/>
      <c r="Q52" s="513"/>
      <c r="R52" s="104" t="s">
        <v>40</v>
      </c>
      <c r="S52" s="510"/>
      <c r="T52" s="510"/>
      <c r="U52" s="510"/>
      <c r="V52" s="510"/>
      <c r="W52" s="453"/>
      <c r="X52" s="514"/>
      <c r="Y52" s="104" t="s">
        <v>40</v>
      </c>
      <c r="Z52" s="102" t="s">
        <v>36</v>
      </c>
      <c r="AA52" s="385"/>
      <c r="AB52" s="411"/>
      <c r="AC52" s="411"/>
      <c r="AD52" s="453"/>
      <c r="AE52" s="520" t="s">
        <v>686</v>
      </c>
      <c r="AF52" s="531" t="s">
        <v>693</v>
      </c>
      <c r="AG52" s="541" t="s">
        <v>693</v>
      </c>
      <c r="AH52" s="385"/>
      <c r="AI52" s="539" t="s">
        <v>703</v>
      </c>
      <c r="AJ52" s="539" t="s">
        <v>704</v>
      </c>
      <c r="AK52" s="453"/>
      <c r="AL52" s="538" t="s">
        <v>757</v>
      </c>
      <c r="AM52" s="530" t="s">
        <v>693</v>
      </c>
      <c r="AN52" s="480" t="s">
        <v>693</v>
      </c>
      <c r="AO52" s="385"/>
      <c r="AP52" s="539" t="s">
        <v>801</v>
      </c>
      <c r="AQ52" s="645">
        <v>23220000</v>
      </c>
      <c r="AR52" s="453"/>
      <c r="AS52" s="538" t="s">
        <v>836</v>
      </c>
      <c r="AT52" s="554">
        <v>1</v>
      </c>
      <c r="AU52" s="556">
        <v>1</v>
      </c>
      <c r="AV52" s="385"/>
      <c r="AW52" s="559" t="s">
        <v>856</v>
      </c>
      <c r="AX52" s="559" t="s">
        <v>856</v>
      </c>
      <c r="AY52" s="453"/>
      <c r="AZ52" s="658" t="s">
        <v>894</v>
      </c>
      <c r="BA52" s="561"/>
      <c r="BB52" s="562"/>
      <c r="BC52" s="385"/>
      <c r="BD52" s="563"/>
      <c r="BE52" s="563"/>
      <c r="BF52" s="453"/>
      <c r="BG52" s="568"/>
      <c r="BH52" s="561"/>
      <c r="BI52" s="599"/>
      <c r="BJ52" s="592"/>
      <c r="BK52" s="563"/>
      <c r="BL52" s="563"/>
      <c r="BM52" s="562"/>
      <c r="BN52" s="573"/>
      <c r="BO52" s="602"/>
      <c r="BP52" s="422"/>
      <c r="BQ52" s="385"/>
      <c r="BR52" s="411"/>
      <c r="BS52" s="411"/>
      <c r="BT52" s="453"/>
      <c r="BU52" s="518"/>
      <c r="BV52" s="674"/>
      <c r="BW52" s="422"/>
      <c r="BX52" s="385"/>
      <c r="BY52" s="401"/>
      <c r="BZ52" s="401"/>
      <c r="CA52" s="389"/>
      <c r="CB52" s="412"/>
      <c r="CC52" s="419"/>
      <c r="CD52" s="443"/>
      <c r="CE52" s="422"/>
      <c r="CF52" s="385"/>
      <c r="CG52" s="401"/>
      <c r="CH52" s="401"/>
      <c r="CI52" s="389"/>
      <c r="CJ52" s="412"/>
      <c r="CK52" s="419"/>
      <c r="CL52" s="384"/>
      <c r="CM52" s="676"/>
      <c r="CN52" s="389"/>
    </row>
    <row r="53" spans="1:92" ht="60" customHeight="1" x14ac:dyDescent="0.25">
      <c r="A53" s="494"/>
      <c r="B53" s="384"/>
      <c r="C53" s="492"/>
      <c r="D53" s="741" t="s">
        <v>145</v>
      </c>
      <c r="E53" s="717" t="s">
        <v>146</v>
      </c>
      <c r="F53" s="717" t="s">
        <v>147</v>
      </c>
      <c r="G53" s="717" t="s">
        <v>148</v>
      </c>
      <c r="H53" s="724" t="s">
        <v>1017</v>
      </c>
      <c r="I53" s="717" t="s">
        <v>36</v>
      </c>
      <c r="J53" s="743">
        <v>1</v>
      </c>
      <c r="K53" s="453" t="s">
        <v>291</v>
      </c>
      <c r="L53" s="453" t="s">
        <v>328</v>
      </c>
      <c r="M53" s="384">
        <v>1905021</v>
      </c>
      <c r="N53" s="384" t="s">
        <v>343</v>
      </c>
      <c r="O53" s="384">
        <v>190502100</v>
      </c>
      <c r="P53" s="384" t="s">
        <v>344</v>
      </c>
      <c r="Q53" s="523">
        <v>1</v>
      </c>
      <c r="R53" s="104" t="s">
        <v>40</v>
      </c>
      <c r="S53" s="510"/>
      <c r="T53" s="510"/>
      <c r="U53" s="510"/>
      <c r="V53" s="510"/>
      <c r="W53" s="453" t="s">
        <v>260</v>
      </c>
      <c r="X53" s="514"/>
      <c r="Y53" s="104" t="s">
        <v>40</v>
      </c>
      <c r="Z53" s="102" t="s">
        <v>36</v>
      </c>
      <c r="AA53" s="423">
        <v>1</v>
      </c>
      <c r="AB53" s="411"/>
      <c r="AC53" s="411"/>
      <c r="AD53" s="453" t="s">
        <v>260</v>
      </c>
      <c r="AE53" s="520"/>
      <c r="AF53" s="531"/>
      <c r="AG53" s="541"/>
      <c r="AH53" s="423">
        <v>1</v>
      </c>
      <c r="AI53" s="539"/>
      <c r="AJ53" s="539"/>
      <c r="AK53" s="453" t="s">
        <v>260</v>
      </c>
      <c r="AL53" s="538"/>
      <c r="AM53" s="530"/>
      <c r="AN53" s="480"/>
      <c r="AO53" s="423">
        <v>1</v>
      </c>
      <c r="AP53" s="539"/>
      <c r="AQ53" s="480"/>
      <c r="AR53" s="453" t="s">
        <v>260</v>
      </c>
      <c r="AS53" s="538"/>
      <c r="AT53" s="554"/>
      <c r="AU53" s="556"/>
      <c r="AV53" s="423">
        <v>1</v>
      </c>
      <c r="AW53" s="559"/>
      <c r="AX53" s="559"/>
      <c r="AY53" s="453" t="s">
        <v>260</v>
      </c>
      <c r="AZ53" s="658"/>
      <c r="BA53" s="574">
        <v>1</v>
      </c>
      <c r="BB53" s="562">
        <v>1</v>
      </c>
      <c r="BC53" s="423">
        <v>1</v>
      </c>
      <c r="BD53" s="563"/>
      <c r="BE53" s="563"/>
      <c r="BF53" s="453" t="s">
        <v>260</v>
      </c>
      <c r="BG53" s="568" t="s">
        <v>948</v>
      </c>
      <c r="BH53" s="607">
        <v>0.7</v>
      </c>
      <c r="BI53" s="599">
        <v>0</v>
      </c>
      <c r="BJ53" s="608">
        <f>BI53/BH53*1</f>
        <v>0</v>
      </c>
      <c r="BK53" s="563"/>
      <c r="BL53" s="563"/>
      <c r="BM53" s="562" t="s">
        <v>260</v>
      </c>
      <c r="BN53" s="573" t="s">
        <v>548</v>
      </c>
      <c r="BO53" s="609">
        <v>0.8</v>
      </c>
      <c r="BP53" s="422">
        <v>1</v>
      </c>
      <c r="BQ53" s="423">
        <v>1</v>
      </c>
      <c r="BR53" s="411">
        <v>0</v>
      </c>
      <c r="BS53" s="411">
        <v>2285000</v>
      </c>
      <c r="BT53" s="453" t="s">
        <v>260</v>
      </c>
      <c r="BU53" s="518" t="s">
        <v>625</v>
      </c>
      <c r="BV53" s="413">
        <v>0.9</v>
      </c>
      <c r="BW53" s="422">
        <v>1</v>
      </c>
      <c r="BX53" s="423">
        <v>1</v>
      </c>
      <c r="BY53" s="411">
        <v>135994000</v>
      </c>
      <c r="BZ53" s="411">
        <v>117200000</v>
      </c>
      <c r="CA53" s="424">
        <f>BZ53/BY53</f>
        <v>0.86180272659087898</v>
      </c>
      <c r="CB53" s="390" t="s">
        <v>1017</v>
      </c>
      <c r="CC53" s="393" t="s">
        <v>1063</v>
      </c>
      <c r="CD53" s="420">
        <v>1</v>
      </c>
      <c r="CE53" s="422">
        <v>1</v>
      </c>
      <c r="CF53" s="423">
        <v>1</v>
      </c>
      <c r="CG53" s="411">
        <f>135994000+10200000+1500000</f>
        <v>147694000</v>
      </c>
      <c r="CH53" s="411">
        <f>117200000+10200000+1500000</f>
        <v>128900000</v>
      </c>
      <c r="CI53" s="424">
        <f>CH53/CG53</f>
        <v>0.87275041640147877</v>
      </c>
      <c r="CJ53" s="390" t="s">
        <v>1017</v>
      </c>
      <c r="CK53" s="393" t="s">
        <v>1130</v>
      </c>
      <c r="CL53" s="416">
        <v>1</v>
      </c>
      <c r="CM53" s="675">
        <v>1</v>
      </c>
      <c r="CN53" s="385">
        <v>1</v>
      </c>
    </row>
    <row r="54" spans="1:92" ht="144.75" customHeight="1" x14ac:dyDescent="0.25">
      <c r="A54" s="494"/>
      <c r="B54" s="48" t="s">
        <v>97</v>
      </c>
      <c r="C54" s="123" t="s">
        <v>98</v>
      </c>
      <c r="D54" s="741"/>
      <c r="E54" s="717"/>
      <c r="F54" s="717"/>
      <c r="G54" s="717"/>
      <c r="H54" s="725"/>
      <c r="I54" s="717"/>
      <c r="J54" s="743"/>
      <c r="K54" s="453"/>
      <c r="L54" s="453"/>
      <c r="M54" s="384"/>
      <c r="N54" s="384"/>
      <c r="O54" s="384"/>
      <c r="P54" s="384"/>
      <c r="Q54" s="523"/>
      <c r="R54" s="104" t="s">
        <v>40</v>
      </c>
      <c r="S54" s="510"/>
      <c r="T54" s="510"/>
      <c r="U54" s="510"/>
      <c r="V54" s="510"/>
      <c r="W54" s="453"/>
      <c r="X54" s="514"/>
      <c r="Y54" s="104" t="s">
        <v>40</v>
      </c>
      <c r="Z54" s="102" t="s">
        <v>36</v>
      </c>
      <c r="AA54" s="423"/>
      <c r="AB54" s="411"/>
      <c r="AC54" s="411"/>
      <c r="AD54" s="453"/>
      <c r="AE54" s="520"/>
      <c r="AF54" s="235">
        <v>0.2</v>
      </c>
      <c r="AG54" s="96">
        <v>0</v>
      </c>
      <c r="AH54" s="423"/>
      <c r="AI54" s="539" t="s">
        <v>718</v>
      </c>
      <c r="AJ54" s="539" t="s">
        <v>719</v>
      </c>
      <c r="AK54" s="453"/>
      <c r="AL54" s="542" t="s">
        <v>758</v>
      </c>
      <c r="AM54" s="187">
        <v>0.4</v>
      </c>
      <c r="AN54" s="72" t="s">
        <v>40</v>
      </c>
      <c r="AO54" s="423"/>
      <c r="AP54" s="539" t="s">
        <v>802</v>
      </c>
      <c r="AQ54" s="539" t="s">
        <v>803</v>
      </c>
      <c r="AR54" s="453"/>
      <c r="AS54" s="542" t="s">
        <v>837</v>
      </c>
      <c r="AT54" s="223">
        <v>0.6</v>
      </c>
      <c r="AU54" s="145">
        <v>0.15</v>
      </c>
      <c r="AV54" s="423"/>
      <c r="AW54" s="245" t="s">
        <v>856</v>
      </c>
      <c r="AX54" s="245" t="s">
        <v>856</v>
      </c>
      <c r="AY54" s="453"/>
      <c r="AZ54" s="232" t="s">
        <v>895</v>
      </c>
      <c r="BA54" s="574"/>
      <c r="BB54" s="562"/>
      <c r="BC54" s="423"/>
      <c r="BD54" s="563"/>
      <c r="BE54" s="563"/>
      <c r="BF54" s="453"/>
      <c r="BG54" s="568"/>
      <c r="BH54" s="574"/>
      <c r="BI54" s="599"/>
      <c r="BJ54" s="608"/>
      <c r="BK54" s="563"/>
      <c r="BL54" s="563"/>
      <c r="BM54" s="562"/>
      <c r="BN54" s="573"/>
      <c r="BO54" s="610"/>
      <c r="BP54" s="422"/>
      <c r="BQ54" s="423"/>
      <c r="BR54" s="411"/>
      <c r="BS54" s="411"/>
      <c r="BT54" s="453"/>
      <c r="BU54" s="518"/>
      <c r="BV54" s="674"/>
      <c r="BW54" s="422"/>
      <c r="BX54" s="423"/>
      <c r="BY54" s="411"/>
      <c r="BZ54" s="400"/>
      <c r="CA54" s="425"/>
      <c r="CB54" s="412"/>
      <c r="CC54" s="394"/>
      <c r="CD54" s="421"/>
      <c r="CE54" s="422"/>
      <c r="CF54" s="423"/>
      <c r="CG54" s="411"/>
      <c r="CH54" s="400"/>
      <c r="CI54" s="425"/>
      <c r="CJ54" s="412"/>
      <c r="CK54" s="394"/>
      <c r="CL54" s="416"/>
      <c r="CM54" s="676"/>
      <c r="CN54" s="385"/>
    </row>
    <row r="55" spans="1:92" ht="44.25" customHeight="1" x14ac:dyDescent="0.25">
      <c r="A55" s="494"/>
      <c r="B55" s="384" t="s">
        <v>149</v>
      </c>
      <c r="C55" s="492" t="s">
        <v>98</v>
      </c>
      <c r="D55" s="741" t="s">
        <v>150</v>
      </c>
      <c r="E55" s="717" t="s">
        <v>455</v>
      </c>
      <c r="F55" s="718" t="s">
        <v>151</v>
      </c>
      <c r="G55" s="718" t="s">
        <v>152</v>
      </c>
      <c r="H55" s="135" t="s">
        <v>1018</v>
      </c>
      <c r="I55" s="718" t="s">
        <v>153</v>
      </c>
      <c r="J55" s="718" t="s">
        <v>154</v>
      </c>
      <c r="K55" s="453" t="s">
        <v>291</v>
      </c>
      <c r="L55" s="453" t="s">
        <v>328</v>
      </c>
      <c r="M55" s="384">
        <v>1905020</v>
      </c>
      <c r="N55" s="384" t="s">
        <v>345</v>
      </c>
      <c r="O55" s="384">
        <v>190502000</v>
      </c>
      <c r="P55" s="384" t="s">
        <v>346</v>
      </c>
      <c r="Q55" s="125" t="s">
        <v>154</v>
      </c>
      <c r="R55" s="104">
        <v>100</v>
      </c>
      <c r="S55" s="515"/>
      <c r="T55" s="515"/>
      <c r="U55" s="515"/>
      <c r="V55" s="515"/>
      <c r="W55" s="36" t="s">
        <v>282</v>
      </c>
      <c r="X55" s="105" t="s">
        <v>499</v>
      </c>
      <c r="Y55" s="104">
        <v>100</v>
      </c>
      <c r="Z55" s="103">
        <v>0.1</v>
      </c>
      <c r="AA55" s="41">
        <v>0.52939999999999998</v>
      </c>
      <c r="AB55" s="411"/>
      <c r="AC55" s="411"/>
      <c r="AD55" s="36" t="s">
        <v>282</v>
      </c>
      <c r="AE55" s="265" t="s">
        <v>687</v>
      </c>
      <c r="AF55" s="531">
        <v>0.16</v>
      </c>
      <c r="AG55" s="480">
        <v>0</v>
      </c>
      <c r="AH55" s="41">
        <v>0.52939999999999998</v>
      </c>
      <c r="AI55" s="539"/>
      <c r="AJ55" s="539"/>
      <c r="AK55" s="36" t="s">
        <v>282</v>
      </c>
      <c r="AL55" s="542"/>
      <c r="AM55" s="638">
        <v>0.15</v>
      </c>
      <c r="AN55" s="639" t="s">
        <v>40</v>
      </c>
      <c r="AO55" s="41">
        <v>0.52939999999999998</v>
      </c>
      <c r="AP55" s="540"/>
      <c r="AQ55" s="540"/>
      <c r="AR55" s="36" t="s">
        <v>282</v>
      </c>
      <c r="AS55" s="542"/>
      <c r="AT55" s="553">
        <v>0.15</v>
      </c>
      <c r="AU55" s="555">
        <v>0.15</v>
      </c>
      <c r="AV55" s="41">
        <v>0.52939999999999998</v>
      </c>
      <c r="AW55" s="559">
        <v>38000000</v>
      </c>
      <c r="AX55" s="656">
        <v>35720000</v>
      </c>
      <c r="AY55" s="36" t="s">
        <v>282</v>
      </c>
      <c r="AZ55" s="661" t="s">
        <v>896</v>
      </c>
      <c r="BA55" s="202">
        <v>12</v>
      </c>
      <c r="BB55" s="82">
        <v>7</v>
      </c>
      <c r="BC55" s="41">
        <v>0.52939999999999998</v>
      </c>
      <c r="BD55" s="92"/>
      <c r="BE55" s="92"/>
      <c r="BF55" s="36" t="s">
        <v>282</v>
      </c>
      <c r="BG55" s="192" t="s">
        <v>956</v>
      </c>
      <c r="BH55" s="191" t="s">
        <v>419</v>
      </c>
      <c r="BI55" s="78">
        <v>6.8000000000000005E-2</v>
      </c>
      <c r="BJ55" s="83">
        <v>0</v>
      </c>
      <c r="BK55" s="563"/>
      <c r="BL55" s="563"/>
      <c r="BM55" s="82" t="s">
        <v>282</v>
      </c>
      <c r="BN55" s="573" t="s">
        <v>549</v>
      </c>
      <c r="BO55" s="128" t="s">
        <v>419</v>
      </c>
      <c r="BP55" s="37">
        <v>6.8000000000000005E-2</v>
      </c>
      <c r="BQ55" s="41">
        <v>0.52939999999999998</v>
      </c>
      <c r="BR55" s="411">
        <v>13200000</v>
      </c>
      <c r="BS55" s="411">
        <v>3300000</v>
      </c>
      <c r="BT55" s="36" t="s">
        <v>282</v>
      </c>
      <c r="BU55" s="518" t="s">
        <v>626</v>
      </c>
      <c r="BV55" s="96" t="s">
        <v>984</v>
      </c>
      <c r="BW55" s="37">
        <v>6.8000000000000005E-2</v>
      </c>
      <c r="BX55" s="41">
        <v>0.52939999999999998</v>
      </c>
      <c r="BY55" s="400">
        <v>2885000</v>
      </c>
      <c r="BZ55" s="400">
        <v>2885000</v>
      </c>
      <c r="CA55" s="671">
        <f>BZ55/BY55</f>
        <v>1</v>
      </c>
      <c r="CB55" s="96" t="s">
        <v>1018</v>
      </c>
      <c r="CC55" s="393" t="s">
        <v>1064</v>
      </c>
      <c r="CD55" s="375" t="s">
        <v>984</v>
      </c>
      <c r="CE55" s="37">
        <v>6.8000000000000005E-2</v>
      </c>
      <c r="CF55" s="41">
        <v>0.52939999999999998</v>
      </c>
      <c r="CG55" s="400">
        <f>2885000+1500000</f>
        <v>4385000</v>
      </c>
      <c r="CH55" s="400">
        <f>2885000+1500000</f>
        <v>4385000</v>
      </c>
      <c r="CI55" s="402">
        <f>CH55/CG55</f>
        <v>1</v>
      </c>
      <c r="CJ55" s="96" t="s">
        <v>1018</v>
      </c>
      <c r="CK55" s="393" t="s">
        <v>1155</v>
      </c>
      <c r="CL55" s="48" t="s">
        <v>154</v>
      </c>
      <c r="CM55" s="37">
        <v>6.8000000000000005E-2</v>
      </c>
      <c r="CN55" s="63">
        <v>0</v>
      </c>
    </row>
    <row r="56" spans="1:92" ht="47.25" customHeight="1" x14ac:dyDescent="0.25">
      <c r="A56" s="494"/>
      <c r="B56" s="384"/>
      <c r="C56" s="492"/>
      <c r="D56" s="741"/>
      <c r="E56" s="717"/>
      <c r="F56" s="717" t="s">
        <v>155</v>
      </c>
      <c r="G56" s="717" t="s">
        <v>152</v>
      </c>
      <c r="H56" s="724" t="s">
        <v>1012</v>
      </c>
      <c r="I56" s="717" t="s">
        <v>156</v>
      </c>
      <c r="J56" s="717" t="s">
        <v>154</v>
      </c>
      <c r="K56" s="453"/>
      <c r="L56" s="453"/>
      <c r="M56" s="384"/>
      <c r="N56" s="384"/>
      <c r="O56" s="384"/>
      <c r="P56" s="384"/>
      <c r="Q56" s="513" t="s">
        <v>154</v>
      </c>
      <c r="R56" s="104" t="s">
        <v>40</v>
      </c>
      <c r="S56" s="510"/>
      <c r="T56" s="510"/>
      <c r="U56" s="510"/>
      <c r="V56" s="510"/>
      <c r="W56" s="453"/>
      <c r="X56" s="514"/>
      <c r="Y56" s="104" t="s">
        <v>40</v>
      </c>
      <c r="Z56" s="102">
        <v>1</v>
      </c>
      <c r="AA56" s="397">
        <v>0.52939999999999998</v>
      </c>
      <c r="AB56" s="411"/>
      <c r="AC56" s="411"/>
      <c r="AD56" s="453"/>
      <c r="AE56" s="520" t="s">
        <v>688</v>
      </c>
      <c r="AF56" s="531"/>
      <c r="AG56" s="480"/>
      <c r="AH56" s="397">
        <v>0.52939999999999998</v>
      </c>
      <c r="AI56" s="539"/>
      <c r="AJ56" s="539"/>
      <c r="AK56" s="453"/>
      <c r="AL56" s="542"/>
      <c r="AM56" s="638"/>
      <c r="AN56" s="639"/>
      <c r="AO56" s="397">
        <v>0.52939999999999998</v>
      </c>
      <c r="AP56" s="540"/>
      <c r="AQ56" s="540"/>
      <c r="AR56" s="453"/>
      <c r="AS56" s="542"/>
      <c r="AT56" s="553"/>
      <c r="AU56" s="555"/>
      <c r="AV56" s="397">
        <v>0.52939999999999998</v>
      </c>
      <c r="AW56" s="559"/>
      <c r="AX56" s="656"/>
      <c r="AY56" s="453"/>
      <c r="AZ56" s="661"/>
      <c r="BA56" s="561"/>
      <c r="BB56" s="562"/>
      <c r="BC56" s="397">
        <v>0.52939999999999998</v>
      </c>
      <c r="BD56" s="563"/>
      <c r="BE56" s="563"/>
      <c r="BF56" s="453"/>
      <c r="BG56" s="568" t="s">
        <v>957</v>
      </c>
      <c r="BH56" s="561" t="s">
        <v>419</v>
      </c>
      <c r="BI56" s="567">
        <v>6.8000000000000005E-2</v>
      </c>
      <c r="BJ56" s="579">
        <v>0</v>
      </c>
      <c r="BK56" s="563"/>
      <c r="BL56" s="563"/>
      <c r="BM56" s="562"/>
      <c r="BN56" s="573"/>
      <c r="BO56" s="483" t="s">
        <v>419</v>
      </c>
      <c r="BP56" s="429">
        <v>6.8000000000000005E-2</v>
      </c>
      <c r="BQ56" s="397">
        <v>0.52939999999999998</v>
      </c>
      <c r="BR56" s="411"/>
      <c r="BS56" s="411"/>
      <c r="BT56" s="453"/>
      <c r="BU56" s="518"/>
      <c r="BV56" s="390" t="s">
        <v>984</v>
      </c>
      <c r="BW56" s="429">
        <v>6.8000000000000005E-2</v>
      </c>
      <c r="BX56" s="397">
        <v>0.52939999999999998</v>
      </c>
      <c r="BY56" s="426"/>
      <c r="BZ56" s="426"/>
      <c r="CA56" s="672"/>
      <c r="CB56" s="390" t="s">
        <v>1012</v>
      </c>
      <c r="CC56" s="394"/>
      <c r="CD56" s="427" t="s">
        <v>984</v>
      </c>
      <c r="CE56" s="429">
        <v>6.8000000000000005E-2</v>
      </c>
      <c r="CF56" s="397">
        <v>0.52939999999999998</v>
      </c>
      <c r="CG56" s="426"/>
      <c r="CH56" s="426"/>
      <c r="CI56" s="417"/>
      <c r="CJ56" s="390" t="s">
        <v>1012</v>
      </c>
      <c r="CK56" s="394"/>
      <c r="CL56" s="384" t="s">
        <v>154</v>
      </c>
      <c r="CM56" s="490">
        <v>6.8000000000000005E-2</v>
      </c>
      <c r="CN56" s="440">
        <v>0</v>
      </c>
    </row>
    <row r="57" spans="1:92" ht="35.25" customHeight="1" x14ac:dyDescent="0.25">
      <c r="A57" s="494"/>
      <c r="B57" s="384"/>
      <c r="C57" s="492"/>
      <c r="D57" s="741"/>
      <c r="E57" s="717"/>
      <c r="F57" s="717"/>
      <c r="G57" s="717"/>
      <c r="H57" s="725"/>
      <c r="I57" s="717"/>
      <c r="J57" s="717"/>
      <c r="K57" s="453"/>
      <c r="L57" s="453"/>
      <c r="M57" s="384"/>
      <c r="N57" s="384"/>
      <c r="O57" s="384"/>
      <c r="P57" s="384"/>
      <c r="Q57" s="513"/>
      <c r="R57" s="104" t="s">
        <v>40</v>
      </c>
      <c r="S57" s="510"/>
      <c r="T57" s="510"/>
      <c r="U57" s="510"/>
      <c r="V57" s="510"/>
      <c r="W57" s="453"/>
      <c r="X57" s="514"/>
      <c r="Y57" s="104" t="s">
        <v>40</v>
      </c>
      <c r="Z57" s="515">
        <v>1</v>
      </c>
      <c r="AA57" s="397"/>
      <c r="AB57" s="411"/>
      <c r="AC57" s="411"/>
      <c r="AD57" s="453"/>
      <c r="AE57" s="520"/>
      <c r="AF57" s="235" t="s">
        <v>693</v>
      </c>
      <c r="AG57" s="96" t="s">
        <v>693</v>
      </c>
      <c r="AH57" s="397"/>
      <c r="AI57" s="74" t="s">
        <v>703</v>
      </c>
      <c r="AJ57" s="74" t="s">
        <v>704</v>
      </c>
      <c r="AK57" s="453"/>
      <c r="AL57" s="213" t="s">
        <v>759</v>
      </c>
      <c r="AM57" s="204" t="s">
        <v>693</v>
      </c>
      <c r="AN57" s="95" t="s">
        <v>693</v>
      </c>
      <c r="AO57" s="397"/>
      <c r="AP57" s="74" t="s">
        <v>801</v>
      </c>
      <c r="AQ57" s="74">
        <v>22400000</v>
      </c>
      <c r="AR57" s="453"/>
      <c r="AS57" s="241" t="s">
        <v>838</v>
      </c>
      <c r="AT57" s="223">
        <v>1</v>
      </c>
      <c r="AU57" s="145">
        <v>1</v>
      </c>
      <c r="AV57" s="397"/>
      <c r="AW57" s="245" t="s">
        <v>856</v>
      </c>
      <c r="AX57" s="245" t="s">
        <v>856</v>
      </c>
      <c r="AY57" s="453"/>
      <c r="AZ57" s="282" t="s">
        <v>897</v>
      </c>
      <c r="BA57" s="561"/>
      <c r="BB57" s="562"/>
      <c r="BC57" s="397"/>
      <c r="BD57" s="563"/>
      <c r="BE57" s="563"/>
      <c r="BF57" s="453"/>
      <c r="BG57" s="568"/>
      <c r="BH57" s="561"/>
      <c r="BI57" s="562"/>
      <c r="BJ57" s="579"/>
      <c r="BK57" s="563"/>
      <c r="BL57" s="563"/>
      <c r="BM57" s="562"/>
      <c r="BN57" s="573"/>
      <c r="BO57" s="483"/>
      <c r="BP57" s="384"/>
      <c r="BQ57" s="397"/>
      <c r="BR57" s="411"/>
      <c r="BS57" s="411"/>
      <c r="BT57" s="453"/>
      <c r="BU57" s="518"/>
      <c r="BV57" s="412"/>
      <c r="BW57" s="384"/>
      <c r="BX57" s="397"/>
      <c r="BY57" s="401"/>
      <c r="BZ57" s="401"/>
      <c r="CA57" s="673"/>
      <c r="CB57" s="412"/>
      <c r="CC57" s="419"/>
      <c r="CD57" s="428"/>
      <c r="CE57" s="384"/>
      <c r="CF57" s="397"/>
      <c r="CG57" s="401"/>
      <c r="CH57" s="401"/>
      <c r="CI57" s="407"/>
      <c r="CJ57" s="412"/>
      <c r="CK57" s="419"/>
      <c r="CL57" s="384"/>
      <c r="CM57" s="684"/>
      <c r="CN57" s="441"/>
    </row>
    <row r="58" spans="1:92" ht="198.75" customHeight="1" x14ac:dyDescent="0.25">
      <c r="A58" s="494"/>
      <c r="B58" s="384"/>
      <c r="C58" s="492"/>
      <c r="D58" s="744" t="s">
        <v>157</v>
      </c>
      <c r="E58" s="718" t="s">
        <v>158</v>
      </c>
      <c r="F58" s="718" t="s">
        <v>159</v>
      </c>
      <c r="G58" s="718" t="s">
        <v>160</v>
      </c>
      <c r="H58" s="135" t="s">
        <v>1019</v>
      </c>
      <c r="I58" s="718" t="s">
        <v>161</v>
      </c>
      <c r="J58" s="718" t="s">
        <v>162</v>
      </c>
      <c r="K58" s="60" t="s">
        <v>291</v>
      </c>
      <c r="L58" s="60" t="s">
        <v>347</v>
      </c>
      <c r="M58" s="48" t="s">
        <v>326</v>
      </c>
      <c r="N58" s="48" t="s">
        <v>388</v>
      </c>
      <c r="O58" s="48" t="s">
        <v>327</v>
      </c>
      <c r="P58" s="48" t="s">
        <v>391</v>
      </c>
      <c r="Q58" s="125" t="s">
        <v>162</v>
      </c>
      <c r="R58" s="104" t="s">
        <v>40</v>
      </c>
      <c r="S58" s="510"/>
      <c r="T58" s="510"/>
      <c r="U58" s="510"/>
      <c r="V58" s="510"/>
      <c r="W58" s="60" t="s">
        <v>275</v>
      </c>
      <c r="X58" s="514"/>
      <c r="Y58" s="104" t="s">
        <v>40</v>
      </c>
      <c r="Z58" s="515"/>
      <c r="AA58" s="43">
        <v>1</v>
      </c>
      <c r="AB58" s="58"/>
      <c r="AC58" s="58"/>
      <c r="AD58" s="60" t="s">
        <v>275</v>
      </c>
      <c r="AE58" s="520"/>
      <c r="AF58" s="238">
        <v>0.9</v>
      </c>
      <c r="AG58" s="133">
        <v>1</v>
      </c>
      <c r="AH58" s="43">
        <v>1</v>
      </c>
      <c r="AI58" s="74" t="s">
        <v>705</v>
      </c>
      <c r="AJ58" s="74" t="s">
        <v>706</v>
      </c>
      <c r="AK58" s="60" t="s">
        <v>275</v>
      </c>
      <c r="AL58" s="268" t="s">
        <v>760</v>
      </c>
      <c r="AM58" s="214">
        <v>0.95</v>
      </c>
      <c r="AN58" s="137">
        <v>0.95</v>
      </c>
      <c r="AO58" s="43">
        <v>1</v>
      </c>
      <c r="AP58" s="144" t="s">
        <v>804</v>
      </c>
      <c r="AQ58" s="144" t="s">
        <v>805</v>
      </c>
      <c r="AR58" s="60" t="s">
        <v>275</v>
      </c>
      <c r="AS58" s="224" t="s">
        <v>839</v>
      </c>
      <c r="AT58" s="283">
        <v>1</v>
      </c>
      <c r="AU58" s="259">
        <v>1</v>
      </c>
      <c r="AV58" s="43">
        <v>1</v>
      </c>
      <c r="AW58" s="245" t="s">
        <v>856</v>
      </c>
      <c r="AX58" s="245" t="s">
        <v>856</v>
      </c>
      <c r="AY58" s="60" t="s">
        <v>275</v>
      </c>
      <c r="AZ58" s="284" t="s">
        <v>1034</v>
      </c>
      <c r="BA58" s="191">
        <v>390</v>
      </c>
      <c r="BB58" s="80">
        <v>556</v>
      </c>
      <c r="BC58" s="43">
        <v>1</v>
      </c>
      <c r="BD58" s="79">
        <v>0</v>
      </c>
      <c r="BE58" s="79">
        <v>0</v>
      </c>
      <c r="BF58" s="60" t="s">
        <v>275</v>
      </c>
      <c r="BG58" s="215" t="s">
        <v>958</v>
      </c>
      <c r="BH58" s="191" t="s">
        <v>420</v>
      </c>
      <c r="BI58" s="260">
        <v>4358</v>
      </c>
      <c r="BJ58" s="91">
        <v>1</v>
      </c>
      <c r="BK58" s="79"/>
      <c r="BL58" s="79"/>
      <c r="BM58" s="80" t="s">
        <v>275</v>
      </c>
      <c r="BN58" s="288" t="s">
        <v>550</v>
      </c>
      <c r="BO58" s="130" t="s">
        <v>420</v>
      </c>
      <c r="BP58" s="261">
        <v>4358</v>
      </c>
      <c r="BQ58" s="43">
        <v>1</v>
      </c>
      <c r="BR58" s="58"/>
      <c r="BS58" s="58"/>
      <c r="BT58" s="60" t="s">
        <v>275</v>
      </c>
      <c r="BU58" s="289" t="s">
        <v>627</v>
      </c>
      <c r="BV58" s="330">
        <v>1150</v>
      </c>
      <c r="BW58" s="261">
        <v>4358</v>
      </c>
      <c r="BX58" s="43">
        <v>0</v>
      </c>
      <c r="BY58" s="337">
        <f>10000000+624000+
11170350+
135994000+
624000</f>
        <v>158412350</v>
      </c>
      <c r="BZ58" s="337">
        <f>10000000+624000+
22340700+
546239083+
624000</f>
        <v>579827783</v>
      </c>
      <c r="CA58" s="325">
        <v>1</v>
      </c>
      <c r="CB58" s="96" t="s">
        <v>1019</v>
      </c>
      <c r="CC58" s="355" t="s">
        <v>1084</v>
      </c>
      <c r="CD58" s="98">
        <v>11</v>
      </c>
      <c r="CE58" s="261">
        <v>4358</v>
      </c>
      <c r="CF58" s="43">
        <v>0</v>
      </c>
      <c r="CG58" s="337">
        <f>10000000+624000+1500000+
11170350+
135994000+
624000+44965000</f>
        <v>204877350</v>
      </c>
      <c r="CH58" s="337">
        <f>10000000+624000+1500000+
22340700+
546239083+
624000+9775000</f>
        <v>591102783</v>
      </c>
      <c r="CI58" s="325">
        <v>1</v>
      </c>
      <c r="CJ58" s="96" t="s">
        <v>1019</v>
      </c>
      <c r="CK58" s="355" t="s">
        <v>1131</v>
      </c>
      <c r="CL58" s="48" t="s">
        <v>162</v>
      </c>
      <c r="CM58" s="310">
        <v>4358</v>
      </c>
      <c r="CN58" s="325">
        <v>0</v>
      </c>
    </row>
    <row r="59" spans="1:92" ht="205.5" customHeight="1" x14ac:dyDescent="0.25">
      <c r="A59" s="494"/>
      <c r="B59" s="384" t="s">
        <v>163</v>
      </c>
      <c r="C59" s="492" t="s">
        <v>164</v>
      </c>
      <c r="D59" s="744" t="s">
        <v>165</v>
      </c>
      <c r="E59" s="718" t="s">
        <v>166</v>
      </c>
      <c r="F59" s="718" t="s">
        <v>167</v>
      </c>
      <c r="G59" s="718" t="s">
        <v>168</v>
      </c>
      <c r="H59" s="135" t="s">
        <v>1020</v>
      </c>
      <c r="I59" s="718" t="s">
        <v>169</v>
      </c>
      <c r="J59" s="718" t="s">
        <v>170</v>
      </c>
      <c r="K59" s="60" t="s">
        <v>291</v>
      </c>
      <c r="L59" s="60" t="s">
        <v>323</v>
      </c>
      <c r="M59" s="60">
        <v>4301037</v>
      </c>
      <c r="N59" s="60" t="s">
        <v>324</v>
      </c>
      <c r="O59" s="60">
        <v>430103704</v>
      </c>
      <c r="P59" s="60" t="s">
        <v>325</v>
      </c>
      <c r="Q59" s="125" t="s">
        <v>170</v>
      </c>
      <c r="R59" s="104" t="s">
        <v>40</v>
      </c>
      <c r="S59" s="515"/>
      <c r="T59" s="515"/>
      <c r="U59" s="515"/>
      <c r="V59" s="515"/>
      <c r="W59" s="62" t="s">
        <v>262</v>
      </c>
      <c r="X59" s="514"/>
      <c r="Y59" s="104" t="s">
        <v>40</v>
      </c>
      <c r="Z59" s="102">
        <v>0</v>
      </c>
      <c r="AA59" s="57">
        <v>1</v>
      </c>
      <c r="AB59" s="58"/>
      <c r="AC59" s="58"/>
      <c r="AD59" s="62" t="s">
        <v>262</v>
      </c>
      <c r="AE59" s="520" t="s">
        <v>689</v>
      </c>
      <c r="AF59" s="235">
        <v>1</v>
      </c>
      <c r="AG59" s="96">
        <v>1</v>
      </c>
      <c r="AH59" s="57">
        <v>1</v>
      </c>
      <c r="AI59" s="539" t="s">
        <v>720</v>
      </c>
      <c r="AJ59" s="539" t="s">
        <v>721</v>
      </c>
      <c r="AK59" s="62" t="s">
        <v>262</v>
      </c>
      <c r="AL59" s="268" t="s">
        <v>761</v>
      </c>
      <c r="AM59" s="187">
        <v>1</v>
      </c>
      <c r="AN59" s="72">
        <v>1</v>
      </c>
      <c r="AO59" s="57">
        <v>1</v>
      </c>
      <c r="AP59" s="645" t="s">
        <v>806</v>
      </c>
      <c r="AQ59" s="480" t="s">
        <v>807</v>
      </c>
      <c r="AR59" s="62" t="s">
        <v>262</v>
      </c>
      <c r="AS59" s="542" t="s">
        <v>840</v>
      </c>
      <c r="AT59" s="554">
        <v>1</v>
      </c>
      <c r="AU59" s="556">
        <v>1</v>
      </c>
      <c r="AV59" s="57">
        <v>1</v>
      </c>
      <c r="AW59" s="558" t="s">
        <v>856</v>
      </c>
      <c r="AX59" s="557" t="s">
        <v>856</v>
      </c>
      <c r="AY59" s="62" t="s">
        <v>262</v>
      </c>
      <c r="AZ59" s="657" t="s">
        <v>898</v>
      </c>
      <c r="BA59" s="191">
        <v>1</v>
      </c>
      <c r="BB59" s="80">
        <v>1</v>
      </c>
      <c r="BC59" s="57">
        <v>1</v>
      </c>
      <c r="BD59" s="79" t="s">
        <v>928</v>
      </c>
      <c r="BE59" s="79">
        <v>31112000</v>
      </c>
      <c r="BF59" s="62" t="s">
        <v>262</v>
      </c>
      <c r="BG59" s="182" t="s">
        <v>959</v>
      </c>
      <c r="BH59" s="202"/>
      <c r="BI59" s="80">
        <v>1</v>
      </c>
      <c r="BJ59" s="81">
        <v>0</v>
      </c>
      <c r="BK59" s="79" t="s">
        <v>551</v>
      </c>
      <c r="BL59" s="79" t="s">
        <v>552</v>
      </c>
      <c r="BM59" s="84" t="s">
        <v>262</v>
      </c>
      <c r="BN59" s="182" t="s">
        <v>553</v>
      </c>
      <c r="BO59" s="175"/>
      <c r="BP59" s="48">
        <v>666</v>
      </c>
      <c r="BQ59" s="57">
        <v>1</v>
      </c>
      <c r="BR59" s="58">
        <v>42833333</v>
      </c>
      <c r="BS59" s="58" t="s">
        <v>628</v>
      </c>
      <c r="BT59" s="62" t="s">
        <v>262</v>
      </c>
      <c r="BU59" s="167" t="s">
        <v>629</v>
      </c>
      <c r="BV59" s="366">
        <v>90</v>
      </c>
      <c r="BW59" s="48">
        <v>692</v>
      </c>
      <c r="BX59" s="57">
        <v>1</v>
      </c>
      <c r="BY59" s="323">
        <f>20878000000+495000000+177000000</f>
        <v>21550000000</v>
      </c>
      <c r="BZ59" s="323">
        <f>8878000000+177000000+495000000</f>
        <v>9550000000</v>
      </c>
      <c r="CA59" s="300">
        <f>BZ59/BY59</f>
        <v>0.44315545243619492</v>
      </c>
      <c r="CB59" s="96" t="s">
        <v>1020</v>
      </c>
      <c r="CC59" s="356" t="s">
        <v>1065</v>
      </c>
      <c r="CD59" s="374">
        <v>90</v>
      </c>
      <c r="CE59" s="48">
        <v>692</v>
      </c>
      <c r="CF59" s="57">
        <v>1</v>
      </c>
      <c r="CG59" s="323">
        <f>20878000000+495000000+177000000+5000000+1020000</f>
        <v>21556020000</v>
      </c>
      <c r="CH59" s="323">
        <f>8878000000+177000000+495000000+5000000+10200000</f>
        <v>9565200000</v>
      </c>
      <c r="CI59" s="300">
        <f>CH59/CG59</f>
        <v>0.44373683082498533</v>
      </c>
      <c r="CJ59" s="96" t="s">
        <v>1020</v>
      </c>
      <c r="CK59" s="356" t="s">
        <v>1132</v>
      </c>
      <c r="CL59" s="48">
        <v>90</v>
      </c>
      <c r="CM59" s="308">
        <v>692</v>
      </c>
      <c r="CN59" s="300">
        <v>1</v>
      </c>
    </row>
    <row r="60" spans="1:92" ht="106.5" customHeight="1" x14ac:dyDescent="0.25">
      <c r="A60" s="494"/>
      <c r="B60" s="384"/>
      <c r="C60" s="492"/>
      <c r="D60" s="741" t="s">
        <v>171</v>
      </c>
      <c r="E60" s="717" t="s">
        <v>172</v>
      </c>
      <c r="F60" s="718" t="s">
        <v>173</v>
      </c>
      <c r="G60" s="718" t="s">
        <v>168</v>
      </c>
      <c r="H60" s="135" t="s">
        <v>1020</v>
      </c>
      <c r="I60" s="733" t="s">
        <v>169</v>
      </c>
      <c r="J60" s="718" t="s">
        <v>170</v>
      </c>
      <c r="K60" s="453" t="s">
        <v>291</v>
      </c>
      <c r="L60" s="453" t="s">
        <v>348</v>
      </c>
      <c r="M60" s="384">
        <v>4302075</v>
      </c>
      <c r="N60" s="384" t="s">
        <v>349</v>
      </c>
      <c r="O60" s="384">
        <v>430207500</v>
      </c>
      <c r="P60" s="384" t="s">
        <v>350</v>
      </c>
      <c r="Q60" s="125" t="s">
        <v>170</v>
      </c>
      <c r="R60" s="104">
        <v>0</v>
      </c>
      <c r="S60" s="510"/>
      <c r="T60" s="510"/>
      <c r="U60" s="510"/>
      <c r="V60" s="510"/>
      <c r="W60" s="453" t="s">
        <v>269</v>
      </c>
      <c r="X60" s="514"/>
      <c r="Y60" s="104" t="s">
        <v>40</v>
      </c>
      <c r="Z60" s="103">
        <v>0.1</v>
      </c>
      <c r="AA60" s="43" t="e">
        <f>Z60/Y60</f>
        <v>#VALUE!</v>
      </c>
      <c r="AB60" s="411"/>
      <c r="AC60" s="411"/>
      <c r="AD60" s="453" t="s">
        <v>269</v>
      </c>
      <c r="AE60" s="520"/>
      <c r="AF60" s="235">
        <v>1</v>
      </c>
      <c r="AG60" s="96">
        <v>1</v>
      </c>
      <c r="AH60" s="43">
        <f>AG60/AF60</f>
        <v>1</v>
      </c>
      <c r="AI60" s="539"/>
      <c r="AJ60" s="539"/>
      <c r="AK60" s="453" t="s">
        <v>269</v>
      </c>
      <c r="AL60" s="268" t="s">
        <v>761</v>
      </c>
      <c r="AM60" s="187">
        <v>1</v>
      </c>
      <c r="AN60" s="72">
        <v>1</v>
      </c>
      <c r="AO60" s="43">
        <f>AN60/AM60</f>
        <v>1</v>
      </c>
      <c r="AP60" s="477"/>
      <c r="AQ60" s="477"/>
      <c r="AR60" s="453" t="s">
        <v>269</v>
      </c>
      <c r="AS60" s="542"/>
      <c r="AT60" s="554"/>
      <c r="AU60" s="556"/>
      <c r="AV60" s="43" t="e">
        <f>AU60/AT60</f>
        <v>#DIV/0!</v>
      </c>
      <c r="AW60" s="559"/>
      <c r="AX60" s="651"/>
      <c r="AY60" s="453" t="s">
        <v>269</v>
      </c>
      <c r="AZ60" s="657"/>
      <c r="BA60" s="191">
        <v>20</v>
      </c>
      <c r="BB60" s="80">
        <v>923</v>
      </c>
      <c r="BC60" s="43">
        <f>BB60/BA60</f>
        <v>46.15</v>
      </c>
      <c r="BD60" s="563" t="s">
        <v>928</v>
      </c>
      <c r="BE60" s="92">
        <v>623661206</v>
      </c>
      <c r="BF60" s="453" t="s">
        <v>269</v>
      </c>
      <c r="BG60" s="182" t="s">
        <v>960</v>
      </c>
      <c r="BH60" s="193">
        <v>0.7</v>
      </c>
      <c r="BI60" s="89">
        <f>6/12</f>
        <v>0.5</v>
      </c>
      <c r="BJ60" s="91">
        <f>BI60/BH60</f>
        <v>0.7142857142857143</v>
      </c>
      <c r="BK60" s="563" t="s">
        <v>554</v>
      </c>
      <c r="BL60" s="563" t="s">
        <v>555</v>
      </c>
      <c r="BM60" s="562" t="s">
        <v>269</v>
      </c>
      <c r="BN60" s="182" t="s">
        <v>556</v>
      </c>
      <c r="BO60" s="176">
        <v>80</v>
      </c>
      <c r="BP60" s="42">
        <v>69</v>
      </c>
      <c r="BQ60" s="43">
        <f>BP60/BO60</f>
        <v>0.86250000000000004</v>
      </c>
      <c r="BR60" s="411">
        <v>132200000</v>
      </c>
      <c r="BS60" s="411" t="s">
        <v>630</v>
      </c>
      <c r="BT60" s="453" t="s">
        <v>269</v>
      </c>
      <c r="BU60" s="167" t="s">
        <v>631</v>
      </c>
      <c r="BV60" s="137">
        <v>0.8</v>
      </c>
      <c r="BW60" s="59">
        <v>0.69</v>
      </c>
      <c r="BX60" s="43">
        <f>BW60/BV60</f>
        <v>0.86249999999999993</v>
      </c>
      <c r="BY60" s="400">
        <f>44580000+233685000+
12834828+177000000</f>
        <v>468099828</v>
      </c>
      <c r="BZ60" s="400">
        <f>44580000+233685000+
12834828+
177000000</f>
        <v>468099828</v>
      </c>
      <c r="CA60" s="424">
        <f>BZ60/BY60</f>
        <v>1</v>
      </c>
      <c r="CB60" s="96" t="s">
        <v>1020</v>
      </c>
      <c r="CC60" s="356" t="s">
        <v>1097</v>
      </c>
      <c r="CD60" s="329">
        <v>80</v>
      </c>
      <c r="CE60" s="369">
        <v>51</v>
      </c>
      <c r="CF60" s="43">
        <f>CE60/CD60</f>
        <v>0.63749999999999996</v>
      </c>
      <c r="CG60" s="400">
        <f>44580000+233685000+
12834828+177000000+(2067255637*0.34)+278428571</f>
        <v>1449395315.5799999</v>
      </c>
      <c r="CH60" s="400">
        <f>44580000+233685000+278428571+278428571+
12834828+
177000000+(265643218*0.34)</f>
        <v>1115275664.1199999</v>
      </c>
      <c r="CI60" s="424">
        <f>CH60/CG60</f>
        <v>0.76947652040237458</v>
      </c>
      <c r="CJ60" s="96" t="s">
        <v>1020</v>
      </c>
      <c r="CK60" s="356" t="s">
        <v>1133</v>
      </c>
      <c r="CL60" s="48" t="s">
        <v>170</v>
      </c>
      <c r="CM60" s="42">
        <v>69</v>
      </c>
      <c r="CN60" s="43">
        <v>0.69</v>
      </c>
    </row>
    <row r="61" spans="1:92" ht="48" customHeight="1" x14ac:dyDescent="0.25">
      <c r="A61" s="494"/>
      <c r="B61" s="384"/>
      <c r="C61" s="492"/>
      <c r="D61" s="741"/>
      <c r="E61" s="717"/>
      <c r="F61" s="718" t="s">
        <v>174</v>
      </c>
      <c r="G61" s="718" t="s">
        <v>168</v>
      </c>
      <c r="H61" s="135" t="s">
        <v>1020</v>
      </c>
      <c r="I61" s="733" t="s">
        <v>169</v>
      </c>
      <c r="J61" s="718" t="s">
        <v>170</v>
      </c>
      <c r="K61" s="453"/>
      <c r="L61" s="453"/>
      <c r="M61" s="384"/>
      <c r="N61" s="384"/>
      <c r="O61" s="384"/>
      <c r="P61" s="384"/>
      <c r="Q61" s="125" t="s">
        <v>170</v>
      </c>
      <c r="R61" s="104">
        <v>0</v>
      </c>
      <c r="S61" s="510"/>
      <c r="T61" s="510"/>
      <c r="U61" s="510"/>
      <c r="V61" s="510"/>
      <c r="W61" s="453"/>
      <c r="X61" s="514"/>
      <c r="Y61" s="104" t="s">
        <v>40</v>
      </c>
      <c r="Z61" s="102">
        <v>1</v>
      </c>
      <c r="AA61" s="43" t="e">
        <f>Z61/Y61</f>
        <v>#VALUE!</v>
      </c>
      <c r="AB61" s="411"/>
      <c r="AC61" s="447"/>
      <c r="AD61" s="453"/>
      <c r="AE61" s="520"/>
      <c r="AF61" s="235" t="s">
        <v>693</v>
      </c>
      <c r="AG61" s="96" t="s">
        <v>693</v>
      </c>
      <c r="AH61" s="43" t="e">
        <f>AG61/AF61</f>
        <v>#VALUE!</v>
      </c>
      <c r="AI61" s="539">
        <v>16300000</v>
      </c>
      <c r="AJ61" s="539">
        <v>14433333</v>
      </c>
      <c r="AK61" s="453"/>
      <c r="AL61" s="268" t="s">
        <v>762</v>
      </c>
      <c r="AM61" s="235" t="s">
        <v>693</v>
      </c>
      <c r="AN61" s="96" t="s">
        <v>693</v>
      </c>
      <c r="AO61" s="43" t="e">
        <f>AN61/AM61</f>
        <v>#VALUE!</v>
      </c>
      <c r="AP61" s="645">
        <v>363307447</v>
      </c>
      <c r="AQ61" s="645">
        <v>73250000</v>
      </c>
      <c r="AR61" s="453"/>
      <c r="AS61" s="542" t="s">
        <v>841</v>
      </c>
      <c r="AT61" s="223">
        <v>1</v>
      </c>
      <c r="AU61" s="145">
        <v>1</v>
      </c>
      <c r="AV61" s="43">
        <f>AU61/AT61</f>
        <v>1</v>
      </c>
      <c r="AW61" s="245" t="s">
        <v>856</v>
      </c>
      <c r="AX61" s="245" t="s">
        <v>856</v>
      </c>
      <c r="AY61" s="453"/>
      <c r="AZ61" s="234" t="s">
        <v>899</v>
      </c>
      <c r="BA61" s="191">
        <v>20</v>
      </c>
      <c r="BB61" s="80">
        <f>20+1755</f>
        <v>1775</v>
      </c>
      <c r="BC61" s="43">
        <f>BB61/BA61</f>
        <v>88.75</v>
      </c>
      <c r="BD61" s="563"/>
      <c r="BE61" s="92">
        <v>75485000</v>
      </c>
      <c r="BF61" s="453"/>
      <c r="BG61" s="182" t="s">
        <v>961</v>
      </c>
      <c r="BH61" s="193">
        <v>0.7</v>
      </c>
      <c r="BI61" s="80">
        <v>0</v>
      </c>
      <c r="BJ61" s="91">
        <v>0</v>
      </c>
      <c r="BK61" s="563"/>
      <c r="BL61" s="600"/>
      <c r="BM61" s="562"/>
      <c r="BN61" s="182" t="s">
        <v>557</v>
      </c>
      <c r="BO61" s="176">
        <v>80</v>
      </c>
      <c r="BP61" s="42">
        <v>69</v>
      </c>
      <c r="BQ61" s="43">
        <f>BP61/BO61</f>
        <v>0.86250000000000004</v>
      </c>
      <c r="BR61" s="411"/>
      <c r="BS61" s="447"/>
      <c r="BT61" s="453"/>
      <c r="BU61" s="167" t="s">
        <v>632</v>
      </c>
      <c r="BV61" s="137">
        <v>0.9</v>
      </c>
      <c r="BW61" s="59">
        <v>0.69</v>
      </c>
      <c r="BX61" s="43">
        <f>BW61/BV61</f>
        <v>0.76666666666666661</v>
      </c>
      <c r="BY61" s="401"/>
      <c r="BZ61" s="430"/>
      <c r="CA61" s="425"/>
      <c r="CB61" s="96" t="s">
        <v>1020</v>
      </c>
      <c r="CC61" s="348" t="s">
        <v>1066</v>
      </c>
      <c r="CD61" s="329">
        <v>90</v>
      </c>
      <c r="CE61" s="369">
        <v>20</v>
      </c>
      <c r="CF61" s="43">
        <f>CE61/CD61</f>
        <v>0.22222222222222221</v>
      </c>
      <c r="CG61" s="401"/>
      <c r="CH61" s="430"/>
      <c r="CI61" s="425"/>
      <c r="CJ61" s="96" t="s">
        <v>1020</v>
      </c>
      <c r="CK61" s="348" t="s">
        <v>1134</v>
      </c>
      <c r="CL61" s="48" t="s">
        <v>170</v>
      </c>
      <c r="CM61" s="42">
        <v>69</v>
      </c>
      <c r="CN61" s="41">
        <v>0.69</v>
      </c>
    </row>
    <row r="62" spans="1:92" ht="327.75" customHeight="1" x14ac:dyDescent="0.25">
      <c r="A62" s="494"/>
      <c r="B62" s="384"/>
      <c r="C62" s="492"/>
      <c r="D62" s="741" t="s">
        <v>175</v>
      </c>
      <c r="E62" s="717" t="s">
        <v>176</v>
      </c>
      <c r="F62" s="718" t="s">
        <v>177</v>
      </c>
      <c r="G62" s="718" t="s">
        <v>178</v>
      </c>
      <c r="H62" s="135" t="s">
        <v>1021</v>
      </c>
      <c r="I62" s="718" t="s">
        <v>179</v>
      </c>
      <c r="J62" s="718" t="s">
        <v>180</v>
      </c>
      <c r="K62" s="453" t="s">
        <v>291</v>
      </c>
      <c r="L62" s="453" t="s">
        <v>323</v>
      </c>
      <c r="M62" s="453">
        <v>4301037</v>
      </c>
      <c r="N62" s="453" t="s">
        <v>324</v>
      </c>
      <c r="O62" s="453">
        <v>430103704</v>
      </c>
      <c r="P62" s="453" t="s">
        <v>325</v>
      </c>
      <c r="Q62" s="125" t="s">
        <v>180</v>
      </c>
      <c r="R62" s="104"/>
      <c r="S62" s="524"/>
      <c r="T62" s="524">
        <v>0</v>
      </c>
      <c r="U62" s="524"/>
      <c r="V62" s="524" t="s">
        <v>500</v>
      </c>
      <c r="W62" s="453" t="s">
        <v>270</v>
      </c>
      <c r="X62" s="514" t="s">
        <v>501</v>
      </c>
      <c r="Y62" s="104"/>
      <c r="Z62" s="102">
        <v>5</v>
      </c>
      <c r="AA62" s="41">
        <v>1</v>
      </c>
      <c r="AB62" s="411"/>
      <c r="AC62" s="405"/>
      <c r="AD62" s="453" t="s">
        <v>270</v>
      </c>
      <c r="AE62" s="520" t="s">
        <v>690</v>
      </c>
      <c r="AF62" s="235" t="s">
        <v>693</v>
      </c>
      <c r="AG62" s="96" t="s">
        <v>693</v>
      </c>
      <c r="AH62" s="41">
        <v>1</v>
      </c>
      <c r="AI62" s="539"/>
      <c r="AJ62" s="539"/>
      <c r="AK62" s="453" t="s">
        <v>270</v>
      </c>
      <c r="AL62" s="268" t="s">
        <v>762</v>
      </c>
      <c r="AM62" s="235" t="s">
        <v>693</v>
      </c>
      <c r="AN62" s="96" t="s">
        <v>693</v>
      </c>
      <c r="AO62" s="41">
        <v>1</v>
      </c>
      <c r="AP62" s="480"/>
      <c r="AQ62" s="480"/>
      <c r="AR62" s="453" t="s">
        <v>270</v>
      </c>
      <c r="AS62" s="542"/>
      <c r="AT62" s="223">
        <v>1</v>
      </c>
      <c r="AU62" s="145">
        <v>1</v>
      </c>
      <c r="AV62" s="41">
        <v>1</v>
      </c>
      <c r="AW62" s="245" t="s">
        <v>856</v>
      </c>
      <c r="AX62" s="245" t="s">
        <v>856</v>
      </c>
      <c r="AY62" s="453" t="s">
        <v>270</v>
      </c>
      <c r="AZ62" s="232" t="s">
        <v>900</v>
      </c>
      <c r="BA62" s="191">
        <v>13</v>
      </c>
      <c r="BB62" s="80">
        <v>13</v>
      </c>
      <c r="BC62" s="41">
        <v>1</v>
      </c>
      <c r="BD62" s="563"/>
      <c r="BE62" s="563">
        <v>181115580</v>
      </c>
      <c r="BF62" s="453" t="s">
        <v>270</v>
      </c>
      <c r="BG62" s="182" t="s">
        <v>962</v>
      </c>
      <c r="BH62" s="193">
        <v>0.14000000000000001</v>
      </c>
      <c r="BI62" s="80">
        <v>0</v>
      </c>
      <c r="BJ62" s="83">
        <v>0</v>
      </c>
      <c r="BK62" s="92"/>
      <c r="BL62" s="599"/>
      <c r="BM62" s="562" t="s">
        <v>270</v>
      </c>
      <c r="BN62" s="182" t="s">
        <v>558</v>
      </c>
      <c r="BO62" s="163">
        <v>0.16</v>
      </c>
      <c r="BP62" s="62">
        <v>0.2</v>
      </c>
      <c r="BQ62" s="41">
        <v>1</v>
      </c>
      <c r="BR62" s="411" t="s">
        <v>459</v>
      </c>
      <c r="BS62" s="405" t="s">
        <v>633</v>
      </c>
      <c r="BT62" s="453" t="s">
        <v>270</v>
      </c>
      <c r="BU62" s="182" t="s">
        <v>634</v>
      </c>
      <c r="BV62" s="137">
        <v>0.18</v>
      </c>
      <c r="BW62" s="62" t="s">
        <v>1088</v>
      </c>
      <c r="BX62" s="41">
        <v>1</v>
      </c>
      <c r="BY62" s="400">
        <f>1468000000+5250000+
9500000+260366700+90000000</f>
        <v>1833116700</v>
      </c>
      <c r="BZ62" s="405">
        <f>546239083+5250000+9500000+169238355+90000000</f>
        <v>820227438</v>
      </c>
      <c r="CA62" s="402">
        <f>BZ62/BY62</f>
        <v>0.44744965664215486</v>
      </c>
      <c r="CB62" s="96" t="s">
        <v>1021</v>
      </c>
      <c r="CC62" s="356" t="s">
        <v>1089</v>
      </c>
      <c r="CD62" s="98">
        <v>0.2</v>
      </c>
      <c r="CE62" s="62" t="s">
        <v>1088</v>
      </c>
      <c r="CF62" s="41">
        <v>1</v>
      </c>
      <c r="CG62" s="400">
        <f>1468000000+5250000+278428571+278428571+
9500000+260366700+90000000+(2067255637*0.34)+37200000</f>
        <v>3130040758.5799999</v>
      </c>
      <c r="CH62" s="405">
        <f>546239083+5250000+9500000+169238355+90000000+(265643218*0.34)+37200000+278428571</f>
        <v>1226174703.1199999</v>
      </c>
      <c r="CI62" s="402">
        <f>CH62/CG62</f>
        <v>0.39174400517272384</v>
      </c>
      <c r="CJ62" s="96" t="s">
        <v>1021</v>
      </c>
      <c r="CK62" s="356" t="s">
        <v>1135</v>
      </c>
      <c r="CL62" s="60" t="s">
        <v>180</v>
      </c>
      <c r="CM62" s="62" t="s">
        <v>1088</v>
      </c>
      <c r="CN62" s="309">
        <v>1</v>
      </c>
    </row>
    <row r="63" spans="1:92" ht="297.75" customHeight="1" x14ac:dyDescent="0.25">
      <c r="A63" s="494"/>
      <c r="B63" s="384"/>
      <c r="C63" s="492"/>
      <c r="D63" s="741"/>
      <c r="E63" s="717"/>
      <c r="F63" s="718" t="s">
        <v>181</v>
      </c>
      <c r="G63" s="718" t="s">
        <v>178</v>
      </c>
      <c r="H63" s="135" t="s">
        <v>1021</v>
      </c>
      <c r="I63" s="718" t="s">
        <v>182</v>
      </c>
      <c r="J63" s="718" t="s">
        <v>180</v>
      </c>
      <c r="K63" s="453"/>
      <c r="L63" s="453"/>
      <c r="M63" s="453"/>
      <c r="N63" s="453"/>
      <c r="O63" s="453"/>
      <c r="P63" s="453"/>
      <c r="Q63" s="125" t="s">
        <v>180</v>
      </c>
      <c r="R63" s="104"/>
      <c r="S63" s="525"/>
      <c r="T63" s="525"/>
      <c r="U63" s="525"/>
      <c r="V63" s="525"/>
      <c r="W63" s="453"/>
      <c r="X63" s="514"/>
      <c r="Y63" s="104"/>
      <c r="Z63" s="102">
        <v>0</v>
      </c>
      <c r="AA63" s="63">
        <v>0</v>
      </c>
      <c r="AB63" s="411"/>
      <c r="AC63" s="406"/>
      <c r="AD63" s="453"/>
      <c r="AE63" s="520"/>
      <c r="AF63" s="235">
        <v>1</v>
      </c>
      <c r="AG63" s="96">
        <v>1</v>
      </c>
      <c r="AH63" s="63">
        <v>0</v>
      </c>
      <c r="AI63" s="74" t="s">
        <v>722</v>
      </c>
      <c r="AJ63" s="74" t="s">
        <v>722</v>
      </c>
      <c r="AK63" s="453"/>
      <c r="AL63" s="268" t="s">
        <v>763</v>
      </c>
      <c r="AM63" s="187">
        <v>1</v>
      </c>
      <c r="AN63" s="72">
        <v>1</v>
      </c>
      <c r="AO63" s="63">
        <v>0</v>
      </c>
      <c r="AP63" s="74" t="s">
        <v>808</v>
      </c>
      <c r="AQ63" s="74" t="s">
        <v>808</v>
      </c>
      <c r="AR63" s="453"/>
      <c r="AS63" s="213" t="s">
        <v>842</v>
      </c>
      <c r="AT63" s="223">
        <v>1</v>
      </c>
      <c r="AU63" s="145">
        <v>1</v>
      </c>
      <c r="AV63" s="63">
        <v>0</v>
      </c>
      <c r="AW63" s="245" t="s">
        <v>856</v>
      </c>
      <c r="AX63" s="245" t="s">
        <v>856</v>
      </c>
      <c r="AY63" s="453"/>
      <c r="AZ63" s="231" t="s">
        <v>901</v>
      </c>
      <c r="BA63" s="191">
        <v>1</v>
      </c>
      <c r="BB63" s="80">
        <v>1</v>
      </c>
      <c r="BC63" s="63">
        <v>0</v>
      </c>
      <c r="BD63" s="563"/>
      <c r="BE63" s="563"/>
      <c r="BF63" s="453"/>
      <c r="BG63" s="182" t="s">
        <v>963</v>
      </c>
      <c r="BH63" s="193">
        <v>0.14000000000000001</v>
      </c>
      <c r="BI63" s="80">
        <v>0</v>
      </c>
      <c r="BJ63" s="83">
        <v>0</v>
      </c>
      <c r="BK63" s="89"/>
      <c r="BL63" s="599"/>
      <c r="BM63" s="562"/>
      <c r="BN63" s="182" t="s">
        <v>1035</v>
      </c>
      <c r="BO63" s="163">
        <v>0.16</v>
      </c>
      <c r="BP63" s="60">
        <v>0</v>
      </c>
      <c r="BQ63" s="63">
        <v>0</v>
      </c>
      <c r="BR63" s="411"/>
      <c r="BS63" s="406"/>
      <c r="BT63" s="453"/>
      <c r="BU63" s="182" t="s">
        <v>1036</v>
      </c>
      <c r="BV63" s="137">
        <v>0.18</v>
      </c>
      <c r="BW63" s="62">
        <v>0.79</v>
      </c>
      <c r="BX63" s="63">
        <v>1</v>
      </c>
      <c r="BY63" s="401"/>
      <c r="BZ63" s="406"/>
      <c r="CA63" s="407"/>
      <c r="CB63" s="96" t="s">
        <v>1021</v>
      </c>
      <c r="CC63" s="356" t="s">
        <v>1087</v>
      </c>
      <c r="CD63" s="98">
        <v>0.2</v>
      </c>
      <c r="CE63" s="62">
        <v>0.79</v>
      </c>
      <c r="CF63" s="63">
        <v>1</v>
      </c>
      <c r="CG63" s="401"/>
      <c r="CH63" s="406"/>
      <c r="CI63" s="407"/>
      <c r="CJ63" s="96" t="s">
        <v>1021</v>
      </c>
      <c r="CK63" s="356" t="s">
        <v>1136</v>
      </c>
      <c r="CL63" s="48" t="s">
        <v>180</v>
      </c>
      <c r="CM63" s="64">
        <v>0.3</v>
      </c>
      <c r="CN63" s="325">
        <v>1</v>
      </c>
    </row>
    <row r="64" spans="1:92" ht="148.5" customHeight="1" x14ac:dyDescent="0.25">
      <c r="A64" s="494"/>
      <c r="B64" s="384"/>
      <c r="C64" s="492"/>
      <c r="D64" s="744" t="s">
        <v>183</v>
      </c>
      <c r="E64" s="718" t="s">
        <v>184</v>
      </c>
      <c r="F64" s="733" t="s">
        <v>185</v>
      </c>
      <c r="G64" s="718" t="s">
        <v>186</v>
      </c>
      <c r="H64" s="135" t="s">
        <v>1022</v>
      </c>
      <c r="I64" s="733">
        <v>0</v>
      </c>
      <c r="J64" s="718">
        <v>8</v>
      </c>
      <c r="K64" s="60" t="s">
        <v>291</v>
      </c>
      <c r="L64" s="60" t="s">
        <v>323</v>
      </c>
      <c r="M64" s="60">
        <v>4301037</v>
      </c>
      <c r="N64" s="60" t="s">
        <v>324</v>
      </c>
      <c r="O64" s="60">
        <v>430103704</v>
      </c>
      <c r="P64" s="60" t="s">
        <v>325</v>
      </c>
      <c r="Q64" s="125">
        <v>8</v>
      </c>
      <c r="R64" s="104"/>
      <c r="S64" s="525"/>
      <c r="T64" s="525"/>
      <c r="U64" s="525"/>
      <c r="V64" s="525"/>
      <c r="W64" s="60" t="s">
        <v>271</v>
      </c>
      <c r="X64" s="514"/>
      <c r="Y64" s="104"/>
      <c r="Z64" s="102">
        <v>10</v>
      </c>
      <c r="AA64" s="63">
        <v>1</v>
      </c>
      <c r="AB64" s="51"/>
      <c r="AC64" s="69"/>
      <c r="AD64" s="60" t="s">
        <v>271</v>
      </c>
      <c r="AE64" s="520"/>
      <c r="AF64" s="271">
        <v>3</v>
      </c>
      <c r="AG64" s="134">
        <v>0</v>
      </c>
      <c r="AH64" s="63">
        <v>1</v>
      </c>
      <c r="AI64" s="74" t="s">
        <v>723</v>
      </c>
      <c r="AJ64" s="74" t="s">
        <v>724</v>
      </c>
      <c r="AK64" s="60" t="s">
        <v>271</v>
      </c>
      <c r="AL64" s="272" t="s">
        <v>764</v>
      </c>
      <c r="AM64" s="187">
        <v>3</v>
      </c>
      <c r="AN64" s="72">
        <v>3</v>
      </c>
      <c r="AO64" s="63">
        <v>1</v>
      </c>
      <c r="AP64" s="74">
        <v>15000000</v>
      </c>
      <c r="AQ64" s="74">
        <v>10800000</v>
      </c>
      <c r="AR64" s="60" t="s">
        <v>271</v>
      </c>
      <c r="AS64" s="213" t="s">
        <v>843</v>
      </c>
      <c r="AT64" s="223">
        <v>3</v>
      </c>
      <c r="AU64" s="145">
        <v>3</v>
      </c>
      <c r="AV64" s="63">
        <v>1</v>
      </c>
      <c r="AW64" s="245" t="s">
        <v>856</v>
      </c>
      <c r="AX64" s="245" t="s">
        <v>856</v>
      </c>
      <c r="AY64" s="60" t="s">
        <v>271</v>
      </c>
      <c r="AZ64" s="231" t="s">
        <v>902</v>
      </c>
      <c r="BA64" s="191">
        <v>1</v>
      </c>
      <c r="BB64" s="80">
        <v>3</v>
      </c>
      <c r="BC64" s="63">
        <v>1</v>
      </c>
      <c r="BD64" s="79">
        <v>573181075</v>
      </c>
      <c r="BE64" s="79">
        <v>209343900</v>
      </c>
      <c r="BF64" s="60" t="s">
        <v>271</v>
      </c>
      <c r="BG64" s="217" t="s">
        <v>964</v>
      </c>
      <c r="BH64" s="194">
        <v>6</v>
      </c>
      <c r="BI64" s="80">
        <v>3</v>
      </c>
      <c r="BJ64" s="83">
        <v>0.5</v>
      </c>
      <c r="BK64" s="93">
        <v>490000000</v>
      </c>
      <c r="BL64" s="93">
        <v>490000000</v>
      </c>
      <c r="BM64" s="80" t="s">
        <v>271</v>
      </c>
      <c r="BN64" s="182" t="s">
        <v>559</v>
      </c>
      <c r="BO64" s="166">
        <v>6</v>
      </c>
      <c r="BP64" s="60">
        <v>10</v>
      </c>
      <c r="BQ64" s="63">
        <v>1</v>
      </c>
      <c r="BR64" s="51">
        <v>130000000</v>
      </c>
      <c r="BS64" s="44" t="s">
        <v>635</v>
      </c>
      <c r="BT64" s="60" t="s">
        <v>271</v>
      </c>
      <c r="BU64" s="182" t="s">
        <v>636</v>
      </c>
      <c r="BV64" s="329">
        <v>7</v>
      </c>
      <c r="BW64" s="60">
        <v>7</v>
      </c>
      <c r="BX64" s="63">
        <v>1</v>
      </c>
      <c r="BY64" s="51">
        <f>9000000+43275000+
83000</f>
        <v>52358000</v>
      </c>
      <c r="BZ64" s="51">
        <f>9000000+43275000+
83000</f>
        <v>52358000</v>
      </c>
      <c r="CA64" s="63">
        <f>BZ64/BY64</f>
        <v>1</v>
      </c>
      <c r="CB64" s="96" t="s">
        <v>1022</v>
      </c>
      <c r="CC64" s="357" t="s">
        <v>1067</v>
      </c>
      <c r="CD64" s="364">
        <v>8</v>
      </c>
      <c r="CE64" s="60">
        <v>11</v>
      </c>
      <c r="CF64" s="63">
        <v>1</v>
      </c>
      <c r="CG64" s="51">
        <f>9000000+43275000+40000000+
83000+2850000</f>
        <v>95208000</v>
      </c>
      <c r="CH64" s="51">
        <f>9000000+43275000+40000000+2850000
+83000</f>
        <v>95208000</v>
      </c>
      <c r="CI64" s="63">
        <f>CH64/CG64</f>
        <v>1</v>
      </c>
      <c r="CJ64" s="96" t="s">
        <v>1022</v>
      </c>
      <c r="CK64" s="357" t="s">
        <v>1137</v>
      </c>
      <c r="CL64" s="48">
        <v>8</v>
      </c>
      <c r="CM64" s="60">
        <v>11</v>
      </c>
      <c r="CN64" s="63">
        <v>1</v>
      </c>
    </row>
    <row r="65" spans="1:92" ht="147" customHeight="1" x14ac:dyDescent="0.25">
      <c r="A65" s="494"/>
      <c r="B65" s="384"/>
      <c r="C65" s="492"/>
      <c r="D65" s="744" t="s">
        <v>187</v>
      </c>
      <c r="E65" s="718" t="s">
        <v>188</v>
      </c>
      <c r="F65" s="733" t="s">
        <v>448</v>
      </c>
      <c r="G65" s="733" t="s">
        <v>189</v>
      </c>
      <c r="H65" s="734" t="s">
        <v>1023</v>
      </c>
      <c r="I65" s="733" t="s">
        <v>169</v>
      </c>
      <c r="J65" s="718">
        <v>30</v>
      </c>
      <c r="K65" s="60" t="s">
        <v>295</v>
      </c>
      <c r="L65" s="60" t="s">
        <v>351</v>
      </c>
      <c r="M65" s="48">
        <v>3502046</v>
      </c>
      <c r="N65" s="48" t="s">
        <v>352</v>
      </c>
      <c r="O65" s="48">
        <v>350204600</v>
      </c>
      <c r="P65" s="48" t="s">
        <v>353</v>
      </c>
      <c r="Q65" s="125">
        <v>30</v>
      </c>
      <c r="R65" s="104"/>
      <c r="S65" s="525"/>
      <c r="T65" s="525"/>
      <c r="U65" s="525"/>
      <c r="V65" s="525"/>
      <c r="W65" s="60" t="s">
        <v>283</v>
      </c>
      <c r="X65" s="514"/>
      <c r="Y65" s="104">
        <v>1</v>
      </c>
      <c r="Z65" s="102">
        <v>1</v>
      </c>
      <c r="AA65" s="41">
        <f>Z65/Y65</f>
        <v>1</v>
      </c>
      <c r="AB65" s="58"/>
      <c r="AC65" s="58"/>
      <c r="AD65" s="60" t="s">
        <v>283</v>
      </c>
      <c r="AE65" s="520"/>
      <c r="AF65" s="292">
        <v>1</v>
      </c>
      <c r="AG65" s="293">
        <v>1</v>
      </c>
      <c r="AH65" s="41">
        <f>AG65/AF65</f>
        <v>1</v>
      </c>
      <c r="AI65" s="539" t="s">
        <v>725</v>
      </c>
      <c r="AJ65" s="539" t="s">
        <v>726</v>
      </c>
      <c r="AK65" s="60" t="s">
        <v>283</v>
      </c>
      <c r="AL65" s="542" t="s">
        <v>765</v>
      </c>
      <c r="AM65" s="292">
        <v>1</v>
      </c>
      <c r="AN65" s="293">
        <v>1</v>
      </c>
      <c r="AO65" s="41">
        <f>AN65/AM65</f>
        <v>1</v>
      </c>
      <c r="AP65" s="539" t="s">
        <v>809</v>
      </c>
      <c r="AQ65" s="539">
        <v>185210909</v>
      </c>
      <c r="AR65" s="60" t="s">
        <v>283</v>
      </c>
      <c r="AS65" s="542" t="s">
        <v>844</v>
      </c>
      <c r="AT65" s="294">
        <v>1</v>
      </c>
      <c r="AU65" s="295">
        <v>1</v>
      </c>
      <c r="AV65" s="41">
        <f>AU65/AT65</f>
        <v>1</v>
      </c>
      <c r="AW65" s="559" t="s">
        <v>856</v>
      </c>
      <c r="AX65" s="650" t="s">
        <v>856</v>
      </c>
      <c r="AY65" s="60" t="s">
        <v>283</v>
      </c>
      <c r="AZ65" s="661" t="s">
        <v>903</v>
      </c>
      <c r="BA65" s="218">
        <v>3</v>
      </c>
      <c r="BB65" s="151">
        <v>3</v>
      </c>
      <c r="BC65" s="41">
        <f>BB65/BA65</f>
        <v>1</v>
      </c>
      <c r="BD65" s="79">
        <v>119240000</v>
      </c>
      <c r="BE65" s="79">
        <v>95010000</v>
      </c>
      <c r="BF65" s="60" t="s">
        <v>283</v>
      </c>
      <c r="BG65" s="219" t="s">
        <v>965</v>
      </c>
      <c r="BH65" s="194">
        <v>2</v>
      </c>
      <c r="BI65" s="80">
        <v>0</v>
      </c>
      <c r="BJ65" s="94">
        <v>0</v>
      </c>
      <c r="BK65" s="141"/>
      <c r="BL65" s="79"/>
      <c r="BM65" s="80" t="s">
        <v>283</v>
      </c>
      <c r="BN65" s="195" t="s">
        <v>560</v>
      </c>
      <c r="BO65" s="111">
        <v>4</v>
      </c>
      <c r="BP65" s="48">
        <v>1</v>
      </c>
      <c r="BQ65" s="41">
        <f>BP65/BO65</f>
        <v>0.25</v>
      </c>
      <c r="BR65" s="58">
        <v>3000000</v>
      </c>
      <c r="BS65" s="58">
        <v>1000000</v>
      </c>
      <c r="BT65" s="60" t="s">
        <v>283</v>
      </c>
      <c r="BU65" s="180" t="s">
        <v>637</v>
      </c>
      <c r="BV65" s="296">
        <v>4</v>
      </c>
      <c r="BW65" s="48">
        <v>1</v>
      </c>
      <c r="BX65" s="41">
        <f>BW65/BV65</f>
        <v>0.25</v>
      </c>
      <c r="BY65" s="337">
        <v>3000000</v>
      </c>
      <c r="BZ65" s="337">
        <v>3000000</v>
      </c>
      <c r="CA65" s="41">
        <f>BZ65/BY65</f>
        <v>1</v>
      </c>
      <c r="CB65" s="72" t="s">
        <v>1023</v>
      </c>
      <c r="CC65" s="357" t="s">
        <v>1068</v>
      </c>
      <c r="CD65" s="339">
        <v>8</v>
      </c>
      <c r="CE65" s="48">
        <v>1</v>
      </c>
      <c r="CF65" s="41">
        <f>CE65/CD65</f>
        <v>0.125</v>
      </c>
      <c r="CG65" s="337">
        <v>3000000</v>
      </c>
      <c r="CH65" s="337">
        <v>1500000</v>
      </c>
      <c r="CI65" s="41">
        <f>CH65/CG65</f>
        <v>0.5</v>
      </c>
      <c r="CJ65" s="72" t="s">
        <v>1023</v>
      </c>
      <c r="CK65" s="357" t="s">
        <v>1106</v>
      </c>
      <c r="CL65" s="48">
        <v>30</v>
      </c>
      <c r="CM65" s="48">
        <v>9</v>
      </c>
      <c r="CN65" s="41">
        <v>0.3</v>
      </c>
    </row>
    <row r="66" spans="1:92" ht="77.25" customHeight="1" x14ac:dyDescent="0.25">
      <c r="A66" s="494"/>
      <c r="B66" s="384" t="s">
        <v>190</v>
      </c>
      <c r="C66" s="492" t="s">
        <v>191</v>
      </c>
      <c r="D66" s="741" t="s">
        <v>192</v>
      </c>
      <c r="E66" s="717" t="s">
        <v>193</v>
      </c>
      <c r="F66" s="717" t="s">
        <v>194</v>
      </c>
      <c r="G66" s="717" t="s">
        <v>195</v>
      </c>
      <c r="H66" s="724" t="s">
        <v>1024</v>
      </c>
      <c r="I66" s="735" t="s">
        <v>169</v>
      </c>
      <c r="J66" s="717" t="s">
        <v>196</v>
      </c>
      <c r="K66" s="453" t="s">
        <v>291</v>
      </c>
      <c r="L66" s="453" t="s">
        <v>354</v>
      </c>
      <c r="M66" s="384">
        <v>3301073</v>
      </c>
      <c r="N66" s="384" t="s">
        <v>355</v>
      </c>
      <c r="O66" s="384">
        <v>330107301</v>
      </c>
      <c r="P66" s="384" t="s">
        <v>356</v>
      </c>
      <c r="Q66" s="513" t="s">
        <v>196</v>
      </c>
      <c r="R66" s="527">
        <v>160</v>
      </c>
      <c r="S66" s="384">
        <v>118</v>
      </c>
      <c r="T66" s="397">
        <f>S66/R66</f>
        <v>0.73750000000000004</v>
      </c>
      <c r="U66" s="411" t="s">
        <v>471</v>
      </c>
      <c r="V66" s="411" t="s">
        <v>472</v>
      </c>
      <c r="W66" s="453" t="s">
        <v>272</v>
      </c>
      <c r="X66" s="518" t="s">
        <v>473</v>
      </c>
      <c r="Y66" s="527">
        <v>160</v>
      </c>
      <c r="Z66" s="384">
        <v>118</v>
      </c>
      <c r="AA66" s="397">
        <f>Z66/Y66</f>
        <v>0.73750000000000004</v>
      </c>
      <c r="AB66" s="411"/>
      <c r="AC66" s="411"/>
      <c r="AD66" s="453" t="s">
        <v>272</v>
      </c>
      <c r="AE66" s="518"/>
      <c r="AF66" s="551">
        <v>1</v>
      </c>
      <c r="AG66" s="390">
        <v>1</v>
      </c>
      <c r="AH66" s="397">
        <f>AF66/AG66</f>
        <v>1</v>
      </c>
      <c r="AI66" s="539"/>
      <c r="AJ66" s="539"/>
      <c r="AK66" s="453" t="s">
        <v>272</v>
      </c>
      <c r="AL66" s="542"/>
      <c r="AM66" s="551">
        <v>1</v>
      </c>
      <c r="AN66" s="390">
        <v>1</v>
      </c>
      <c r="AO66" s="397">
        <f>AM66/AN66</f>
        <v>1</v>
      </c>
      <c r="AP66" s="539"/>
      <c r="AQ66" s="539"/>
      <c r="AR66" s="453" t="s">
        <v>272</v>
      </c>
      <c r="AS66" s="542"/>
      <c r="AT66" s="652">
        <v>1</v>
      </c>
      <c r="AU66" s="654">
        <v>1</v>
      </c>
      <c r="AV66" s="397" t="e">
        <f>#REF!/#REF!</f>
        <v>#REF!</v>
      </c>
      <c r="AW66" s="559"/>
      <c r="AX66" s="650"/>
      <c r="AY66" s="453" t="s">
        <v>272</v>
      </c>
      <c r="AZ66" s="661"/>
      <c r="BA66" s="561">
        <v>21</v>
      </c>
      <c r="BB66" s="562">
        <v>21</v>
      </c>
      <c r="BC66" s="397">
        <f>BB66/BA66</f>
        <v>1</v>
      </c>
      <c r="BD66" s="563">
        <v>1502044165</v>
      </c>
      <c r="BE66" s="563">
        <v>1449671166</v>
      </c>
      <c r="BF66" s="453" t="s">
        <v>272</v>
      </c>
      <c r="BG66" s="573" t="s">
        <v>966</v>
      </c>
      <c r="BH66" s="612">
        <v>140</v>
      </c>
      <c r="BI66" s="562">
        <v>2</v>
      </c>
      <c r="BJ66" s="579">
        <f>(BI66/BH66)*1</f>
        <v>1.4285714285714285E-2</v>
      </c>
      <c r="BK66" s="563">
        <v>14044000</v>
      </c>
      <c r="BL66" s="563">
        <v>14044000</v>
      </c>
      <c r="BM66" s="562" t="s">
        <v>272</v>
      </c>
      <c r="BN66" s="594" t="s">
        <v>561</v>
      </c>
      <c r="BO66" s="527">
        <v>160</v>
      </c>
      <c r="BP66" s="384">
        <v>118</v>
      </c>
      <c r="BQ66" s="397">
        <f>BP66/BO66</f>
        <v>0.73750000000000004</v>
      </c>
      <c r="BR66" s="411" t="s">
        <v>638</v>
      </c>
      <c r="BS66" s="411" t="s">
        <v>472</v>
      </c>
      <c r="BT66" s="453" t="s">
        <v>272</v>
      </c>
      <c r="BU66" s="594" t="s">
        <v>639</v>
      </c>
      <c r="BV66" s="628">
        <v>160</v>
      </c>
      <c r="BW66" s="384">
        <v>118</v>
      </c>
      <c r="BX66" s="397">
        <f>BW66/BV66</f>
        <v>0.73750000000000004</v>
      </c>
      <c r="BY66" s="411">
        <v>40000000</v>
      </c>
      <c r="BZ66" s="411">
        <f>34620000+8655000+8655000</f>
        <v>51930000</v>
      </c>
      <c r="CA66" s="402">
        <v>1</v>
      </c>
      <c r="CB66" s="390" t="s">
        <v>1024</v>
      </c>
      <c r="CC66" s="393" t="s">
        <v>1098</v>
      </c>
      <c r="CD66" s="408">
        <v>200</v>
      </c>
      <c r="CE66" s="410">
        <v>0</v>
      </c>
      <c r="CF66" s="397">
        <f>CE66/CD66</f>
        <v>0</v>
      </c>
      <c r="CG66" s="411">
        <f>40000000+3000000</f>
        <v>43000000</v>
      </c>
      <c r="CH66" s="411">
        <f>34620000+8655000+8655000+3000000</f>
        <v>54930000</v>
      </c>
      <c r="CI66" s="402">
        <v>1</v>
      </c>
      <c r="CJ66" s="390" t="s">
        <v>1024</v>
      </c>
      <c r="CK66" s="393" t="s">
        <v>1138</v>
      </c>
      <c r="CL66" s="384">
        <v>200</v>
      </c>
      <c r="CM66" s="678">
        <v>118</v>
      </c>
      <c r="CN66" s="460">
        <f>CM66/CL66</f>
        <v>0.59</v>
      </c>
    </row>
    <row r="67" spans="1:92" ht="54" customHeight="1" x14ac:dyDescent="0.25">
      <c r="A67" s="494"/>
      <c r="B67" s="384"/>
      <c r="C67" s="492"/>
      <c r="D67" s="741"/>
      <c r="E67" s="717"/>
      <c r="F67" s="717"/>
      <c r="G67" s="717"/>
      <c r="H67" s="725"/>
      <c r="I67" s="735"/>
      <c r="J67" s="717"/>
      <c r="K67" s="453"/>
      <c r="L67" s="453"/>
      <c r="M67" s="384"/>
      <c r="N67" s="384"/>
      <c r="O67" s="384"/>
      <c r="P67" s="384"/>
      <c r="Q67" s="513"/>
      <c r="R67" s="528"/>
      <c r="S67" s="384"/>
      <c r="T67" s="397"/>
      <c r="U67" s="411"/>
      <c r="V67" s="411"/>
      <c r="W67" s="453"/>
      <c r="X67" s="519"/>
      <c r="Y67" s="528"/>
      <c r="Z67" s="384"/>
      <c r="AA67" s="397"/>
      <c r="AB67" s="411"/>
      <c r="AC67" s="411"/>
      <c r="AD67" s="453"/>
      <c r="AE67" s="519"/>
      <c r="AF67" s="552"/>
      <c r="AG67" s="412"/>
      <c r="AH67" s="397"/>
      <c r="AI67" s="539"/>
      <c r="AJ67" s="539"/>
      <c r="AK67" s="453"/>
      <c r="AL67" s="542"/>
      <c r="AM67" s="552"/>
      <c r="AN67" s="412"/>
      <c r="AO67" s="397"/>
      <c r="AP67" s="539"/>
      <c r="AQ67" s="539"/>
      <c r="AR67" s="453"/>
      <c r="AS67" s="542"/>
      <c r="AT67" s="653"/>
      <c r="AU67" s="655"/>
      <c r="AV67" s="397"/>
      <c r="AW67" s="558" t="s">
        <v>856</v>
      </c>
      <c r="AX67" s="558" t="s">
        <v>856</v>
      </c>
      <c r="AY67" s="453"/>
      <c r="AZ67" s="657" t="s">
        <v>904</v>
      </c>
      <c r="BA67" s="561"/>
      <c r="BB67" s="562"/>
      <c r="BC67" s="397"/>
      <c r="BD67" s="563"/>
      <c r="BE67" s="563"/>
      <c r="BF67" s="453"/>
      <c r="BG67" s="573"/>
      <c r="BH67" s="612"/>
      <c r="BI67" s="562"/>
      <c r="BJ67" s="579"/>
      <c r="BK67" s="563"/>
      <c r="BL67" s="563"/>
      <c r="BM67" s="562"/>
      <c r="BN67" s="594"/>
      <c r="BO67" s="528"/>
      <c r="BP67" s="384"/>
      <c r="BQ67" s="397"/>
      <c r="BR67" s="411"/>
      <c r="BS67" s="411"/>
      <c r="BT67" s="453"/>
      <c r="BU67" s="633"/>
      <c r="BV67" s="629"/>
      <c r="BW67" s="384"/>
      <c r="BX67" s="397"/>
      <c r="BY67" s="411"/>
      <c r="BZ67" s="411"/>
      <c r="CA67" s="407"/>
      <c r="CB67" s="412"/>
      <c r="CC67" s="394"/>
      <c r="CD67" s="409"/>
      <c r="CE67" s="410"/>
      <c r="CF67" s="397"/>
      <c r="CG67" s="411"/>
      <c r="CH67" s="411"/>
      <c r="CI67" s="407"/>
      <c r="CJ67" s="412"/>
      <c r="CK67" s="394"/>
      <c r="CL67" s="384"/>
      <c r="CM67" s="679"/>
      <c r="CN67" s="462"/>
    </row>
    <row r="68" spans="1:92" ht="112.5" customHeight="1" x14ac:dyDescent="0.25">
      <c r="A68" s="494"/>
      <c r="B68" s="384"/>
      <c r="C68" s="492"/>
      <c r="D68" s="741" t="s">
        <v>197</v>
      </c>
      <c r="E68" s="717" t="s">
        <v>198</v>
      </c>
      <c r="F68" s="718" t="s">
        <v>199</v>
      </c>
      <c r="G68" s="718" t="s">
        <v>195</v>
      </c>
      <c r="H68" s="135" t="s">
        <v>1024</v>
      </c>
      <c r="I68" s="733" t="s">
        <v>169</v>
      </c>
      <c r="J68" s="718" t="s">
        <v>196</v>
      </c>
      <c r="K68" s="453" t="s">
        <v>291</v>
      </c>
      <c r="L68" s="453" t="s">
        <v>354</v>
      </c>
      <c r="M68" s="384">
        <v>3301052</v>
      </c>
      <c r="N68" s="384" t="s">
        <v>357</v>
      </c>
      <c r="O68" s="384">
        <v>330105203</v>
      </c>
      <c r="P68" s="384" t="s">
        <v>358</v>
      </c>
      <c r="Q68" s="125" t="s">
        <v>196</v>
      </c>
      <c r="R68" s="109">
        <v>160</v>
      </c>
      <c r="S68" s="48">
        <v>92</v>
      </c>
      <c r="T68" s="41">
        <f>S68/R68</f>
        <v>0.57499999999999996</v>
      </c>
      <c r="U68" s="58" t="s">
        <v>474</v>
      </c>
      <c r="V68" s="58" t="s">
        <v>475</v>
      </c>
      <c r="W68" s="453"/>
      <c r="X68" s="518" t="s">
        <v>476</v>
      </c>
      <c r="Y68" s="109">
        <v>160</v>
      </c>
      <c r="Z68" s="48">
        <v>92</v>
      </c>
      <c r="AA68" s="41">
        <f>Z68/Y68</f>
        <v>0.57499999999999996</v>
      </c>
      <c r="AB68" s="58"/>
      <c r="AC68" s="58"/>
      <c r="AD68" s="453"/>
      <c r="AE68" s="519"/>
      <c r="AF68" s="235">
        <v>1</v>
      </c>
      <c r="AG68" s="96">
        <v>1</v>
      </c>
      <c r="AH68" s="41">
        <f>AG68/AF68</f>
        <v>1</v>
      </c>
      <c r="AI68" s="539"/>
      <c r="AJ68" s="539"/>
      <c r="AK68" s="453"/>
      <c r="AL68" s="542"/>
      <c r="AM68" s="235">
        <v>1</v>
      </c>
      <c r="AN68" s="96">
        <v>1</v>
      </c>
      <c r="AO68" s="41">
        <f>AN68/AM68</f>
        <v>1</v>
      </c>
      <c r="AP68" s="539"/>
      <c r="AQ68" s="539"/>
      <c r="AR68" s="453"/>
      <c r="AS68" s="542"/>
      <c r="AT68" s="223">
        <v>1</v>
      </c>
      <c r="AU68" s="145">
        <v>1</v>
      </c>
      <c r="AV68" s="41">
        <f>AU68/AT68</f>
        <v>1</v>
      </c>
      <c r="AW68" s="558"/>
      <c r="AX68" s="558"/>
      <c r="AY68" s="453"/>
      <c r="AZ68" s="657"/>
      <c r="BA68" s="191">
        <v>34</v>
      </c>
      <c r="BB68" s="80">
        <v>55</v>
      </c>
      <c r="BC68" s="41">
        <f>BB68/(2*BA68)</f>
        <v>0.80882352941176472</v>
      </c>
      <c r="BD68" s="563"/>
      <c r="BE68" s="563"/>
      <c r="BF68" s="453"/>
      <c r="BG68" s="573"/>
      <c r="BH68" s="203">
        <v>140</v>
      </c>
      <c r="BI68" s="80">
        <v>54</v>
      </c>
      <c r="BJ68" s="83">
        <f>(BI68/BH68)*1</f>
        <v>0.38571428571428573</v>
      </c>
      <c r="BK68" s="79">
        <v>139800000</v>
      </c>
      <c r="BL68" s="79">
        <v>139700000</v>
      </c>
      <c r="BM68" s="562"/>
      <c r="BN68" s="183" t="s">
        <v>562</v>
      </c>
      <c r="BO68" s="109">
        <v>160</v>
      </c>
      <c r="BP68" s="48">
        <v>92</v>
      </c>
      <c r="BQ68" s="41">
        <f>BP68/BO68</f>
        <v>0.57499999999999996</v>
      </c>
      <c r="BR68" s="58" t="s">
        <v>640</v>
      </c>
      <c r="BS68" s="58" t="s">
        <v>475</v>
      </c>
      <c r="BT68" s="453"/>
      <c r="BU68" s="183" t="s">
        <v>641</v>
      </c>
      <c r="BV68" s="72">
        <v>180</v>
      </c>
      <c r="BW68" s="48">
        <v>92</v>
      </c>
      <c r="BX68" s="41">
        <f>BW68/BV68</f>
        <v>0.51111111111111107</v>
      </c>
      <c r="BY68" s="338">
        <v>918000000</v>
      </c>
      <c r="BZ68" s="58">
        <f>23000000+148497504</f>
        <v>171497504</v>
      </c>
      <c r="CA68" s="309">
        <f>BZ68/BY68</f>
        <v>0.18681645315904138</v>
      </c>
      <c r="CB68" s="96" t="s">
        <v>1024</v>
      </c>
      <c r="CC68" s="349" t="s">
        <v>1099</v>
      </c>
      <c r="CD68" s="339">
        <v>200</v>
      </c>
      <c r="CE68" s="376">
        <v>0</v>
      </c>
      <c r="CF68" s="41">
        <f>CE68/CD68</f>
        <v>0</v>
      </c>
      <c r="CG68" s="338">
        <f>918000000+1516035847</f>
        <v>2434035847</v>
      </c>
      <c r="CH68" s="58">
        <f>23000000+148497504</f>
        <v>171497504</v>
      </c>
      <c r="CI68" s="309">
        <f>CH68/CG68</f>
        <v>7.0458084753096076E-2</v>
      </c>
      <c r="CJ68" s="96" t="s">
        <v>1024</v>
      </c>
      <c r="CK68" s="349" t="s">
        <v>1139</v>
      </c>
      <c r="CL68" s="48">
        <v>200</v>
      </c>
      <c r="CM68" s="378">
        <v>92</v>
      </c>
      <c r="CN68" s="309">
        <f>CM68/CL68</f>
        <v>0.46</v>
      </c>
    </row>
    <row r="69" spans="1:92" ht="65.25" customHeight="1" x14ac:dyDescent="0.25">
      <c r="A69" s="494"/>
      <c r="B69" s="384"/>
      <c r="C69" s="492"/>
      <c r="D69" s="741"/>
      <c r="E69" s="717"/>
      <c r="F69" s="718" t="s">
        <v>200</v>
      </c>
      <c r="G69" s="718" t="s">
        <v>195</v>
      </c>
      <c r="H69" s="135" t="s">
        <v>1024</v>
      </c>
      <c r="I69" s="733" t="s">
        <v>169</v>
      </c>
      <c r="J69" s="718" t="s">
        <v>196</v>
      </c>
      <c r="K69" s="453"/>
      <c r="L69" s="453"/>
      <c r="M69" s="384"/>
      <c r="N69" s="384"/>
      <c r="O69" s="384"/>
      <c r="P69" s="384"/>
      <c r="Q69" s="125" t="s">
        <v>196</v>
      </c>
      <c r="R69" s="110">
        <v>160</v>
      </c>
      <c r="S69" s="56">
        <v>93</v>
      </c>
      <c r="T69" s="41">
        <f>S69/R69</f>
        <v>0.58125000000000004</v>
      </c>
      <c r="U69" s="54"/>
      <c r="V69" s="54"/>
      <c r="W69" s="453"/>
      <c r="X69" s="519"/>
      <c r="Y69" s="110">
        <v>160</v>
      </c>
      <c r="Z69" s="56">
        <v>93</v>
      </c>
      <c r="AA69" s="41">
        <f>Z69/Y69</f>
        <v>0.58125000000000004</v>
      </c>
      <c r="AB69" s="54"/>
      <c r="AC69" s="54"/>
      <c r="AD69" s="453"/>
      <c r="AE69" s="519"/>
      <c r="AF69" s="235">
        <v>3</v>
      </c>
      <c r="AG69" s="96">
        <v>3</v>
      </c>
      <c r="AH69" s="41">
        <f>AG69/AF69</f>
        <v>1</v>
      </c>
      <c r="AI69" s="539"/>
      <c r="AJ69" s="539"/>
      <c r="AK69" s="453"/>
      <c r="AL69" s="268" t="s">
        <v>766</v>
      </c>
      <c r="AM69" s="187">
        <v>3</v>
      </c>
      <c r="AN69" s="72">
        <v>3</v>
      </c>
      <c r="AO69" s="41">
        <f>AN69/AM69</f>
        <v>1</v>
      </c>
      <c r="AP69" s="539"/>
      <c r="AQ69" s="539"/>
      <c r="AR69" s="453"/>
      <c r="AS69" s="542"/>
      <c r="AT69" s="223">
        <v>3</v>
      </c>
      <c r="AU69" s="145">
        <v>3</v>
      </c>
      <c r="AV69" s="41">
        <f>AU69/AT69</f>
        <v>1</v>
      </c>
      <c r="AW69" s="245" t="s">
        <v>856</v>
      </c>
      <c r="AX69" s="245" t="s">
        <v>856</v>
      </c>
      <c r="AY69" s="453"/>
      <c r="AZ69" s="231" t="s">
        <v>905</v>
      </c>
      <c r="BA69" s="191">
        <v>34</v>
      </c>
      <c r="BB69" s="80">
        <v>55</v>
      </c>
      <c r="BC69" s="41">
        <f>BB69/(2*BA69)</f>
        <v>0.80882352941176472</v>
      </c>
      <c r="BD69" s="563"/>
      <c r="BE69" s="563"/>
      <c r="BF69" s="453"/>
      <c r="BG69" s="573"/>
      <c r="BH69" s="193">
        <v>1.4</v>
      </c>
      <c r="BI69" s="85">
        <v>0</v>
      </c>
      <c r="BJ69" s="83">
        <f>(BI69/BH69)*1</f>
        <v>0</v>
      </c>
      <c r="BK69" s="92"/>
      <c r="BL69" s="92"/>
      <c r="BM69" s="562"/>
      <c r="BN69" s="183" t="s">
        <v>563</v>
      </c>
      <c r="BO69" s="110">
        <v>160</v>
      </c>
      <c r="BP69" s="56">
        <v>93</v>
      </c>
      <c r="BQ69" s="41">
        <f>BP69/BO69</f>
        <v>0.58125000000000004</v>
      </c>
      <c r="BR69" s="54"/>
      <c r="BS69" s="54"/>
      <c r="BT69" s="453"/>
      <c r="BU69" s="184" t="s">
        <v>642</v>
      </c>
      <c r="BV69" s="72">
        <v>160</v>
      </c>
      <c r="BW69" s="56">
        <v>93</v>
      </c>
      <c r="BX69" s="41">
        <f>BW69/BV69</f>
        <v>0.58125000000000004</v>
      </c>
      <c r="BY69" s="58">
        <v>918000000</v>
      </c>
      <c r="BZ69" s="58">
        <f>23000000+148497504</f>
        <v>171497504</v>
      </c>
      <c r="CA69" s="309">
        <f>BZ69/BY69</f>
        <v>0.18681645315904138</v>
      </c>
      <c r="CB69" s="96" t="s">
        <v>1024</v>
      </c>
      <c r="CC69" s="82" t="s">
        <v>1069</v>
      </c>
      <c r="CD69" s="339">
        <v>200</v>
      </c>
      <c r="CE69" s="377">
        <v>0</v>
      </c>
      <c r="CF69" s="41">
        <f>CE69/CD69</f>
        <v>0</v>
      </c>
      <c r="CG69" s="58">
        <f>918000000+600000</f>
        <v>918600000</v>
      </c>
      <c r="CH69" s="58">
        <f>23000000+148497504+600000</f>
        <v>172097504</v>
      </c>
      <c r="CI69" s="309">
        <f>CH69/CG69</f>
        <v>0.18734759851948618</v>
      </c>
      <c r="CJ69" s="96" t="s">
        <v>1024</v>
      </c>
      <c r="CK69" s="82" t="s">
        <v>1140</v>
      </c>
      <c r="CL69" s="48">
        <v>200</v>
      </c>
      <c r="CM69" s="56">
        <v>93</v>
      </c>
      <c r="CN69" s="309">
        <f t="shared" ref="CN69" si="9">CM69/CL69</f>
        <v>0.46500000000000002</v>
      </c>
    </row>
    <row r="70" spans="1:92" ht="54" customHeight="1" thickBot="1" x14ac:dyDescent="0.3">
      <c r="A70" s="494"/>
      <c r="B70" s="384"/>
      <c r="C70" s="492"/>
      <c r="D70" s="744" t="s">
        <v>201</v>
      </c>
      <c r="E70" s="718" t="s">
        <v>202</v>
      </c>
      <c r="F70" s="718" t="s">
        <v>449</v>
      </c>
      <c r="G70" s="718" t="s">
        <v>195</v>
      </c>
      <c r="H70" s="736" t="s">
        <v>1024</v>
      </c>
      <c r="I70" s="733">
        <v>6</v>
      </c>
      <c r="J70" s="718">
        <v>60</v>
      </c>
      <c r="K70" s="453"/>
      <c r="L70" s="453"/>
      <c r="M70" s="384"/>
      <c r="N70" s="384"/>
      <c r="O70" s="384"/>
      <c r="P70" s="384"/>
      <c r="Q70" s="125">
        <v>60</v>
      </c>
      <c r="R70" s="111">
        <v>48</v>
      </c>
      <c r="S70" s="48">
        <v>1</v>
      </c>
      <c r="T70" s="41">
        <v>0.5</v>
      </c>
      <c r="U70" s="58" t="s">
        <v>477</v>
      </c>
      <c r="V70" s="58" t="s">
        <v>478</v>
      </c>
      <c r="W70" s="453"/>
      <c r="X70" s="263" t="s">
        <v>488</v>
      </c>
      <c r="Y70" s="111">
        <v>48</v>
      </c>
      <c r="Z70" s="48">
        <v>1</v>
      </c>
      <c r="AA70" s="41">
        <v>0.5</v>
      </c>
      <c r="AB70" s="58"/>
      <c r="AC70" s="58"/>
      <c r="AD70" s="453"/>
      <c r="AE70" s="162"/>
      <c r="AF70" s="531">
        <v>0.8</v>
      </c>
      <c r="AG70" s="541">
        <v>0.8</v>
      </c>
      <c r="AH70" s="41">
        <v>0.5</v>
      </c>
      <c r="AI70" s="539" t="s">
        <v>694</v>
      </c>
      <c r="AJ70" s="539" t="s">
        <v>695</v>
      </c>
      <c r="AK70" s="453"/>
      <c r="AL70" s="542" t="s">
        <v>767</v>
      </c>
      <c r="AM70" s="543">
        <v>0.9</v>
      </c>
      <c r="AN70" s="547">
        <v>1</v>
      </c>
      <c r="AO70" s="41">
        <v>0.5</v>
      </c>
      <c r="AP70" s="540" t="s">
        <v>780</v>
      </c>
      <c r="AQ70" s="540" t="s">
        <v>781</v>
      </c>
      <c r="AR70" s="453"/>
      <c r="AS70" s="538" t="s">
        <v>845</v>
      </c>
      <c r="AT70" s="553">
        <v>1</v>
      </c>
      <c r="AU70" s="555">
        <v>1</v>
      </c>
      <c r="AV70" s="41">
        <v>0.5</v>
      </c>
      <c r="AW70" s="651">
        <v>25000000</v>
      </c>
      <c r="AX70" s="651">
        <v>23933333</v>
      </c>
      <c r="AY70" s="453"/>
      <c r="AZ70" s="658" t="s">
        <v>906</v>
      </c>
      <c r="BA70" s="191">
        <v>30</v>
      </c>
      <c r="BB70" s="80">
        <v>29</v>
      </c>
      <c r="BC70" s="41">
        <v>0.5</v>
      </c>
      <c r="BD70" s="563"/>
      <c r="BE70" s="563"/>
      <c r="BF70" s="453"/>
      <c r="BG70" s="573"/>
      <c r="BH70" s="194">
        <v>42</v>
      </c>
      <c r="BI70" s="80">
        <v>1</v>
      </c>
      <c r="BJ70" s="83">
        <f>(BI70/BH70)*1</f>
        <v>2.3809523809523808E-2</v>
      </c>
      <c r="BK70" s="79">
        <v>12000000</v>
      </c>
      <c r="BL70" s="79">
        <v>12000000</v>
      </c>
      <c r="BM70" s="562"/>
      <c r="BN70" s="183" t="s">
        <v>564</v>
      </c>
      <c r="BO70" s="111">
        <v>48</v>
      </c>
      <c r="BP70" s="48">
        <v>1</v>
      </c>
      <c r="BQ70" s="41">
        <v>0.5</v>
      </c>
      <c r="BR70" s="58" t="s">
        <v>643</v>
      </c>
      <c r="BS70" s="58" t="s">
        <v>478</v>
      </c>
      <c r="BT70" s="453"/>
      <c r="BU70" s="185" t="s">
        <v>644</v>
      </c>
      <c r="BV70" s="72">
        <v>54</v>
      </c>
      <c r="BW70" s="48">
        <v>1</v>
      </c>
      <c r="BX70" s="41">
        <v>1.7999999999999999E-2</v>
      </c>
      <c r="BY70" s="58">
        <f>17100000+11400000+5700000</f>
        <v>34200000</v>
      </c>
      <c r="BZ70" s="58">
        <f>17100000+11400000+5700000</f>
        <v>34200000</v>
      </c>
      <c r="CA70" s="41">
        <f>BZ70/BY70</f>
        <v>1</v>
      </c>
      <c r="CB70" s="320" t="s">
        <v>1024</v>
      </c>
      <c r="CC70" s="350" t="s">
        <v>1070</v>
      </c>
      <c r="CD70" s="72">
        <v>60</v>
      </c>
      <c r="CE70" s="376">
        <v>0</v>
      </c>
      <c r="CF70" s="41">
        <v>0</v>
      </c>
      <c r="CG70" s="58">
        <f>17100000+11400000+5700000+7000000</f>
        <v>41200000</v>
      </c>
      <c r="CH70" s="58">
        <f>17100000+11400000+5700000+7000000</f>
        <v>41200000</v>
      </c>
      <c r="CI70" s="41">
        <f>CH70/CG70</f>
        <v>1</v>
      </c>
      <c r="CJ70" s="320" t="s">
        <v>1024</v>
      </c>
      <c r="CK70" s="350" t="s">
        <v>1141</v>
      </c>
      <c r="CL70" s="60">
        <v>60</v>
      </c>
      <c r="CM70" s="60">
        <v>34</v>
      </c>
      <c r="CN70" s="309">
        <f>CM70/CL70</f>
        <v>0.56666666666666665</v>
      </c>
    </row>
    <row r="71" spans="1:92" ht="18.75" customHeight="1" x14ac:dyDescent="0.25">
      <c r="A71" s="501" t="s">
        <v>203</v>
      </c>
      <c r="B71" s="485" t="s">
        <v>204</v>
      </c>
      <c r="C71" s="487" t="s">
        <v>205</v>
      </c>
      <c r="D71" s="741" t="s">
        <v>206</v>
      </c>
      <c r="E71" s="717" t="s">
        <v>207</v>
      </c>
      <c r="F71" s="717" t="s">
        <v>208</v>
      </c>
      <c r="G71" s="717" t="s">
        <v>209</v>
      </c>
      <c r="H71" s="737" t="s">
        <v>1025</v>
      </c>
      <c r="I71" s="735">
        <v>0</v>
      </c>
      <c r="J71" s="717">
        <v>100</v>
      </c>
      <c r="K71" s="453" t="s">
        <v>291</v>
      </c>
      <c r="L71" s="453" t="s">
        <v>292</v>
      </c>
      <c r="M71" s="453" t="s">
        <v>293</v>
      </c>
      <c r="N71" s="453" t="s">
        <v>423</v>
      </c>
      <c r="O71" s="453" t="s">
        <v>293</v>
      </c>
      <c r="P71" s="453" t="s">
        <v>400</v>
      </c>
      <c r="Q71" s="523">
        <v>1</v>
      </c>
      <c r="R71" s="526">
        <v>0.5</v>
      </c>
      <c r="S71" s="416">
        <v>0.5</v>
      </c>
      <c r="T71" s="397">
        <v>1</v>
      </c>
      <c r="U71" s="411">
        <v>11540000</v>
      </c>
      <c r="V71" s="411">
        <v>0</v>
      </c>
      <c r="W71" s="384" t="s">
        <v>255</v>
      </c>
      <c r="X71" s="517" t="s">
        <v>479</v>
      </c>
      <c r="Y71" s="526">
        <v>0.5</v>
      </c>
      <c r="Z71" s="416">
        <v>0.5</v>
      </c>
      <c r="AA71" s="397">
        <v>1</v>
      </c>
      <c r="AB71" s="411"/>
      <c r="AC71" s="411"/>
      <c r="AD71" s="384" t="s">
        <v>255</v>
      </c>
      <c r="AE71" s="517"/>
      <c r="AF71" s="531"/>
      <c r="AG71" s="541"/>
      <c r="AH71" s="397">
        <v>1</v>
      </c>
      <c r="AI71" s="539"/>
      <c r="AJ71" s="539"/>
      <c r="AK71" s="384" t="s">
        <v>255</v>
      </c>
      <c r="AL71" s="542"/>
      <c r="AM71" s="543"/>
      <c r="AN71" s="547"/>
      <c r="AO71" s="397">
        <v>1</v>
      </c>
      <c r="AP71" s="540"/>
      <c r="AQ71" s="540"/>
      <c r="AR71" s="384" t="s">
        <v>255</v>
      </c>
      <c r="AS71" s="538"/>
      <c r="AT71" s="554"/>
      <c r="AU71" s="556"/>
      <c r="AV71" s="397">
        <v>1</v>
      </c>
      <c r="AW71" s="556"/>
      <c r="AX71" s="556"/>
      <c r="AY71" s="384" t="s">
        <v>255</v>
      </c>
      <c r="AZ71" s="658"/>
      <c r="BA71" s="570">
        <v>1</v>
      </c>
      <c r="BB71" s="571">
        <v>0.9</v>
      </c>
      <c r="BC71" s="397">
        <v>1</v>
      </c>
      <c r="BD71" s="563">
        <v>32000000</v>
      </c>
      <c r="BE71" s="563">
        <v>31440300</v>
      </c>
      <c r="BF71" s="384" t="s">
        <v>255</v>
      </c>
      <c r="BG71" s="568" t="s">
        <v>967</v>
      </c>
      <c r="BH71" s="531">
        <v>0.5</v>
      </c>
      <c r="BI71" s="541">
        <v>0</v>
      </c>
      <c r="BJ71" s="596">
        <v>0</v>
      </c>
      <c r="BK71" s="539"/>
      <c r="BL71" s="539"/>
      <c r="BM71" s="480" t="s">
        <v>255</v>
      </c>
      <c r="BN71" s="584" t="s">
        <v>565</v>
      </c>
      <c r="BO71" s="526">
        <v>0.5</v>
      </c>
      <c r="BP71" s="416">
        <v>0.5</v>
      </c>
      <c r="BQ71" s="397">
        <v>1</v>
      </c>
      <c r="BR71" s="411">
        <v>11540000</v>
      </c>
      <c r="BS71" s="411">
        <v>0</v>
      </c>
      <c r="BT71" s="384" t="s">
        <v>255</v>
      </c>
      <c r="BU71" s="517" t="s">
        <v>645</v>
      </c>
      <c r="BV71" s="413">
        <v>0.5</v>
      </c>
      <c r="BW71" s="416">
        <v>0.5</v>
      </c>
      <c r="BX71" s="397">
        <v>1</v>
      </c>
      <c r="BY71" s="411">
        <v>271452800</v>
      </c>
      <c r="BZ71" s="411">
        <v>223685832</v>
      </c>
      <c r="CA71" s="402">
        <f>BZ71/BY71</f>
        <v>0.82403214113098111</v>
      </c>
      <c r="CB71" s="418" t="s">
        <v>1025</v>
      </c>
      <c r="CC71" s="394" t="s">
        <v>1071</v>
      </c>
      <c r="CD71" s="413">
        <v>0.5</v>
      </c>
      <c r="CE71" s="416">
        <v>0.5</v>
      </c>
      <c r="CF71" s="397">
        <v>1</v>
      </c>
      <c r="CG71" s="411">
        <v>271452800</v>
      </c>
      <c r="CH71" s="411">
        <v>223685832</v>
      </c>
      <c r="CI71" s="402">
        <f>CH71/CG71</f>
        <v>0.82403214113098111</v>
      </c>
      <c r="CJ71" s="418" t="s">
        <v>1025</v>
      </c>
      <c r="CK71" s="394" t="s">
        <v>1071</v>
      </c>
      <c r="CL71" s="416">
        <v>1</v>
      </c>
      <c r="CM71" s="680">
        <v>0.5</v>
      </c>
      <c r="CN71" s="478">
        <f>CM71/CL71</f>
        <v>0.5</v>
      </c>
    </row>
    <row r="72" spans="1:92" ht="57.75" customHeight="1" x14ac:dyDescent="0.25">
      <c r="A72" s="496"/>
      <c r="B72" s="485"/>
      <c r="C72" s="487"/>
      <c r="D72" s="741"/>
      <c r="E72" s="717"/>
      <c r="F72" s="717"/>
      <c r="G72" s="717"/>
      <c r="H72" s="727"/>
      <c r="I72" s="735"/>
      <c r="J72" s="717"/>
      <c r="K72" s="453"/>
      <c r="L72" s="453"/>
      <c r="M72" s="453"/>
      <c r="N72" s="453"/>
      <c r="O72" s="453"/>
      <c r="P72" s="453"/>
      <c r="Q72" s="513"/>
      <c r="R72" s="526"/>
      <c r="S72" s="416"/>
      <c r="T72" s="397"/>
      <c r="U72" s="411"/>
      <c r="V72" s="411"/>
      <c r="W72" s="384"/>
      <c r="X72" s="517"/>
      <c r="Y72" s="526"/>
      <c r="Z72" s="416"/>
      <c r="AA72" s="397"/>
      <c r="AB72" s="411"/>
      <c r="AC72" s="411"/>
      <c r="AD72" s="384"/>
      <c r="AE72" s="517"/>
      <c r="AF72" s="531"/>
      <c r="AG72" s="541"/>
      <c r="AH72" s="397"/>
      <c r="AI72" s="539"/>
      <c r="AJ72" s="539"/>
      <c r="AK72" s="384"/>
      <c r="AL72" s="542"/>
      <c r="AM72" s="543"/>
      <c r="AN72" s="547"/>
      <c r="AO72" s="397"/>
      <c r="AP72" s="540"/>
      <c r="AQ72" s="540"/>
      <c r="AR72" s="384"/>
      <c r="AS72" s="538"/>
      <c r="AT72" s="554"/>
      <c r="AU72" s="556"/>
      <c r="AV72" s="397"/>
      <c r="AW72" s="556"/>
      <c r="AX72" s="556"/>
      <c r="AY72" s="384"/>
      <c r="AZ72" s="658"/>
      <c r="BA72" s="570"/>
      <c r="BB72" s="562"/>
      <c r="BC72" s="397"/>
      <c r="BD72" s="563"/>
      <c r="BE72" s="563"/>
      <c r="BF72" s="384"/>
      <c r="BG72" s="568"/>
      <c r="BH72" s="531"/>
      <c r="BI72" s="541"/>
      <c r="BJ72" s="596"/>
      <c r="BK72" s="539"/>
      <c r="BL72" s="539"/>
      <c r="BM72" s="480"/>
      <c r="BN72" s="584"/>
      <c r="BO72" s="526"/>
      <c r="BP72" s="416"/>
      <c r="BQ72" s="397"/>
      <c r="BR72" s="411"/>
      <c r="BS72" s="411"/>
      <c r="BT72" s="384"/>
      <c r="BU72" s="517"/>
      <c r="BV72" s="414"/>
      <c r="BW72" s="416"/>
      <c r="BX72" s="397"/>
      <c r="BY72" s="411"/>
      <c r="BZ72" s="411"/>
      <c r="CA72" s="417"/>
      <c r="CB72" s="391"/>
      <c r="CC72" s="394"/>
      <c r="CD72" s="414"/>
      <c r="CE72" s="416"/>
      <c r="CF72" s="397"/>
      <c r="CG72" s="411"/>
      <c r="CH72" s="411"/>
      <c r="CI72" s="417"/>
      <c r="CJ72" s="391"/>
      <c r="CK72" s="394"/>
      <c r="CL72" s="384"/>
      <c r="CM72" s="681"/>
      <c r="CN72" s="478"/>
    </row>
    <row r="73" spans="1:92" ht="82.5" customHeight="1" x14ac:dyDescent="0.25">
      <c r="A73" s="496"/>
      <c r="B73" s="485"/>
      <c r="C73" s="506"/>
      <c r="D73" s="741"/>
      <c r="E73" s="717"/>
      <c r="F73" s="717"/>
      <c r="G73" s="717"/>
      <c r="H73" s="725"/>
      <c r="I73" s="735"/>
      <c r="J73" s="717"/>
      <c r="K73" s="453"/>
      <c r="L73" s="453"/>
      <c r="M73" s="453"/>
      <c r="N73" s="453"/>
      <c r="O73" s="453"/>
      <c r="P73" s="453"/>
      <c r="Q73" s="513"/>
      <c r="R73" s="526"/>
      <c r="S73" s="416"/>
      <c r="T73" s="397"/>
      <c r="U73" s="411"/>
      <c r="V73" s="411"/>
      <c r="W73" s="384"/>
      <c r="X73" s="517"/>
      <c r="Y73" s="526"/>
      <c r="Z73" s="416"/>
      <c r="AA73" s="397"/>
      <c r="AB73" s="411"/>
      <c r="AC73" s="411"/>
      <c r="AD73" s="384"/>
      <c r="AE73" s="517"/>
      <c r="AF73" s="235">
        <v>1</v>
      </c>
      <c r="AG73" s="96">
        <v>1</v>
      </c>
      <c r="AH73" s="397"/>
      <c r="AI73" s="74" t="s">
        <v>36</v>
      </c>
      <c r="AJ73" s="74" t="s">
        <v>36</v>
      </c>
      <c r="AK73" s="384"/>
      <c r="AL73" s="268" t="s">
        <v>768</v>
      </c>
      <c r="AM73" s="187">
        <v>1</v>
      </c>
      <c r="AN73" s="72">
        <v>1</v>
      </c>
      <c r="AO73" s="397"/>
      <c r="AP73" s="140" t="s">
        <v>700</v>
      </c>
      <c r="AQ73" s="140" t="s">
        <v>700</v>
      </c>
      <c r="AR73" s="384"/>
      <c r="AS73" s="213" t="s">
        <v>846</v>
      </c>
      <c r="AT73" s="554">
        <v>1</v>
      </c>
      <c r="AU73" s="556">
        <v>5</v>
      </c>
      <c r="AV73" s="397"/>
      <c r="AW73" s="557">
        <v>25000000</v>
      </c>
      <c r="AX73" s="557">
        <v>23933333</v>
      </c>
      <c r="AY73" s="384"/>
      <c r="AZ73" s="668" t="s">
        <v>907</v>
      </c>
      <c r="BA73" s="570"/>
      <c r="BB73" s="562"/>
      <c r="BC73" s="397"/>
      <c r="BD73" s="563"/>
      <c r="BE73" s="563"/>
      <c r="BF73" s="384"/>
      <c r="BG73" s="568"/>
      <c r="BH73" s="531"/>
      <c r="BI73" s="541"/>
      <c r="BJ73" s="596"/>
      <c r="BK73" s="539"/>
      <c r="BL73" s="539"/>
      <c r="BM73" s="480"/>
      <c r="BN73" s="584"/>
      <c r="BO73" s="526"/>
      <c r="BP73" s="416"/>
      <c r="BQ73" s="397"/>
      <c r="BR73" s="411"/>
      <c r="BS73" s="411"/>
      <c r="BT73" s="384"/>
      <c r="BU73" s="517"/>
      <c r="BV73" s="415"/>
      <c r="BW73" s="416"/>
      <c r="BX73" s="397"/>
      <c r="BY73" s="411"/>
      <c r="BZ73" s="411"/>
      <c r="CA73" s="407"/>
      <c r="CB73" s="412"/>
      <c r="CC73" s="419"/>
      <c r="CD73" s="415"/>
      <c r="CE73" s="416"/>
      <c r="CF73" s="397"/>
      <c r="CG73" s="411"/>
      <c r="CH73" s="411"/>
      <c r="CI73" s="407"/>
      <c r="CJ73" s="412"/>
      <c r="CK73" s="419"/>
      <c r="CL73" s="384"/>
      <c r="CM73" s="682"/>
      <c r="CN73" s="441"/>
    </row>
    <row r="74" spans="1:92" ht="159.75" customHeight="1" x14ac:dyDescent="0.25">
      <c r="A74" s="496"/>
      <c r="B74" s="485"/>
      <c r="C74" s="124" t="s">
        <v>210</v>
      </c>
      <c r="D74" s="744" t="s">
        <v>211</v>
      </c>
      <c r="E74" s="718" t="s">
        <v>212</v>
      </c>
      <c r="F74" s="718" t="s">
        <v>213</v>
      </c>
      <c r="G74" s="718" t="s">
        <v>209</v>
      </c>
      <c r="H74" s="135" t="s">
        <v>1026</v>
      </c>
      <c r="I74" s="733">
        <v>0</v>
      </c>
      <c r="J74" s="718">
        <v>10</v>
      </c>
      <c r="K74" s="60" t="s">
        <v>295</v>
      </c>
      <c r="L74" s="60" t="s">
        <v>359</v>
      </c>
      <c r="M74" s="48">
        <v>3902017</v>
      </c>
      <c r="N74" s="48" t="s">
        <v>360</v>
      </c>
      <c r="O74" s="48">
        <v>390201700</v>
      </c>
      <c r="P74" s="48" t="s">
        <v>360</v>
      </c>
      <c r="Q74" s="125">
        <v>10</v>
      </c>
      <c r="R74" s="111">
        <v>8</v>
      </c>
      <c r="S74" s="48">
        <v>20</v>
      </c>
      <c r="T74" s="57">
        <v>1</v>
      </c>
      <c r="U74" s="58"/>
      <c r="V74" s="58"/>
      <c r="W74" s="48" t="s">
        <v>273</v>
      </c>
      <c r="X74" s="264" t="s">
        <v>480</v>
      </c>
      <c r="Y74" s="111">
        <v>8</v>
      </c>
      <c r="Z74" s="48">
        <v>20</v>
      </c>
      <c r="AA74" s="57">
        <v>1</v>
      </c>
      <c r="AB74" s="58"/>
      <c r="AC74" s="62"/>
      <c r="AD74" s="48" t="s">
        <v>273</v>
      </c>
      <c r="AE74" s="264"/>
      <c r="AF74" s="530">
        <v>1</v>
      </c>
      <c r="AG74" s="480">
        <v>1</v>
      </c>
      <c r="AH74" s="57">
        <v>1</v>
      </c>
      <c r="AI74" s="539" t="s">
        <v>694</v>
      </c>
      <c r="AJ74" s="539" t="s">
        <v>695</v>
      </c>
      <c r="AK74" s="48" t="s">
        <v>273</v>
      </c>
      <c r="AL74" s="542" t="s">
        <v>769</v>
      </c>
      <c r="AM74" s="544">
        <v>1</v>
      </c>
      <c r="AN74" s="477">
        <v>1</v>
      </c>
      <c r="AO74" s="57">
        <v>1</v>
      </c>
      <c r="AP74" s="630">
        <v>205750000</v>
      </c>
      <c r="AQ74" s="630">
        <v>102060000</v>
      </c>
      <c r="AR74" s="48" t="s">
        <v>273</v>
      </c>
      <c r="AS74" s="542" t="s">
        <v>847</v>
      </c>
      <c r="AT74" s="554"/>
      <c r="AU74" s="556"/>
      <c r="AV74" s="57">
        <v>1</v>
      </c>
      <c r="AW74" s="557"/>
      <c r="AX74" s="557"/>
      <c r="AY74" s="48" t="s">
        <v>273</v>
      </c>
      <c r="AZ74" s="668"/>
      <c r="BA74" s="191">
        <v>10</v>
      </c>
      <c r="BB74" s="80">
        <v>20</v>
      </c>
      <c r="BC74" s="57">
        <v>1</v>
      </c>
      <c r="BD74" s="79">
        <v>519754832</v>
      </c>
      <c r="BE74" s="79">
        <v>74220990</v>
      </c>
      <c r="BF74" s="48" t="s">
        <v>273</v>
      </c>
      <c r="BG74" s="182" t="s">
        <v>968</v>
      </c>
      <c r="BH74" s="204">
        <v>7</v>
      </c>
      <c r="BI74" s="96">
        <v>0</v>
      </c>
      <c r="BJ74" s="81">
        <v>0</v>
      </c>
      <c r="BK74" s="74"/>
      <c r="BL74" s="74"/>
      <c r="BM74" s="96" t="s">
        <v>273</v>
      </c>
      <c r="BN74" s="268" t="s">
        <v>566</v>
      </c>
      <c r="BO74" s="111">
        <v>8</v>
      </c>
      <c r="BP74" s="48">
        <v>20</v>
      </c>
      <c r="BQ74" s="57">
        <v>1</v>
      </c>
      <c r="BR74" s="58"/>
      <c r="BS74" s="58"/>
      <c r="BT74" s="48" t="s">
        <v>273</v>
      </c>
      <c r="BU74" s="264" t="s">
        <v>646</v>
      </c>
      <c r="BV74" s="339">
        <v>9</v>
      </c>
      <c r="BW74" s="48">
        <v>9</v>
      </c>
      <c r="BX74" s="57">
        <v>1</v>
      </c>
      <c r="BY74" s="324">
        <v>451220071</v>
      </c>
      <c r="BZ74" s="324">
        <f>BY74/2</f>
        <v>225610035.5</v>
      </c>
      <c r="CA74" s="300">
        <f>BZ74/BY74</f>
        <v>0.5</v>
      </c>
      <c r="CB74" s="96" t="s">
        <v>1026</v>
      </c>
      <c r="CC74" s="356" t="s">
        <v>1072</v>
      </c>
      <c r="CD74" s="339">
        <v>10</v>
      </c>
      <c r="CE74" s="48">
        <v>9</v>
      </c>
      <c r="CF74" s="57">
        <v>1</v>
      </c>
      <c r="CG74" s="324">
        <f>451220071+35948539</f>
        <v>487168610</v>
      </c>
      <c r="CH74" s="324">
        <f>(CG74/2)+28564200</f>
        <v>272148505</v>
      </c>
      <c r="CI74" s="300">
        <f>CH74/CG74</f>
        <v>0.55863308803906719</v>
      </c>
      <c r="CJ74" s="96" t="s">
        <v>1026</v>
      </c>
      <c r="CK74" s="356" t="s">
        <v>1109</v>
      </c>
      <c r="CL74" s="48">
        <v>10</v>
      </c>
      <c r="CM74" s="308">
        <v>20</v>
      </c>
      <c r="CN74" s="300">
        <v>1</v>
      </c>
    </row>
    <row r="75" spans="1:92" ht="27" customHeight="1" x14ac:dyDescent="0.25">
      <c r="A75" s="496"/>
      <c r="B75" s="485"/>
      <c r="C75" s="503" t="s">
        <v>214</v>
      </c>
      <c r="D75" s="741" t="s">
        <v>215</v>
      </c>
      <c r="E75" s="717" t="s">
        <v>216</v>
      </c>
      <c r="F75" s="717" t="s">
        <v>217</v>
      </c>
      <c r="G75" s="717" t="s">
        <v>209</v>
      </c>
      <c r="H75" s="724" t="s">
        <v>1026</v>
      </c>
      <c r="I75" s="735">
        <v>0</v>
      </c>
      <c r="J75" s="717">
        <v>10</v>
      </c>
      <c r="K75" s="453" t="s">
        <v>291</v>
      </c>
      <c r="L75" s="453" t="s">
        <v>312</v>
      </c>
      <c r="M75" s="453" t="s">
        <v>293</v>
      </c>
      <c r="N75" s="453" t="s">
        <v>313</v>
      </c>
      <c r="O75" s="453" t="s">
        <v>293</v>
      </c>
      <c r="P75" s="453" t="s">
        <v>314</v>
      </c>
      <c r="Q75" s="513">
        <v>10</v>
      </c>
      <c r="R75" s="521">
        <v>8</v>
      </c>
      <c r="S75" s="384">
        <v>11</v>
      </c>
      <c r="T75" s="385">
        <f>S75/S75</f>
        <v>1</v>
      </c>
      <c r="U75" s="411">
        <v>60844000</v>
      </c>
      <c r="V75" s="411">
        <v>9900000</v>
      </c>
      <c r="W75" s="384" t="s">
        <v>274</v>
      </c>
      <c r="X75" s="517" t="s">
        <v>481</v>
      </c>
      <c r="Y75" s="521">
        <v>8</v>
      </c>
      <c r="Z75" s="384">
        <v>11</v>
      </c>
      <c r="AA75" s="385">
        <f>Z75/Z75</f>
        <v>1</v>
      </c>
      <c r="AB75" s="411"/>
      <c r="AC75" s="411"/>
      <c r="AD75" s="384" t="s">
        <v>274</v>
      </c>
      <c r="AE75" s="517"/>
      <c r="AF75" s="530"/>
      <c r="AG75" s="480"/>
      <c r="AH75" s="385" t="e">
        <f>AG75/AG75</f>
        <v>#DIV/0!</v>
      </c>
      <c r="AI75" s="539"/>
      <c r="AJ75" s="539"/>
      <c r="AK75" s="384" t="s">
        <v>274</v>
      </c>
      <c r="AL75" s="542"/>
      <c r="AM75" s="544"/>
      <c r="AN75" s="477"/>
      <c r="AO75" s="385" t="e">
        <f>AN75/AN75</f>
        <v>#DIV/0!</v>
      </c>
      <c r="AP75" s="631"/>
      <c r="AQ75" s="631"/>
      <c r="AR75" s="384" t="s">
        <v>274</v>
      </c>
      <c r="AS75" s="542"/>
      <c r="AT75" s="554">
        <v>3</v>
      </c>
      <c r="AU75" s="556">
        <v>1</v>
      </c>
      <c r="AV75" s="385">
        <f>AU75/AU75</f>
        <v>1</v>
      </c>
      <c r="AW75" s="557" t="s">
        <v>856</v>
      </c>
      <c r="AX75" s="559" t="s">
        <v>856</v>
      </c>
      <c r="AY75" s="384" t="s">
        <v>274</v>
      </c>
      <c r="AZ75" s="657" t="s">
        <v>1037</v>
      </c>
      <c r="BA75" s="561">
        <v>6</v>
      </c>
      <c r="BB75" s="562" t="s">
        <v>920</v>
      </c>
      <c r="BC75" s="385" t="e">
        <f>BB75/BB75</f>
        <v>#VALUE!</v>
      </c>
      <c r="BD75" s="563">
        <v>1563620850</v>
      </c>
      <c r="BE75" s="563">
        <v>1172715638</v>
      </c>
      <c r="BF75" s="384" t="s">
        <v>274</v>
      </c>
      <c r="BG75" s="568" t="s">
        <v>969</v>
      </c>
      <c r="BH75" s="667">
        <v>7</v>
      </c>
      <c r="BI75" s="480">
        <v>2</v>
      </c>
      <c r="BJ75" s="592">
        <f>(BI75/BH75)*1</f>
        <v>0.2857142857142857</v>
      </c>
      <c r="BK75" s="539"/>
      <c r="BL75" s="539"/>
      <c r="BM75" s="480" t="s">
        <v>274</v>
      </c>
      <c r="BN75" s="611" t="s">
        <v>567</v>
      </c>
      <c r="BO75" s="521">
        <v>8</v>
      </c>
      <c r="BP75" s="384">
        <v>5</v>
      </c>
      <c r="BQ75" s="385">
        <f>BP75/BP75</f>
        <v>1</v>
      </c>
      <c r="BR75" s="411">
        <v>60844000</v>
      </c>
      <c r="BS75" s="411">
        <v>9900000</v>
      </c>
      <c r="BT75" s="384" t="s">
        <v>274</v>
      </c>
      <c r="BU75" s="613" t="s">
        <v>647</v>
      </c>
      <c r="BV75" s="381">
        <v>9</v>
      </c>
      <c r="BW75" s="384">
        <v>11</v>
      </c>
      <c r="BX75" s="385">
        <f>BW75/BW75</f>
        <v>1</v>
      </c>
      <c r="BY75" s="386">
        <v>2673832466</v>
      </c>
      <c r="BZ75" s="386">
        <f>BY75*6</f>
        <v>16042994796</v>
      </c>
      <c r="CA75" s="379">
        <v>1</v>
      </c>
      <c r="CB75" s="390" t="s">
        <v>1026</v>
      </c>
      <c r="CC75" s="393" t="s">
        <v>1073</v>
      </c>
      <c r="CD75" s="381">
        <v>10</v>
      </c>
      <c r="CE75" s="384">
        <v>11</v>
      </c>
      <c r="CF75" s="385">
        <f>CE75/CE75</f>
        <v>1</v>
      </c>
      <c r="CG75" s="386">
        <f>2673832466+44965000</f>
        <v>2718797466</v>
      </c>
      <c r="CH75" s="386">
        <f>CG75*6+9775000</f>
        <v>16322559796</v>
      </c>
      <c r="CI75" s="379">
        <v>1</v>
      </c>
      <c r="CJ75" s="390" t="s">
        <v>1026</v>
      </c>
      <c r="CK75" s="393" t="s">
        <v>1142</v>
      </c>
      <c r="CL75" s="384">
        <v>10</v>
      </c>
      <c r="CM75" s="683">
        <v>11</v>
      </c>
      <c r="CN75" s="385">
        <v>1</v>
      </c>
    </row>
    <row r="76" spans="1:92" ht="107.25" customHeight="1" x14ac:dyDescent="0.25">
      <c r="A76" s="496"/>
      <c r="B76" s="485"/>
      <c r="C76" s="504"/>
      <c r="D76" s="741"/>
      <c r="E76" s="717"/>
      <c r="F76" s="717"/>
      <c r="G76" s="717"/>
      <c r="H76" s="727"/>
      <c r="I76" s="735"/>
      <c r="J76" s="717"/>
      <c r="K76" s="453"/>
      <c r="L76" s="453"/>
      <c r="M76" s="453"/>
      <c r="N76" s="453"/>
      <c r="O76" s="453"/>
      <c r="P76" s="453"/>
      <c r="Q76" s="513"/>
      <c r="R76" s="521"/>
      <c r="S76" s="384"/>
      <c r="T76" s="385"/>
      <c r="U76" s="411"/>
      <c r="V76" s="411"/>
      <c r="W76" s="384"/>
      <c r="X76" s="517"/>
      <c r="Y76" s="521"/>
      <c r="Z76" s="384"/>
      <c r="AA76" s="385"/>
      <c r="AB76" s="411"/>
      <c r="AC76" s="411"/>
      <c r="AD76" s="384"/>
      <c r="AE76" s="517"/>
      <c r="AF76" s="530"/>
      <c r="AG76" s="480"/>
      <c r="AH76" s="385"/>
      <c r="AI76" s="539"/>
      <c r="AJ76" s="539"/>
      <c r="AK76" s="384"/>
      <c r="AL76" s="542"/>
      <c r="AM76" s="544"/>
      <c r="AN76" s="477"/>
      <c r="AO76" s="385"/>
      <c r="AP76" s="631"/>
      <c r="AQ76" s="631"/>
      <c r="AR76" s="384"/>
      <c r="AS76" s="542"/>
      <c r="AT76" s="554"/>
      <c r="AU76" s="556"/>
      <c r="AV76" s="385"/>
      <c r="AW76" s="556"/>
      <c r="AX76" s="559"/>
      <c r="AY76" s="384"/>
      <c r="AZ76" s="657"/>
      <c r="BA76" s="561"/>
      <c r="BB76" s="562"/>
      <c r="BC76" s="385"/>
      <c r="BD76" s="563"/>
      <c r="BE76" s="563"/>
      <c r="BF76" s="384"/>
      <c r="BG76" s="568"/>
      <c r="BH76" s="667"/>
      <c r="BI76" s="480"/>
      <c r="BJ76" s="592"/>
      <c r="BK76" s="539"/>
      <c r="BL76" s="539"/>
      <c r="BM76" s="480"/>
      <c r="BN76" s="611"/>
      <c r="BO76" s="521"/>
      <c r="BP76" s="384"/>
      <c r="BQ76" s="385"/>
      <c r="BR76" s="411"/>
      <c r="BS76" s="411"/>
      <c r="BT76" s="384"/>
      <c r="BU76" s="613"/>
      <c r="BV76" s="382"/>
      <c r="BW76" s="384"/>
      <c r="BX76" s="385"/>
      <c r="BY76" s="387"/>
      <c r="BZ76" s="387"/>
      <c r="CA76" s="380"/>
      <c r="CB76" s="391"/>
      <c r="CC76" s="394"/>
      <c r="CD76" s="382"/>
      <c r="CE76" s="384"/>
      <c r="CF76" s="385"/>
      <c r="CG76" s="387"/>
      <c r="CH76" s="387"/>
      <c r="CI76" s="380"/>
      <c r="CJ76" s="391"/>
      <c r="CK76" s="394"/>
      <c r="CL76" s="384"/>
      <c r="CM76" s="485"/>
      <c r="CN76" s="385"/>
    </row>
    <row r="77" spans="1:92" ht="218.25" customHeight="1" thickBot="1" x14ac:dyDescent="0.3">
      <c r="A77" s="498"/>
      <c r="B77" s="499"/>
      <c r="C77" s="505"/>
      <c r="D77" s="744" t="s">
        <v>218</v>
      </c>
      <c r="E77" s="718" t="s">
        <v>219</v>
      </c>
      <c r="F77" s="717"/>
      <c r="G77" s="717"/>
      <c r="H77" s="738"/>
      <c r="I77" s="735"/>
      <c r="J77" s="717"/>
      <c r="K77" s="453"/>
      <c r="L77" s="453"/>
      <c r="M77" s="453"/>
      <c r="N77" s="453"/>
      <c r="O77" s="453"/>
      <c r="P77" s="453"/>
      <c r="Q77" s="513"/>
      <c r="R77" s="521"/>
      <c r="S77" s="384"/>
      <c r="T77" s="385"/>
      <c r="U77" s="411"/>
      <c r="V77" s="411"/>
      <c r="W77" s="384"/>
      <c r="X77" s="517"/>
      <c r="Y77" s="521"/>
      <c r="Z77" s="384"/>
      <c r="AA77" s="385"/>
      <c r="AB77" s="411"/>
      <c r="AC77" s="411"/>
      <c r="AD77" s="384"/>
      <c r="AE77" s="517"/>
      <c r="AF77" s="273">
        <v>1</v>
      </c>
      <c r="AG77" s="136">
        <v>1</v>
      </c>
      <c r="AH77" s="385"/>
      <c r="AI77" s="539" t="s">
        <v>694</v>
      </c>
      <c r="AJ77" s="539" t="s">
        <v>695</v>
      </c>
      <c r="AK77" s="384"/>
      <c r="AL77" s="268" t="s">
        <v>770</v>
      </c>
      <c r="AM77" s="187" t="s">
        <v>779</v>
      </c>
      <c r="AN77" s="72" t="s">
        <v>779</v>
      </c>
      <c r="AO77" s="385"/>
      <c r="AP77" s="141">
        <v>24350000</v>
      </c>
      <c r="AQ77" s="141">
        <v>12000000</v>
      </c>
      <c r="AR77" s="384"/>
      <c r="AS77" s="213" t="s">
        <v>848</v>
      </c>
      <c r="AT77" s="235">
        <v>12</v>
      </c>
      <c r="AU77" s="96">
        <v>12</v>
      </c>
      <c r="AV77" s="385"/>
      <c r="AW77" s="149">
        <v>25000000</v>
      </c>
      <c r="AX77" s="150">
        <v>23933333</v>
      </c>
      <c r="AY77" s="384"/>
      <c r="AZ77" s="213" t="s">
        <v>908</v>
      </c>
      <c r="BA77" s="561"/>
      <c r="BB77" s="562"/>
      <c r="BC77" s="385"/>
      <c r="BD77" s="563"/>
      <c r="BE77" s="563"/>
      <c r="BF77" s="384"/>
      <c r="BG77" s="568"/>
      <c r="BH77" s="667"/>
      <c r="BI77" s="480"/>
      <c r="BJ77" s="592"/>
      <c r="BK77" s="539"/>
      <c r="BL77" s="539"/>
      <c r="BM77" s="480"/>
      <c r="BN77" s="611"/>
      <c r="BO77" s="521"/>
      <c r="BP77" s="384"/>
      <c r="BQ77" s="385"/>
      <c r="BR77" s="411"/>
      <c r="BS77" s="411"/>
      <c r="BT77" s="384"/>
      <c r="BU77" s="613"/>
      <c r="BV77" s="383"/>
      <c r="BW77" s="384"/>
      <c r="BX77" s="385"/>
      <c r="BY77" s="388"/>
      <c r="BZ77" s="388"/>
      <c r="CA77" s="389"/>
      <c r="CB77" s="392"/>
      <c r="CC77" s="394"/>
      <c r="CD77" s="383"/>
      <c r="CE77" s="384"/>
      <c r="CF77" s="385"/>
      <c r="CG77" s="388"/>
      <c r="CH77" s="388"/>
      <c r="CI77" s="389"/>
      <c r="CJ77" s="392"/>
      <c r="CK77" s="394"/>
      <c r="CL77" s="384"/>
      <c r="CM77" s="684"/>
      <c r="CN77" s="385"/>
    </row>
    <row r="78" spans="1:92" ht="98.25" customHeight="1" x14ac:dyDescent="0.25">
      <c r="A78" s="495" t="s">
        <v>220</v>
      </c>
      <c r="B78" s="484" t="s">
        <v>221</v>
      </c>
      <c r="C78" s="486" t="s">
        <v>222</v>
      </c>
      <c r="D78" s="744" t="s">
        <v>223</v>
      </c>
      <c r="E78" s="718" t="s">
        <v>224</v>
      </c>
      <c r="F78" s="718" t="s">
        <v>225</v>
      </c>
      <c r="G78" s="718" t="s">
        <v>226</v>
      </c>
      <c r="H78" s="719" t="s">
        <v>227</v>
      </c>
      <c r="I78" s="733">
        <v>0</v>
      </c>
      <c r="J78" s="718">
        <v>1</v>
      </c>
      <c r="K78" s="60" t="s">
        <v>361</v>
      </c>
      <c r="L78" s="60" t="s">
        <v>362</v>
      </c>
      <c r="M78" s="48" t="s">
        <v>36</v>
      </c>
      <c r="N78" s="48" t="s">
        <v>363</v>
      </c>
      <c r="O78" s="48" t="s">
        <v>36</v>
      </c>
      <c r="P78" s="48" t="s">
        <v>364</v>
      </c>
      <c r="Q78" s="125">
        <v>1</v>
      </c>
      <c r="R78" s="112" t="s">
        <v>402</v>
      </c>
      <c r="S78" s="45" t="s">
        <v>422</v>
      </c>
      <c r="T78" s="57">
        <v>1</v>
      </c>
      <c r="U78" s="58"/>
      <c r="V78" s="58">
        <v>8655000</v>
      </c>
      <c r="W78" s="453" t="s">
        <v>255</v>
      </c>
      <c r="X78" s="113" t="s">
        <v>482</v>
      </c>
      <c r="Y78" s="112" t="s">
        <v>402</v>
      </c>
      <c r="Z78" s="45" t="s">
        <v>422</v>
      </c>
      <c r="AA78" s="57">
        <v>1</v>
      </c>
      <c r="AB78" s="58"/>
      <c r="AC78" s="58"/>
      <c r="AD78" s="453" t="s">
        <v>255</v>
      </c>
      <c r="AE78" s="113"/>
      <c r="AF78" s="273">
        <v>1</v>
      </c>
      <c r="AG78" s="136">
        <v>1</v>
      </c>
      <c r="AH78" s="57">
        <v>1</v>
      </c>
      <c r="AI78" s="539"/>
      <c r="AJ78" s="539"/>
      <c r="AK78" s="453" t="s">
        <v>255</v>
      </c>
      <c r="AL78" s="268" t="s">
        <v>771</v>
      </c>
      <c r="AM78" s="214">
        <v>1</v>
      </c>
      <c r="AN78" s="137">
        <v>0</v>
      </c>
      <c r="AO78" s="57">
        <v>1</v>
      </c>
      <c r="AP78" s="141">
        <v>25000000</v>
      </c>
      <c r="AQ78" s="72">
        <v>0</v>
      </c>
      <c r="AR78" s="453" t="s">
        <v>255</v>
      </c>
      <c r="AS78" s="224" t="s">
        <v>849</v>
      </c>
      <c r="AT78" s="236">
        <v>1</v>
      </c>
      <c r="AU78" s="148">
        <v>1</v>
      </c>
      <c r="AV78" s="57">
        <v>1</v>
      </c>
      <c r="AW78" s="245" t="s">
        <v>856</v>
      </c>
      <c r="AX78" s="245" t="s">
        <v>856</v>
      </c>
      <c r="AY78" s="453" t="s">
        <v>255</v>
      </c>
      <c r="AZ78" s="224" t="s">
        <v>909</v>
      </c>
      <c r="BA78" s="287">
        <v>12</v>
      </c>
      <c r="BB78" s="262">
        <v>12</v>
      </c>
      <c r="BC78" s="57">
        <v>1</v>
      </c>
      <c r="BD78" s="92">
        <v>32000000</v>
      </c>
      <c r="BE78" s="92">
        <v>31440300</v>
      </c>
      <c r="BF78" s="453" t="s">
        <v>255</v>
      </c>
      <c r="BG78" s="186" t="s">
        <v>970</v>
      </c>
      <c r="BH78" s="205" t="s">
        <v>402</v>
      </c>
      <c r="BI78" s="97" t="s">
        <v>568</v>
      </c>
      <c r="BJ78" s="81">
        <v>0</v>
      </c>
      <c r="BK78" s="79"/>
      <c r="BL78" s="79"/>
      <c r="BM78" s="562" t="s">
        <v>255</v>
      </c>
      <c r="BN78" s="186" t="s">
        <v>569</v>
      </c>
      <c r="BO78" s="112" t="s">
        <v>402</v>
      </c>
      <c r="BP78" s="45" t="s">
        <v>422</v>
      </c>
      <c r="BQ78" s="57">
        <v>1</v>
      </c>
      <c r="BR78" s="58"/>
      <c r="BS78" s="58">
        <v>8655000</v>
      </c>
      <c r="BT78" s="453" t="s">
        <v>255</v>
      </c>
      <c r="BU78" s="113" t="s">
        <v>648</v>
      </c>
      <c r="BV78" s="72">
        <v>1</v>
      </c>
      <c r="BW78" s="45" t="s">
        <v>422</v>
      </c>
      <c r="BX78" s="57">
        <v>1</v>
      </c>
      <c r="BY78" s="58">
        <v>0</v>
      </c>
      <c r="BZ78" s="58">
        <v>0</v>
      </c>
      <c r="CA78" s="301">
        <v>0</v>
      </c>
      <c r="CB78" s="319" t="s">
        <v>227</v>
      </c>
      <c r="CC78" s="353" t="s">
        <v>1074</v>
      </c>
      <c r="CD78" s="72">
        <v>1</v>
      </c>
      <c r="CE78" s="45" t="s">
        <v>422</v>
      </c>
      <c r="CF78" s="57">
        <v>1</v>
      </c>
      <c r="CG78" s="58">
        <v>0</v>
      </c>
      <c r="CH78" s="58">
        <v>0</v>
      </c>
      <c r="CI78" s="301">
        <v>0</v>
      </c>
      <c r="CJ78" s="319" t="s">
        <v>227</v>
      </c>
      <c r="CK78" s="353" t="s">
        <v>1074</v>
      </c>
      <c r="CL78" s="48">
        <v>1</v>
      </c>
      <c r="CM78" s="311" t="s">
        <v>422</v>
      </c>
      <c r="CN78" s="321">
        <v>1</v>
      </c>
    </row>
    <row r="79" spans="1:92" ht="65.25" customHeight="1" x14ac:dyDescent="0.25">
      <c r="A79" s="501"/>
      <c r="B79" s="485"/>
      <c r="C79" s="487"/>
      <c r="D79" s="744" t="s">
        <v>228</v>
      </c>
      <c r="E79" s="718" t="s">
        <v>229</v>
      </c>
      <c r="F79" s="718" t="s">
        <v>230</v>
      </c>
      <c r="G79" s="718" t="s">
        <v>226</v>
      </c>
      <c r="H79" s="135" t="s">
        <v>1027</v>
      </c>
      <c r="I79" s="733">
        <v>0</v>
      </c>
      <c r="J79" s="742">
        <v>1</v>
      </c>
      <c r="K79" s="453" t="s">
        <v>291</v>
      </c>
      <c r="L79" s="453" t="s">
        <v>292</v>
      </c>
      <c r="M79" s="453" t="s">
        <v>293</v>
      </c>
      <c r="N79" s="453" t="s">
        <v>423</v>
      </c>
      <c r="O79" s="453" t="s">
        <v>293</v>
      </c>
      <c r="P79" s="453" t="s">
        <v>392</v>
      </c>
      <c r="Q79" s="126">
        <v>1</v>
      </c>
      <c r="R79" s="114">
        <v>0.5</v>
      </c>
      <c r="S79" s="46">
        <v>0.5</v>
      </c>
      <c r="T79" s="34">
        <f>(S79/R79)*1</f>
        <v>1</v>
      </c>
      <c r="U79" s="58">
        <v>0</v>
      </c>
      <c r="V79" s="58">
        <v>8655000</v>
      </c>
      <c r="W79" s="453"/>
      <c r="X79" s="115" t="s">
        <v>483</v>
      </c>
      <c r="Y79" s="114">
        <v>0.5</v>
      </c>
      <c r="Z79" s="46">
        <v>0.5</v>
      </c>
      <c r="AA79" s="34">
        <f>(Z79/Y79)*1</f>
        <v>1</v>
      </c>
      <c r="AB79" s="58"/>
      <c r="AC79" s="58"/>
      <c r="AD79" s="453"/>
      <c r="AE79" s="115"/>
      <c r="AF79" s="530">
        <v>4</v>
      </c>
      <c r="AG79" s="480">
        <v>2</v>
      </c>
      <c r="AH79" s="34">
        <f>(AG79/AF79)*1</f>
        <v>0.5</v>
      </c>
      <c r="AI79" s="539"/>
      <c r="AJ79" s="539"/>
      <c r="AK79" s="453"/>
      <c r="AL79" s="542" t="s">
        <v>772</v>
      </c>
      <c r="AM79" s="544">
        <v>4</v>
      </c>
      <c r="AN79" s="477">
        <v>2</v>
      </c>
      <c r="AO79" s="34">
        <f>(AN79/AM79)*1</f>
        <v>0.5</v>
      </c>
      <c r="AP79" s="641">
        <v>24350000</v>
      </c>
      <c r="AQ79" s="641">
        <v>12000000</v>
      </c>
      <c r="AR79" s="453"/>
      <c r="AS79" s="542" t="s">
        <v>850</v>
      </c>
      <c r="AT79" s="554">
        <v>4</v>
      </c>
      <c r="AU79" s="556">
        <v>11</v>
      </c>
      <c r="AV79" s="34">
        <f>(AU79/AT79)*1</f>
        <v>2.75</v>
      </c>
      <c r="AW79" s="656">
        <v>25000000</v>
      </c>
      <c r="AX79" s="651">
        <v>23933333</v>
      </c>
      <c r="AY79" s="453"/>
      <c r="AZ79" s="542" t="s">
        <v>910</v>
      </c>
      <c r="BA79" s="206">
        <v>1</v>
      </c>
      <c r="BB79" s="152">
        <v>0.9</v>
      </c>
      <c r="BC79" s="34">
        <f>(BB79/BA79)*1</f>
        <v>0.9</v>
      </c>
      <c r="BD79" s="92"/>
      <c r="BE79" s="92"/>
      <c r="BF79" s="453"/>
      <c r="BG79" s="164" t="s">
        <v>971</v>
      </c>
      <c r="BH79" s="206">
        <v>0.9</v>
      </c>
      <c r="BI79" s="98">
        <v>0.9</v>
      </c>
      <c r="BJ79" s="75">
        <f>(BI79/BH79)*1</f>
        <v>1</v>
      </c>
      <c r="BK79" s="79"/>
      <c r="BL79" s="79"/>
      <c r="BM79" s="562"/>
      <c r="BN79" s="164" t="s">
        <v>570</v>
      </c>
      <c r="BO79" s="114">
        <v>0.5</v>
      </c>
      <c r="BP79" s="46">
        <v>0.5</v>
      </c>
      <c r="BQ79" s="34">
        <f>(BP79/BO79)*1</f>
        <v>1</v>
      </c>
      <c r="BR79" s="58">
        <v>0</v>
      </c>
      <c r="BS79" s="58">
        <v>8655000</v>
      </c>
      <c r="BT79" s="453"/>
      <c r="BU79" s="115" t="s">
        <v>649</v>
      </c>
      <c r="BV79" s="137">
        <v>0.5</v>
      </c>
      <c r="BW79" s="46">
        <v>0.5</v>
      </c>
      <c r="BX79" s="34">
        <f>(BW79/BV79)*1</f>
        <v>1</v>
      </c>
      <c r="BY79" s="58">
        <v>0</v>
      </c>
      <c r="BZ79" s="58">
        <v>0</v>
      </c>
      <c r="CA79" s="34">
        <v>0</v>
      </c>
      <c r="CB79" s="96" t="s">
        <v>1027</v>
      </c>
      <c r="CC79" s="344" t="s">
        <v>1085</v>
      </c>
      <c r="CD79" s="137">
        <v>0.5</v>
      </c>
      <c r="CE79" s="46">
        <v>0.5</v>
      </c>
      <c r="CF79" s="34">
        <f>(CE79/CD79)*1</f>
        <v>1</v>
      </c>
      <c r="CG79" s="58">
        <v>0</v>
      </c>
      <c r="CH79" s="58">
        <v>0</v>
      </c>
      <c r="CI79" s="34">
        <v>0</v>
      </c>
      <c r="CJ79" s="96" t="s">
        <v>1027</v>
      </c>
      <c r="CK79" s="344" t="s">
        <v>1107</v>
      </c>
      <c r="CL79" s="64">
        <v>1</v>
      </c>
      <c r="CM79" s="46">
        <v>0.5</v>
      </c>
      <c r="CN79" s="47">
        <f>CM79/CL79</f>
        <v>0.5</v>
      </c>
    </row>
    <row r="80" spans="1:92" ht="33.75" customHeight="1" x14ac:dyDescent="0.25">
      <c r="A80" s="501"/>
      <c r="B80" s="485"/>
      <c r="C80" s="487"/>
      <c r="D80" s="741" t="s">
        <v>231</v>
      </c>
      <c r="E80" s="717" t="s">
        <v>232</v>
      </c>
      <c r="F80" s="717" t="s">
        <v>233</v>
      </c>
      <c r="G80" s="717" t="s">
        <v>20</v>
      </c>
      <c r="H80" s="724" t="s">
        <v>1028</v>
      </c>
      <c r="I80" s="735">
        <v>3</v>
      </c>
      <c r="J80" s="717">
        <v>10</v>
      </c>
      <c r="K80" s="453"/>
      <c r="L80" s="453"/>
      <c r="M80" s="453"/>
      <c r="N80" s="453"/>
      <c r="O80" s="453"/>
      <c r="P80" s="453"/>
      <c r="Q80" s="513">
        <v>10</v>
      </c>
      <c r="R80" s="521">
        <v>8</v>
      </c>
      <c r="S80" s="384">
        <v>7</v>
      </c>
      <c r="T80" s="397">
        <f>(S80/R80)*1</f>
        <v>0.875</v>
      </c>
      <c r="U80" s="522">
        <v>8655000</v>
      </c>
      <c r="V80" s="411">
        <v>8655000</v>
      </c>
      <c r="W80" s="453"/>
      <c r="X80" s="518" t="s">
        <v>484</v>
      </c>
      <c r="Y80" s="521">
        <v>8</v>
      </c>
      <c r="Z80" s="384">
        <v>7</v>
      </c>
      <c r="AA80" s="397">
        <f>(Z80/Y80)*1</f>
        <v>0.875</v>
      </c>
      <c r="AB80" s="522"/>
      <c r="AC80" s="411"/>
      <c r="AD80" s="453"/>
      <c r="AE80" s="518"/>
      <c r="AF80" s="530"/>
      <c r="AG80" s="480"/>
      <c r="AH80" s="397" t="e">
        <f>(AG80/AF80)*1</f>
        <v>#DIV/0!</v>
      </c>
      <c r="AI80" s="539"/>
      <c r="AJ80" s="539"/>
      <c r="AK80" s="453"/>
      <c r="AL80" s="542"/>
      <c r="AM80" s="544"/>
      <c r="AN80" s="477"/>
      <c r="AO80" s="397" t="e">
        <f>(AN80/AM80)*1</f>
        <v>#DIV/0!</v>
      </c>
      <c r="AP80" s="641"/>
      <c r="AQ80" s="641"/>
      <c r="AR80" s="453"/>
      <c r="AS80" s="542"/>
      <c r="AT80" s="554"/>
      <c r="AU80" s="556"/>
      <c r="AV80" s="397" t="e">
        <f>(AU80/AT80)*1</f>
        <v>#DIV/0!</v>
      </c>
      <c r="AW80" s="656"/>
      <c r="AX80" s="651"/>
      <c r="AY80" s="453"/>
      <c r="AZ80" s="542"/>
      <c r="BA80" s="561">
        <v>4</v>
      </c>
      <c r="BB80" s="562">
        <v>3</v>
      </c>
      <c r="BC80" s="397">
        <f>(BB80/BA80)*1</f>
        <v>0.75</v>
      </c>
      <c r="BD80" s="563">
        <v>32000000</v>
      </c>
      <c r="BE80" s="563">
        <v>31440300</v>
      </c>
      <c r="BF80" s="453"/>
      <c r="BG80" s="568" t="s">
        <v>972</v>
      </c>
      <c r="BH80" s="666">
        <v>7</v>
      </c>
      <c r="BI80" s="562">
        <v>0</v>
      </c>
      <c r="BJ80" s="596">
        <f>(BI80/BH80)*1</f>
        <v>0</v>
      </c>
      <c r="BK80" s="599"/>
      <c r="BL80" s="563"/>
      <c r="BM80" s="562"/>
      <c r="BN80" s="573" t="s">
        <v>571</v>
      </c>
      <c r="BO80" s="521">
        <v>8</v>
      </c>
      <c r="BP80" s="384">
        <v>7</v>
      </c>
      <c r="BQ80" s="397">
        <f>(BP80/BO80)*1</f>
        <v>0.875</v>
      </c>
      <c r="BR80" s="522">
        <v>8655000</v>
      </c>
      <c r="BS80" s="411">
        <v>8655000</v>
      </c>
      <c r="BT80" s="453"/>
      <c r="BU80" s="573" t="s">
        <v>650</v>
      </c>
      <c r="BV80" s="634">
        <v>1</v>
      </c>
      <c r="BW80" s="384">
        <v>1</v>
      </c>
      <c r="BX80" s="397">
        <f>(BW80/BV80)*1</f>
        <v>1</v>
      </c>
      <c r="BY80" s="398">
        <v>28313000</v>
      </c>
      <c r="BZ80" s="400">
        <v>35000000</v>
      </c>
      <c r="CA80" s="402">
        <f>BY80/BZ80</f>
        <v>0.80894285714285719</v>
      </c>
      <c r="CB80" s="390" t="s">
        <v>1028</v>
      </c>
      <c r="CC80" s="404" t="s">
        <v>1075</v>
      </c>
      <c r="CD80" s="395">
        <v>1</v>
      </c>
      <c r="CE80" s="384">
        <v>1</v>
      </c>
      <c r="CF80" s="397">
        <f>(CE80/CD80)*1</f>
        <v>1</v>
      </c>
      <c r="CG80" s="398">
        <f>28313000+55000000</f>
        <v>83313000</v>
      </c>
      <c r="CH80" s="400">
        <f>3500000+640000</f>
        <v>4140000</v>
      </c>
      <c r="CI80" s="402">
        <f>CH80/CG80</f>
        <v>4.9692124878470349E-2</v>
      </c>
      <c r="CJ80" s="390" t="s">
        <v>1028</v>
      </c>
      <c r="CK80" s="404" t="s">
        <v>1143</v>
      </c>
      <c r="CL80" s="384">
        <v>10</v>
      </c>
      <c r="CM80" s="683">
        <v>7</v>
      </c>
      <c r="CN80" s="440">
        <f>CM80/CL80</f>
        <v>0.7</v>
      </c>
    </row>
    <row r="81" spans="1:92" ht="126.75" customHeight="1" thickBot="1" x14ac:dyDescent="0.3">
      <c r="A81" s="502"/>
      <c r="B81" s="499"/>
      <c r="C81" s="500"/>
      <c r="D81" s="741"/>
      <c r="E81" s="717"/>
      <c r="F81" s="717"/>
      <c r="G81" s="717"/>
      <c r="H81" s="738"/>
      <c r="I81" s="735"/>
      <c r="J81" s="717"/>
      <c r="K81" s="453"/>
      <c r="L81" s="453"/>
      <c r="M81" s="60"/>
      <c r="N81" s="453"/>
      <c r="O81" s="453"/>
      <c r="P81" s="453"/>
      <c r="Q81" s="513"/>
      <c r="R81" s="521"/>
      <c r="S81" s="384"/>
      <c r="T81" s="397"/>
      <c r="U81" s="522"/>
      <c r="V81" s="411"/>
      <c r="W81" s="453"/>
      <c r="X81" s="518"/>
      <c r="Y81" s="521"/>
      <c r="Z81" s="384"/>
      <c r="AA81" s="397"/>
      <c r="AB81" s="522"/>
      <c r="AC81" s="411"/>
      <c r="AD81" s="453"/>
      <c r="AE81" s="518"/>
      <c r="AF81" s="274">
        <v>7</v>
      </c>
      <c r="AG81" s="135">
        <v>7</v>
      </c>
      <c r="AH81" s="397"/>
      <c r="AI81" s="539"/>
      <c r="AJ81" s="539"/>
      <c r="AK81" s="453"/>
      <c r="AL81" s="268" t="s">
        <v>773</v>
      </c>
      <c r="AM81" s="187">
        <v>12</v>
      </c>
      <c r="AN81" s="72">
        <v>12</v>
      </c>
      <c r="AO81" s="397"/>
      <c r="AP81" s="641">
        <v>24350000</v>
      </c>
      <c r="AQ81" s="641">
        <v>12000000</v>
      </c>
      <c r="AR81" s="453"/>
      <c r="AS81" s="213" t="s">
        <v>851</v>
      </c>
      <c r="AT81" s="223">
        <v>12</v>
      </c>
      <c r="AU81" s="145">
        <v>12</v>
      </c>
      <c r="AV81" s="397"/>
      <c r="AW81" s="656">
        <v>25000000</v>
      </c>
      <c r="AX81" s="559">
        <v>23933333</v>
      </c>
      <c r="AY81" s="453"/>
      <c r="AZ81" s="231" t="s">
        <v>911</v>
      </c>
      <c r="BA81" s="561"/>
      <c r="BB81" s="562"/>
      <c r="BC81" s="397"/>
      <c r="BD81" s="563"/>
      <c r="BE81" s="563"/>
      <c r="BF81" s="453"/>
      <c r="BG81" s="568"/>
      <c r="BH81" s="666"/>
      <c r="BI81" s="562"/>
      <c r="BJ81" s="596"/>
      <c r="BK81" s="599"/>
      <c r="BL81" s="563"/>
      <c r="BM81" s="562"/>
      <c r="BN81" s="573"/>
      <c r="BO81" s="521"/>
      <c r="BP81" s="384"/>
      <c r="BQ81" s="397"/>
      <c r="BR81" s="522"/>
      <c r="BS81" s="411"/>
      <c r="BT81" s="453"/>
      <c r="BU81" s="518"/>
      <c r="BV81" s="415"/>
      <c r="BW81" s="384"/>
      <c r="BX81" s="397"/>
      <c r="BY81" s="399"/>
      <c r="BZ81" s="401"/>
      <c r="CA81" s="403"/>
      <c r="CB81" s="392"/>
      <c r="CC81" s="404"/>
      <c r="CD81" s="396"/>
      <c r="CE81" s="384"/>
      <c r="CF81" s="397"/>
      <c r="CG81" s="399"/>
      <c r="CH81" s="401"/>
      <c r="CI81" s="403"/>
      <c r="CJ81" s="392"/>
      <c r="CK81" s="404"/>
      <c r="CL81" s="384"/>
      <c r="CM81" s="499"/>
      <c r="CN81" s="479"/>
    </row>
    <row r="82" spans="1:92" ht="121.5" customHeight="1" x14ac:dyDescent="0.25">
      <c r="A82" s="495" t="s">
        <v>234</v>
      </c>
      <c r="B82" s="484" t="s">
        <v>235</v>
      </c>
      <c r="C82" s="486" t="s">
        <v>236</v>
      </c>
      <c r="D82" s="744" t="s">
        <v>237</v>
      </c>
      <c r="E82" s="718" t="s">
        <v>238</v>
      </c>
      <c r="F82" s="718" t="s">
        <v>239</v>
      </c>
      <c r="G82" s="718" t="s">
        <v>209</v>
      </c>
      <c r="H82" s="719" t="s">
        <v>1029</v>
      </c>
      <c r="I82" s="718">
        <v>5</v>
      </c>
      <c r="J82" s="718">
        <v>12</v>
      </c>
      <c r="K82" s="453" t="s">
        <v>291</v>
      </c>
      <c r="L82" s="453" t="s">
        <v>292</v>
      </c>
      <c r="M82" s="453" t="s">
        <v>293</v>
      </c>
      <c r="N82" s="453" t="s">
        <v>423</v>
      </c>
      <c r="O82" s="453" t="s">
        <v>365</v>
      </c>
      <c r="P82" s="453" t="s">
        <v>392</v>
      </c>
      <c r="Q82" s="125">
        <v>12</v>
      </c>
      <c r="R82" s="116">
        <v>5</v>
      </c>
      <c r="S82" s="66">
        <v>7</v>
      </c>
      <c r="T82" s="47">
        <v>1</v>
      </c>
      <c r="U82" s="58">
        <v>8655000</v>
      </c>
      <c r="V82" s="58">
        <v>8655000</v>
      </c>
      <c r="W82" s="453" t="s">
        <v>255</v>
      </c>
      <c r="X82" s="182" t="s">
        <v>485</v>
      </c>
      <c r="Y82" s="116">
        <v>5</v>
      </c>
      <c r="Z82" s="66">
        <v>7</v>
      </c>
      <c r="AA82" s="47">
        <v>1</v>
      </c>
      <c r="AB82" s="58"/>
      <c r="AC82" s="58"/>
      <c r="AD82" s="453" t="s">
        <v>255</v>
      </c>
      <c r="AE82" s="182"/>
      <c r="AF82" s="274">
        <v>0</v>
      </c>
      <c r="AG82" s="135">
        <v>0</v>
      </c>
      <c r="AH82" s="47">
        <v>1</v>
      </c>
      <c r="AI82" s="539"/>
      <c r="AJ82" s="539"/>
      <c r="AK82" s="453" t="s">
        <v>255</v>
      </c>
      <c r="AL82" s="268" t="s">
        <v>774</v>
      </c>
      <c r="AM82" s="187">
        <v>13</v>
      </c>
      <c r="AN82" s="72">
        <v>13</v>
      </c>
      <c r="AO82" s="47">
        <v>1</v>
      </c>
      <c r="AP82" s="641"/>
      <c r="AQ82" s="641"/>
      <c r="AR82" s="453" t="s">
        <v>255</v>
      </c>
      <c r="AS82" s="213" t="s">
        <v>852</v>
      </c>
      <c r="AT82" s="223">
        <v>13</v>
      </c>
      <c r="AU82" s="145">
        <v>0</v>
      </c>
      <c r="AV82" s="47">
        <v>1</v>
      </c>
      <c r="AW82" s="656"/>
      <c r="AX82" s="559"/>
      <c r="AY82" s="453" t="s">
        <v>255</v>
      </c>
      <c r="AZ82" s="231" t="s">
        <v>912</v>
      </c>
      <c r="BA82" s="207">
        <v>12</v>
      </c>
      <c r="BB82" s="153">
        <v>7</v>
      </c>
      <c r="BC82" s="47">
        <v>1</v>
      </c>
      <c r="BD82" s="563">
        <v>32000000</v>
      </c>
      <c r="BE82" s="563">
        <v>32000000</v>
      </c>
      <c r="BF82" s="453" t="s">
        <v>255</v>
      </c>
      <c r="BG82" s="182" t="s">
        <v>973</v>
      </c>
      <c r="BH82" s="207">
        <v>3</v>
      </c>
      <c r="BI82" s="99">
        <v>4</v>
      </c>
      <c r="BJ82" s="100">
        <v>1</v>
      </c>
      <c r="BK82" s="79"/>
      <c r="BL82" s="79"/>
      <c r="BM82" s="562" t="s">
        <v>255</v>
      </c>
      <c r="BN82" s="182" t="s">
        <v>572</v>
      </c>
      <c r="BO82" s="116">
        <v>5</v>
      </c>
      <c r="BP82" s="66">
        <v>6</v>
      </c>
      <c r="BQ82" s="47">
        <v>1</v>
      </c>
      <c r="BR82" s="58">
        <v>8655000</v>
      </c>
      <c r="BS82" s="58">
        <v>8655000</v>
      </c>
      <c r="BT82" s="453" t="s">
        <v>255</v>
      </c>
      <c r="BU82" s="180" t="s">
        <v>651</v>
      </c>
      <c r="BV82" s="72">
        <v>12</v>
      </c>
      <c r="BW82" s="66">
        <v>5</v>
      </c>
      <c r="BX82" s="47">
        <f>BW82/BV82</f>
        <v>0.41666666666666669</v>
      </c>
      <c r="BY82" s="58">
        <f>34620000+
500000000</f>
        <v>534620000</v>
      </c>
      <c r="BZ82" s="336">
        <f>28800000+
50000000</f>
        <v>78800000</v>
      </c>
      <c r="CA82" s="47">
        <f>BZ82/BY82</f>
        <v>0.14739441098350231</v>
      </c>
      <c r="CB82" s="319" t="s">
        <v>1029</v>
      </c>
      <c r="CC82" s="358" t="s">
        <v>1076</v>
      </c>
      <c r="CD82" s="72">
        <v>5</v>
      </c>
      <c r="CE82" s="66">
        <v>5</v>
      </c>
      <c r="CF82" s="47">
        <f>CE82/CD82</f>
        <v>1</v>
      </c>
      <c r="CG82" s="58">
        <f>34620000+714286+
500000000</f>
        <v>535334286</v>
      </c>
      <c r="CH82" s="336">
        <f>28800000+714286+
50000000</f>
        <v>79514286</v>
      </c>
      <c r="CI82" s="47">
        <f>CH82/CG82</f>
        <v>0.14853202583777719</v>
      </c>
      <c r="CJ82" s="319" t="s">
        <v>1029</v>
      </c>
      <c r="CK82" s="358" t="s">
        <v>1144</v>
      </c>
      <c r="CL82" s="48">
        <v>12</v>
      </c>
      <c r="CM82" s="312">
        <v>5</v>
      </c>
      <c r="CN82" s="47">
        <f>CM82/CL82</f>
        <v>0.41666666666666669</v>
      </c>
    </row>
    <row r="83" spans="1:92" ht="267" customHeight="1" x14ac:dyDescent="0.25">
      <c r="A83" s="496"/>
      <c r="B83" s="485"/>
      <c r="C83" s="487"/>
      <c r="D83" s="744" t="s">
        <v>240</v>
      </c>
      <c r="E83" s="718" t="s">
        <v>241</v>
      </c>
      <c r="F83" s="718" t="s">
        <v>242</v>
      </c>
      <c r="G83" s="718" t="s">
        <v>243</v>
      </c>
      <c r="H83" s="135" t="s">
        <v>1030</v>
      </c>
      <c r="I83" s="718">
        <v>2</v>
      </c>
      <c r="J83" s="718">
        <v>13</v>
      </c>
      <c r="K83" s="453"/>
      <c r="L83" s="453"/>
      <c r="M83" s="453"/>
      <c r="N83" s="453"/>
      <c r="O83" s="453"/>
      <c r="P83" s="453"/>
      <c r="Q83" s="125">
        <v>13</v>
      </c>
      <c r="R83" s="116">
        <v>0</v>
      </c>
      <c r="S83" s="66">
        <v>12</v>
      </c>
      <c r="T83" s="47">
        <v>1</v>
      </c>
      <c r="U83" s="58">
        <v>8655000</v>
      </c>
      <c r="V83" s="58">
        <v>8655000</v>
      </c>
      <c r="W83" s="453"/>
      <c r="X83" s="113" t="s">
        <v>489</v>
      </c>
      <c r="Y83" s="116">
        <v>0</v>
      </c>
      <c r="Z83" s="66">
        <v>12</v>
      </c>
      <c r="AA83" s="47">
        <v>1</v>
      </c>
      <c r="AB83" s="58"/>
      <c r="AC83" s="58"/>
      <c r="AD83" s="453"/>
      <c r="AE83" s="113"/>
      <c r="AF83" s="274">
        <v>12</v>
      </c>
      <c r="AG83" s="135">
        <v>12</v>
      </c>
      <c r="AH83" s="47">
        <v>1</v>
      </c>
      <c r="AI83" s="539"/>
      <c r="AJ83" s="539"/>
      <c r="AK83" s="453"/>
      <c r="AL83" s="268" t="s">
        <v>775</v>
      </c>
      <c r="AM83" s="187">
        <v>12</v>
      </c>
      <c r="AN83" s="72">
        <v>12</v>
      </c>
      <c r="AO83" s="47">
        <v>1</v>
      </c>
      <c r="AP83" s="641"/>
      <c r="AQ83" s="641"/>
      <c r="AR83" s="453"/>
      <c r="AS83" s="213" t="s">
        <v>853</v>
      </c>
      <c r="AT83" s="223">
        <v>12</v>
      </c>
      <c r="AU83" s="145">
        <v>13</v>
      </c>
      <c r="AV83" s="47">
        <v>1</v>
      </c>
      <c r="AW83" s="656"/>
      <c r="AX83" s="559"/>
      <c r="AY83" s="453"/>
      <c r="AZ83" s="231" t="s">
        <v>913</v>
      </c>
      <c r="BA83" s="207">
        <v>13</v>
      </c>
      <c r="BB83" s="153">
        <v>13</v>
      </c>
      <c r="BC83" s="47">
        <v>1</v>
      </c>
      <c r="BD83" s="563"/>
      <c r="BE83" s="563"/>
      <c r="BF83" s="453"/>
      <c r="BG83" s="220" t="s">
        <v>1038</v>
      </c>
      <c r="BH83" s="207">
        <v>0</v>
      </c>
      <c r="BI83" s="99">
        <v>0</v>
      </c>
      <c r="BJ83" s="100">
        <v>1</v>
      </c>
      <c r="BK83" s="79" t="s">
        <v>573</v>
      </c>
      <c r="BL83" s="79" t="s">
        <v>574</v>
      </c>
      <c r="BM83" s="562"/>
      <c r="BN83" s="186" t="s">
        <v>575</v>
      </c>
      <c r="BO83" s="116">
        <v>0</v>
      </c>
      <c r="BP83" s="66">
        <v>12</v>
      </c>
      <c r="BQ83" s="47">
        <v>1</v>
      </c>
      <c r="BR83" s="58">
        <v>8655000</v>
      </c>
      <c r="BS83" s="58">
        <v>8655000</v>
      </c>
      <c r="BT83" s="453"/>
      <c r="BU83" s="113" t="s">
        <v>652</v>
      </c>
      <c r="BV83" s="72">
        <v>12</v>
      </c>
      <c r="BW83" s="66">
        <v>12</v>
      </c>
      <c r="BX83" s="47">
        <v>1</v>
      </c>
      <c r="BY83" s="58">
        <v>34620000</v>
      </c>
      <c r="BZ83" s="336">
        <v>28800000</v>
      </c>
      <c r="CA83" s="47">
        <f>BZ83/BY83</f>
        <v>0.83188908145580587</v>
      </c>
      <c r="CB83" s="96" t="s">
        <v>1030</v>
      </c>
      <c r="CC83" s="353" t="s">
        <v>1077</v>
      </c>
      <c r="CD83" s="72">
        <v>13</v>
      </c>
      <c r="CE83" s="66">
        <v>12</v>
      </c>
      <c r="CF83" s="47">
        <v>1</v>
      </c>
      <c r="CG83" s="58">
        <f>34620000+714286</f>
        <v>35334286</v>
      </c>
      <c r="CH83" s="336">
        <f>28800000+714286</f>
        <v>29514286</v>
      </c>
      <c r="CI83" s="47">
        <f>CH83/CG83</f>
        <v>0.83528745989093989</v>
      </c>
      <c r="CJ83" s="96" t="s">
        <v>1030</v>
      </c>
      <c r="CK83" s="353" t="s">
        <v>1145</v>
      </c>
      <c r="CL83" s="48">
        <v>13</v>
      </c>
      <c r="CM83" s="66">
        <v>13</v>
      </c>
      <c r="CN83" s="47">
        <f>CM83/CL83</f>
        <v>1</v>
      </c>
    </row>
    <row r="84" spans="1:92" ht="236.25" customHeight="1" x14ac:dyDescent="0.25">
      <c r="A84" s="496"/>
      <c r="B84" s="485"/>
      <c r="C84" s="487"/>
      <c r="D84" s="744" t="s">
        <v>244</v>
      </c>
      <c r="E84" s="718" t="s">
        <v>245</v>
      </c>
      <c r="F84" s="718" t="s">
        <v>246</v>
      </c>
      <c r="G84" s="718" t="s">
        <v>247</v>
      </c>
      <c r="H84" s="135" t="s">
        <v>1030</v>
      </c>
      <c r="I84" s="718">
        <v>12</v>
      </c>
      <c r="J84" s="718">
        <v>13</v>
      </c>
      <c r="K84" s="453"/>
      <c r="L84" s="453"/>
      <c r="M84" s="453"/>
      <c r="N84" s="453"/>
      <c r="O84" s="453"/>
      <c r="P84" s="453"/>
      <c r="Q84" s="125">
        <v>13</v>
      </c>
      <c r="R84" s="116">
        <v>12</v>
      </c>
      <c r="S84" s="66">
        <v>12</v>
      </c>
      <c r="T84" s="34">
        <f t="shared" ref="T84" si="10">(S84/R84)*1</f>
        <v>1</v>
      </c>
      <c r="U84" s="58">
        <v>8655000</v>
      </c>
      <c r="V84" s="58">
        <v>8655000</v>
      </c>
      <c r="W84" s="453"/>
      <c r="X84" s="113" t="s">
        <v>486</v>
      </c>
      <c r="Y84" s="116">
        <v>12</v>
      </c>
      <c r="Z84" s="66">
        <v>12</v>
      </c>
      <c r="AA84" s="34">
        <f t="shared" ref="AA84" si="11">(Z84/Y84)*1</f>
        <v>1</v>
      </c>
      <c r="AB84" s="58"/>
      <c r="AC84" s="58"/>
      <c r="AD84" s="453"/>
      <c r="AE84" s="113"/>
      <c r="AF84" s="274">
        <v>13</v>
      </c>
      <c r="AG84" s="135">
        <v>5</v>
      </c>
      <c r="AH84" s="34">
        <f t="shared" ref="AH84" si="12">(AG84/AF84)*1</f>
        <v>0.38461538461538464</v>
      </c>
      <c r="AI84" s="539"/>
      <c r="AJ84" s="539"/>
      <c r="AK84" s="453"/>
      <c r="AL84" s="268" t="s">
        <v>776</v>
      </c>
      <c r="AM84" s="187">
        <v>13</v>
      </c>
      <c r="AN84" s="72">
        <v>10</v>
      </c>
      <c r="AO84" s="34">
        <f t="shared" ref="AO84" si="13">(AN84/AM84)*1</f>
        <v>0.76923076923076927</v>
      </c>
      <c r="AP84" s="641"/>
      <c r="AQ84" s="641"/>
      <c r="AR84" s="453"/>
      <c r="AS84" s="213" t="s">
        <v>854</v>
      </c>
      <c r="AT84" s="223">
        <v>13</v>
      </c>
      <c r="AU84" s="145">
        <v>11</v>
      </c>
      <c r="AV84" s="34">
        <f t="shared" ref="AV84" si="14">(AU84/AT84)*1</f>
        <v>0.84615384615384615</v>
      </c>
      <c r="AW84" s="656"/>
      <c r="AX84" s="559"/>
      <c r="AY84" s="453"/>
      <c r="AZ84" s="231" t="s">
        <v>914</v>
      </c>
      <c r="BA84" s="207">
        <v>12</v>
      </c>
      <c r="BB84" s="153">
        <v>12</v>
      </c>
      <c r="BC84" s="34">
        <f t="shared" ref="BC84" si="15">(BB84/BA84)*1</f>
        <v>1</v>
      </c>
      <c r="BD84" s="563"/>
      <c r="BE84" s="563"/>
      <c r="BF84" s="453"/>
      <c r="BG84" s="220" t="s">
        <v>974</v>
      </c>
      <c r="BH84" s="207">
        <v>11</v>
      </c>
      <c r="BI84" s="99">
        <v>11</v>
      </c>
      <c r="BJ84" s="75">
        <f t="shared" ref="BJ84" si="16">(BI84/BH84)*1</f>
        <v>1</v>
      </c>
      <c r="BK84" s="79" t="s">
        <v>576</v>
      </c>
      <c r="BL84" s="79" t="s">
        <v>577</v>
      </c>
      <c r="BM84" s="562"/>
      <c r="BN84" s="186" t="s">
        <v>578</v>
      </c>
      <c r="BO84" s="116">
        <v>12</v>
      </c>
      <c r="BP84" s="66">
        <v>11</v>
      </c>
      <c r="BQ84" s="34">
        <f t="shared" ref="BQ84" si="17">(BP84/BO84)*1</f>
        <v>0.91666666666666663</v>
      </c>
      <c r="BR84" s="58">
        <v>8655000</v>
      </c>
      <c r="BS84" s="58">
        <v>8655000</v>
      </c>
      <c r="BT84" s="453"/>
      <c r="BU84" s="186" t="s">
        <v>653</v>
      </c>
      <c r="BV84" s="72">
        <v>13</v>
      </c>
      <c r="BW84" s="66">
        <v>13</v>
      </c>
      <c r="BX84" s="34">
        <f t="shared" ref="BX84" si="18">(BW84/BV84)*1</f>
        <v>1</v>
      </c>
      <c r="BY84" s="58">
        <v>34620000</v>
      </c>
      <c r="BZ84" s="336">
        <v>28850000</v>
      </c>
      <c r="CA84" s="34">
        <f>BZ84/BY84</f>
        <v>0.83333333333333337</v>
      </c>
      <c r="CB84" s="96" t="s">
        <v>1030</v>
      </c>
      <c r="CC84" s="353" t="s">
        <v>1078</v>
      </c>
      <c r="CD84" s="72">
        <v>13</v>
      </c>
      <c r="CE84" s="66">
        <v>13</v>
      </c>
      <c r="CF84" s="34">
        <f t="shared" ref="CF84" si="19">(CE84/CD84)*1</f>
        <v>1</v>
      </c>
      <c r="CG84" s="58">
        <f>34620000+714286</f>
        <v>35334286</v>
      </c>
      <c r="CH84" s="336">
        <f>28850000+714286</f>
        <v>29564286</v>
      </c>
      <c r="CI84" s="34">
        <f>CH84/CG84</f>
        <v>0.83670251607744384</v>
      </c>
      <c r="CJ84" s="96" t="s">
        <v>1030</v>
      </c>
      <c r="CK84" s="353" t="s">
        <v>1146</v>
      </c>
      <c r="CL84" s="48">
        <v>13</v>
      </c>
      <c r="CM84" s="66">
        <v>13</v>
      </c>
      <c r="CN84" s="47">
        <f>CM84/CL84</f>
        <v>1</v>
      </c>
    </row>
    <row r="85" spans="1:92" ht="171" customHeight="1" thickBot="1" x14ac:dyDescent="0.3">
      <c r="A85" s="498"/>
      <c r="B85" s="499"/>
      <c r="C85" s="500"/>
      <c r="D85" s="746" t="s">
        <v>248</v>
      </c>
      <c r="E85" s="739" t="s">
        <v>249</v>
      </c>
      <c r="F85" s="739" t="s">
        <v>250</v>
      </c>
      <c r="G85" s="739" t="s">
        <v>247</v>
      </c>
      <c r="H85" s="736" t="s">
        <v>1030</v>
      </c>
      <c r="I85" s="739">
        <v>0</v>
      </c>
      <c r="J85" s="739">
        <v>13</v>
      </c>
      <c r="K85" s="516"/>
      <c r="L85" s="516"/>
      <c r="M85" s="516"/>
      <c r="N85" s="516"/>
      <c r="O85" s="516"/>
      <c r="P85" s="516"/>
      <c r="Q85" s="132">
        <v>13</v>
      </c>
      <c r="R85" s="117">
        <v>13</v>
      </c>
      <c r="S85" s="118">
        <v>4</v>
      </c>
      <c r="T85" s="119">
        <f>S85/R85</f>
        <v>0.30769230769230771</v>
      </c>
      <c r="U85" s="120">
        <v>8655000</v>
      </c>
      <c r="V85" s="121">
        <v>8655000</v>
      </c>
      <c r="W85" s="516"/>
      <c r="X85" s="122" t="s">
        <v>487</v>
      </c>
      <c r="Y85" s="117">
        <v>13</v>
      </c>
      <c r="Z85" s="118">
        <v>10</v>
      </c>
      <c r="AA85" s="119">
        <f>Z85/Y85</f>
        <v>0.76923076923076927</v>
      </c>
      <c r="AB85" s="120"/>
      <c r="AC85" s="120"/>
      <c r="AD85" s="516"/>
      <c r="AE85" s="122"/>
      <c r="AF85" s="117">
        <v>13</v>
      </c>
      <c r="AG85" s="118">
        <v>4</v>
      </c>
      <c r="AH85" s="119">
        <f>AG85/AF85</f>
        <v>0.30769230769230771</v>
      </c>
      <c r="AI85" s="120">
        <v>8655000</v>
      </c>
      <c r="AJ85" s="121">
        <v>8655000</v>
      </c>
      <c r="AK85" s="516"/>
      <c r="AL85" s="122"/>
      <c r="AM85" s="117">
        <v>13</v>
      </c>
      <c r="AN85" s="118">
        <v>10</v>
      </c>
      <c r="AO85" s="119">
        <f>AN85/AM85</f>
        <v>0.76923076923076927</v>
      </c>
      <c r="AP85" s="120" t="s">
        <v>491</v>
      </c>
      <c r="AQ85" s="120" t="s">
        <v>490</v>
      </c>
      <c r="AR85" s="516"/>
      <c r="AS85" s="122" t="s">
        <v>464</v>
      </c>
      <c r="AT85" s="117">
        <v>13</v>
      </c>
      <c r="AU85" s="118">
        <v>4</v>
      </c>
      <c r="AV85" s="119">
        <f>AU85/AT85</f>
        <v>0.30769230769230771</v>
      </c>
      <c r="AW85" s="120">
        <v>8655000</v>
      </c>
      <c r="AX85" s="121">
        <v>8655000</v>
      </c>
      <c r="AY85" s="516"/>
      <c r="AZ85" s="122" t="s">
        <v>487</v>
      </c>
      <c r="BA85" s="208">
        <v>13</v>
      </c>
      <c r="BB85" s="221">
        <v>13</v>
      </c>
      <c r="BC85" s="119">
        <f>BB85/BA85</f>
        <v>1</v>
      </c>
      <c r="BD85" s="660"/>
      <c r="BE85" s="660"/>
      <c r="BF85" s="516"/>
      <c r="BG85" s="222" t="s">
        <v>975</v>
      </c>
      <c r="BH85" s="208">
        <v>13</v>
      </c>
      <c r="BI85" s="154">
        <v>7</v>
      </c>
      <c r="BJ85" s="209">
        <f>(BI85/BH85)*1</f>
        <v>0.53846153846153844</v>
      </c>
      <c r="BK85" s="210" t="s">
        <v>579</v>
      </c>
      <c r="BL85" s="211">
        <v>400</v>
      </c>
      <c r="BM85" s="614"/>
      <c r="BN85" s="212" t="s">
        <v>580</v>
      </c>
      <c r="BO85" s="117">
        <v>13</v>
      </c>
      <c r="BP85" s="118">
        <v>5</v>
      </c>
      <c r="BQ85" s="119">
        <f>BP85/BO85</f>
        <v>0.38461538461538464</v>
      </c>
      <c r="BR85" s="120">
        <v>8655000</v>
      </c>
      <c r="BS85" s="121">
        <v>8655000</v>
      </c>
      <c r="BT85" s="516"/>
      <c r="BU85" s="122" t="s">
        <v>654</v>
      </c>
      <c r="BV85" s="72">
        <v>13</v>
      </c>
      <c r="BW85" s="318">
        <v>13</v>
      </c>
      <c r="BX85" s="119">
        <f>BW85/BV85</f>
        <v>1</v>
      </c>
      <c r="BY85" s="58">
        <f>34620000+
273979122+
950000+1360000</f>
        <v>310909122</v>
      </c>
      <c r="BZ85" s="58">
        <f>28850000+
142116458+
950000+1360000</f>
        <v>173276458</v>
      </c>
      <c r="CA85" s="31">
        <f>BZ85/BY85</f>
        <v>0.55732188520348402</v>
      </c>
      <c r="CB85" s="320" t="s">
        <v>1030</v>
      </c>
      <c r="CC85" s="343" t="s">
        <v>1086</v>
      </c>
      <c r="CD85" s="72">
        <v>13</v>
      </c>
      <c r="CE85" s="318">
        <v>13</v>
      </c>
      <c r="CF85" s="119">
        <f>CE85/CD85</f>
        <v>1</v>
      </c>
      <c r="CG85" s="58">
        <f>34620000+714286+
273979122+
950000+1360000</f>
        <v>311623408</v>
      </c>
      <c r="CH85" s="58">
        <f>28850000+714286+
142116458+
950000+1360000</f>
        <v>173990744</v>
      </c>
      <c r="CI85" s="31">
        <f>CH85/CG85</f>
        <v>0.55833656757903116</v>
      </c>
      <c r="CJ85" s="320" t="s">
        <v>1030</v>
      </c>
      <c r="CK85" s="343" t="s">
        <v>1147</v>
      </c>
      <c r="CL85" s="67">
        <v>13</v>
      </c>
      <c r="CM85" s="66">
        <v>13</v>
      </c>
      <c r="CN85" s="47">
        <f>CM85/CL85</f>
        <v>1</v>
      </c>
    </row>
    <row r="86" spans="1:92" x14ac:dyDescent="0.25">
      <c r="C86" s="49"/>
      <c r="Q86" s="71"/>
      <c r="R86" s="29"/>
      <c r="T86" s="15"/>
      <c r="U86" s="52"/>
      <c r="V86" s="52"/>
      <c r="W86" s="2"/>
      <c r="X86" s="2"/>
      <c r="Y86" s="29"/>
      <c r="AA86" s="15"/>
      <c r="AB86" s="52"/>
      <c r="AC86" s="52"/>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c r="CE86" s="2"/>
    </row>
    <row r="87" spans="1:92" ht="15.75" thickBot="1" x14ac:dyDescent="0.3">
      <c r="Q87" s="71"/>
      <c r="R87" s="29"/>
      <c r="S87" s="29"/>
      <c r="T87" s="15"/>
      <c r="U87" s="52"/>
      <c r="V87" s="52"/>
      <c r="W87" s="2"/>
      <c r="X87" s="2"/>
      <c r="Y87" s="29"/>
      <c r="Z87" s="29"/>
      <c r="AA87" s="15"/>
      <c r="AB87" s="52"/>
      <c r="AC87" s="52"/>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334">
        <f>AVERAGE(BX4:BX85)</f>
        <v>0.72294908925318746</v>
      </c>
      <c r="BZ87" t="s">
        <v>1032</v>
      </c>
      <c r="CA87" s="328">
        <f>AVERAGE(CA4:CA85)</f>
        <v>0.52647452829838126</v>
      </c>
      <c r="CF87" s="334">
        <f>AVERAGE(CF4:CF85)</f>
        <v>0.68215938069216753</v>
      </c>
      <c r="CH87" t="s">
        <v>1032</v>
      </c>
      <c r="CI87" s="328">
        <f>AVERAGE(CI4:CI85)</f>
        <v>0.51050235382967346</v>
      </c>
      <c r="CL87" t="s">
        <v>986</v>
      </c>
      <c r="CN87" s="332">
        <f>AVERAGE(CN4:CN85)</f>
        <v>0.63574043715846995</v>
      </c>
    </row>
    <row r="88" spans="1:92" x14ac:dyDescent="0.25">
      <c r="Q88" s="71"/>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677"/>
      <c r="BV88" s="677"/>
      <c r="BW88" s="677"/>
      <c r="BX88" s="315"/>
    </row>
    <row r="89" spans="1:92" x14ac:dyDescent="0.25">
      <c r="Q89" s="71"/>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92" x14ac:dyDescent="0.25">
      <c r="Q90" s="71"/>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92" x14ac:dyDescent="0.25">
      <c r="Q91" s="71"/>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92" x14ac:dyDescent="0.25">
      <c r="Q92" s="71"/>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92" x14ac:dyDescent="0.25">
      <c r="Q93" s="71"/>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92" x14ac:dyDescent="0.25">
      <c r="Q94" s="71"/>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92" x14ac:dyDescent="0.25">
      <c r="Q95" s="71"/>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92" x14ac:dyDescent="0.25">
      <c r="Q96" s="71"/>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71"/>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71"/>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71"/>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71"/>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71"/>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71"/>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71"/>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71"/>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71"/>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71"/>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71"/>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71"/>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71"/>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687">
    <mergeCell ref="BU88:BW88"/>
    <mergeCell ref="CM66:CM67"/>
    <mergeCell ref="CM71:CM73"/>
    <mergeCell ref="CM75:CM77"/>
    <mergeCell ref="CM80:CM81"/>
    <mergeCell ref="CL1:CN1"/>
    <mergeCell ref="CM2:CM3"/>
    <mergeCell ref="CA2:CA3"/>
    <mergeCell ref="CM9:CM11"/>
    <mergeCell ref="CM14:CM15"/>
    <mergeCell ref="CM19:CM20"/>
    <mergeCell ref="CM21:CM24"/>
    <mergeCell ref="CM37:CM39"/>
    <mergeCell ref="CM44:CM45"/>
    <mergeCell ref="CM51:CM52"/>
    <mergeCell ref="CM56:CM57"/>
    <mergeCell ref="CM46:CM47"/>
    <mergeCell ref="CL2:CL3"/>
    <mergeCell ref="CL9:CL11"/>
    <mergeCell ref="CL14:CL15"/>
    <mergeCell ref="CL21:CL24"/>
    <mergeCell ref="CL37:CL39"/>
    <mergeCell ref="CL44:CL45"/>
    <mergeCell ref="CL46:CL47"/>
    <mergeCell ref="CL51:CL52"/>
    <mergeCell ref="CL53:CL54"/>
    <mergeCell ref="CL56:CL57"/>
    <mergeCell ref="CL66:CL67"/>
    <mergeCell ref="CL71:CL73"/>
    <mergeCell ref="CA9:CA11"/>
    <mergeCell ref="CL75:CL77"/>
    <mergeCell ref="CL80:CL81"/>
    <mergeCell ref="CM53:CM54"/>
    <mergeCell ref="CN2:CN3"/>
    <mergeCell ref="CN9:CN11"/>
    <mergeCell ref="CN14:CN15"/>
    <mergeCell ref="CN21:CN24"/>
    <mergeCell ref="CN37:CN39"/>
    <mergeCell ref="CN44:CN45"/>
    <mergeCell ref="CN46:CN47"/>
    <mergeCell ref="CN51:CN52"/>
    <mergeCell ref="CN53:CN54"/>
    <mergeCell ref="CN66:CN67"/>
    <mergeCell ref="CN71:CN73"/>
    <mergeCell ref="CN75:CN77"/>
    <mergeCell ref="CC46:CC47"/>
    <mergeCell ref="CN19:CN20"/>
    <mergeCell ref="CN56:CN57"/>
    <mergeCell ref="CC75:CC77"/>
    <mergeCell ref="CD14:CD15"/>
    <mergeCell ref="CE14:CE15"/>
    <mergeCell ref="CF14:CF15"/>
    <mergeCell ref="CG14:CG15"/>
    <mergeCell ref="CH14:CH15"/>
    <mergeCell ref="CI14:CI15"/>
    <mergeCell ref="CJ14:CJ15"/>
    <mergeCell ref="CK14:CK15"/>
    <mergeCell ref="CG16:CG17"/>
    <mergeCell ref="CH16:CH17"/>
    <mergeCell ref="CK16:CK17"/>
    <mergeCell ref="CG18:CG20"/>
    <mergeCell ref="CH18:CH20"/>
    <mergeCell ref="CI18:CI20"/>
    <mergeCell ref="CK18:CK20"/>
    <mergeCell ref="CN80:CN81"/>
    <mergeCell ref="CM27:CM28"/>
    <mergeCell ref="CL27:CL28"/>
    <mergeCell ref="CA66:CA67"/>
    <mergeCell ref="CA71:CA73"/>
    <mergeCell ref="CA75:CA77"/>
    <mergeCell ref="CA55:CA57"/>
    <mergeCell ref="CA60:CA61"/>
    <mergeCell ref="CA62:CA63"/>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BV53:BV54"/>
    <mergeCell ref="BX53:BX54"/>
    <mergeCell ref="BY53:BY54"/>
    <mergeCell ref="BZ53:BZ54"/>
    <mergeCell ref="CB53:CB54"/>
    <mergeCell ref="CC53:CC54"/>
    <mergeCell ref="BZ46:BZ47"/>
    <mergeCell ref="CB46:CB47"/>
    <mergeCell ref="CA80:CA81"/>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Y49:BY50"/>
    <mergeCell ref="BZ49:BZ50"/>
    <mergeCell ref="CA46:CA47"/>
    <mergeCell ref="CA51:CA52"/>
    <mergeCell ref="CA53:CA54"/>
    <mergeCell ref="BV37:BV39"/>
    <mergeCell ref="BW37:BW39"/>
    <mergeCell ref="BY37:BY39"/>
    <mergeCell ref="BZ37:BZ39"/>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W53:BW54"/>
    <mergeCell ref="BM78:BM81"/>
    <mergeCell ref="BF7:BF8"/>
    <mergeCell ref="BD82:BD85"/>
    <mergeCell ref="AY4:AY6"/>
    <mergeCell ref="BD62:BD63"/>
    <mergeCell ref="BE62:BE63"/>
    <mergeCell ref="BF62:BF63"/>
    <mergeCell ref="BA56:BA57"/>
    <mergeCell ref="BB56:BB57"/>
    <mergeCell ref="BC46:BC47"/>
    <mergeCell ref="BD46:BD47"/>
    <mergeCell ref="BE46:BE47"/>
    <mergeCell ref="BF46:BF4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AZ67:AZ68"/>
    <mergeCell ref="AZ70:AZ72"/>
    <mergeCell ref="AY82:AY85"/>
    <mergeCell ref="AY66:AY70"/>
    <mergeCell ref="AY60:AY61"/>
    <mergeCell ref="AY62:AY63"/>
    <mergeCell ref="AY56:AY57"/>
    <mergeCell ref="AW4:AW6"/>
    <mergeCell ref="AX4:AX6"/>
    <mergeCell ref="AW17:AW19"/>
    <mergeCell ref="AX17:AX19"/>
    <mergeCell ref="AW20:AW21"/>
    <mergeCell ref="AX20:AX21"/>
    <mergeCell ref="AW22:AW23"/>
    <mergeCell ref="AX22:AX23"/>
    <mergeCell ref="AW26:AW27"/>
    <mergeCell ref="AX26:AX27"/>
    <mergeCell ref="AW7:AW8"/>
    <mergeCell ref="AX7:AX8"/>
    <mergeCell ref="AY7:AY8"/>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BV80:BV81"/>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CB37:CB39"/>
    <mergeCell ref="CC37:CC39"/>
    <mergeCell ref="BV44:BV45"/>
    <mergeCell ref="BW44:BW45"/>
    <mergeCell ref="BX44:BX45"/>
    <mergeCell ref="BY44:BY45"/>
    <mergeCell ref="BZ44:BZ45"/>
    <mergeCell ref="CC44:CC45"/>
    <mergeCell ref="CB44:CB45"/>
    <mergeCell ref="CA49:CA50"/>
    <mergeCell ref="BZ27:BZ29"/>
    <mergeCell ref="BX28:BX29"/>
    <mergeCell ref="CC28:CC29"/>
    <mergeCell ref="CC31:CC32"/>
    <mergeCell ref="CA37:CA39"/>
    <mergeCell ref="CA44:CA45"/>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X37:BX39"/>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V19:BV20"/>
    <mergeCell ref="BV1:CC1"/>
    <mergeCell ref="BV2:BV3"/>
    <mergeCell ref="BW2:BW3"/>
    <mergeCell ref="BX2:BX3"/>
    <mergeCell ref="BY2:BY3"/>
    <mergeCell ref="BZ2:BZ3"/>
    <mergeCell ref="CB2:CB3"/>
    <mergeCell ref="CC2:CC3"/>
    <mergeCell ref="BM82:BM85"/>
    <mergeCell ref="BT82:BT85"/>
    <mergeCell ref="D1:Q1"/>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M75:BM77"/>
    <mergeCell ref="BN75:BN77"/>
    <mergeCell ref="BO75:BO77"/>
    <mergeCell ref="BP75:BP7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A37:BA39"/>
    <mergeCell ref="BB37:BB39"/>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G66:AG67"/>
    <mergeCell ref="AM66:AM67"/>
    <mergeCell ref="AN66:AN67"/>
    <mergeCell ref="AL79:AL80"/>
    <mergeCell ref="AP65:AP69"/>
    <mergeCell ref="AQ65:AQ69"/>
    <mergeCell ref="AM79:AM80"/>
    <mergeCell ref="AN79:AN80"/>
    <mergeCell ref="AH56:AH57"/>
    <mergeCell ref="AK56:AK57"/>
    <mergeCell ref="AO56:AO57"/>
    <mergeCell ref="AR56:AR57"/>
    <mergeCell ref="AR46:AR47"/>
    <mergeCell ref="AI45:AI46"/>
    <mergeCell ref="AJ45:AJ46"/>
    <mergeCell ref="AR51:AR52"/>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46:AH47"/>
    <mergeCell ref="AK46:AK47"/>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D42:D43"/>
    <mergeCell ref="E42:E43"/>
    <mergeCell ref="CL19:CL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CD1:CK1"/>
    <mergeCell ref="CD2:CD3"/>
    <mergeCell ref="CE2:CE3"/>
    <mergeCell ref="CF2:CF3"/>
    <mergeCell ref="CG2:CG3"/>
    <mergeCell ref="CH2:CH3"/>
    <mergeCell ref="CI2:CI3"/>
    <mergeCell ref="CJ2:CJ3"/>
    <mergeCell ref="CK2:CK3"/>
    <mergeCell ref="CG7:CG8"/>
    <mergeCell ref="CH7:CH8"/>
    <mergeCell ref="CD9:CD11"/>
    <mergeCell ref="CE9:CE11"/>
    <mergeCell ref="CF9:CF11"/>
    <mergeCell ref="CG9:CG11"/>
    <mergeCell ref="CH9:CH11"/>
    <mergeCell ref="CI9:CI11"/>
    <mergeCell ref="CJ9:CJ11"/>
    <mergeCell ref="CK9:CK11"/>
    <mergeCell ref="CE19:CE20"/>
    <mergeCell ref="CF19:CF20"/>
    <mergeCell ref="CJ19:CJ20"/>
    <mergeCell ref="CD21:CD24"/>
    <mergeCell ref="CE21:CE24"/>
    <mergeCell ref="CF21:CF24"/>
    <mergeCell ref="CG21:CG24"/>
    <mergeCell ref="CH21:CH24"/>
    <mergeCell ref="CI21:CI24"/>
    <mergeCell ref="CJ21:CJ24"/>
    <mergeCell ref="CK21:CK24"/>
    <mergeCell ref="CD27:CD28"/>
    <mergeCell ref="CE27:CE28"/>
    <mergeCell ref="CG27:CG29"/>
    <mergeCell ref="CH27:CH29"/>
    <mergeCell ref="CI27:CI29"/>
    <mergeCell ref="CJ28:CJ29"/>
    <mergeCell ref="CK28:CK29"/>
    <mergeCell ref="CD19:CD20"/>
    <mergeCell ref="CF27:CF28"/>
    <mergeCell ref="CK31:CK32"/>
    <mergeCell ref="CD37:CD39"/>
    <mergeCell ref="CE37:CE39"/>
    <mergeCell ref="CF37:CF39"/>
    <mergeCell ref="CG37:CG39"/>
    <mergeCell ref="CH37:CH39"/>
    <mergeCell ref="CI37:CI39"/>
    <mergeCell ref="CJ37:CJ39"/>
    <mergeCell ref="CK37:CK39"/>
    <mergeCell ref="CD44:CD45"/>
    <mergeCell ref="CE44:CE45"/>
    <mergeCell ref="CF44:CF45"/>
    <mergeCell ref="CG44:CG45"/>
    <mergeCell ref="CH44:CH45"/>
    <mergeCell ref="CI44:CI45"/>
    <mergeCell ref="CJ44:CJ45"/>
    <mergeCell ref="CK44:CK45"/>
    <mergeCell ref="CD46:CD47"/>
    <mergeCell ref="CE46:CE47"/>
    <mergeCell ref="CF46:CF47"/>
    <mergeCell ref="CG46:CG47"/>
    <mergeCell ref="CH46:CH47"/>
    <mergeCell ref="CI46:CI47"/>
    <mergeCell ref="CJ46:CJ47"/>
    <mergeCell ref="CK46:CK47"/>
    <mergeCell ref="CG49:CG50"/>
    <mergeCell ref="CH49:CH50"/>
    <mergeCell ref="CI49:CI50"/>
    <mergeCell ref="CD51:CD52"/>
    <mergeCell ref="CE51:CE52"/>
    <mergeCell ref="CF51:CF52"/>
    <mergeCell ref="CG51:CG52"/>
    <mergeCell ref="CH51:CH52"/>
    <mergeCell ref="CI51:CI52"/>
    <mergeCell ref="CJ51:CJ52"/>
    <mergeCell ref="CK51:CK52"/>
    <mergeCell ref="CH71:CH73"/>
    <mergeCell ref="CI71:CI73"/>
    <mergeCell ref="CJ71:CJ73"/>
    <mergeCell ref="CK71:CK73"/>
    <mergeCell ref="CD53:CD54"/>
    <mergeCell ref="CE53:CE54"/>
    <mergeCell ref="CF53:CF54"/>
    <mergeCell ref="CG53:CG54"/>
    <mergeCell ref="CH53:CH54"/>
    <mergeCell ref="CI53:CI54"/>
    <mergeCell ref="CJ53:CJ54"/>
    <mergeCell ref="CK53:CK54"/>
    <mergeCell ref="CG55:CG57"/>
    <mergeCell ref="CH55:CH57"/>
    <mergeCell ref="CI55:CI57"/>
    <mergeCell ref="CK55:CK57"/>
    <mergeCell ref="CD56:CD57"/>
    <mergeCell ref="CE56:CE57"/>
    <mergeCell ref="CF56:CF57"/>
    <mergeCell ref="CJ56:CJ57"/>
    <mergeCell ref="CG60:CG61"/>
    <mergeCell ref="CH60:CH61"/>
    <mergeCell ref="CI60:CI61"/>
    <mergeCell ref="CN27:CN28"/>
    <mergeCell ref="CD75:CD77"/>
    <mergeCell ref="CE75:CE77"/>
    <mergeCell ref="CF75:CF77"/>
    <mergeCell ref="CG75:CG77"/>
    <mergeCell ref="CH75:CH77"/>
    <mergeCell ref="CI75:CI77"/>
    <mergeCell ref="CJ75:CJ77"/>
    <mergeCell ref="CK75:CK77"/>
    <mergeCell ref="CD80:CD81"/>
    <mergeCell ref="CE80:CE81"/>
    <mergeCell ref="CF80:CF81"/>
    <mergeCell ref="CG80:CG81"/>
    <mergeCell ref="CH80:CH81"/>
    <mergeCell ref="CI80:CI81"/>
    <mergeCell ref="CJ80:CJ81"/>
    <mergeCell ref="CK80:CK81"/>
    <mergeCell ref="CG62:CG63"/>
    <mergeCell ref="CH62:CH63"/>
    <mergeCell ref="CI62:CI63"/>
    <mergeCell ref="CD66:CD67"/>
    <mergeCell ref="CE66:CE67"/>
    <mergeCell ref="CF66:CF67"/>
    <mergeCell ref="CG66:CG67"/>
    <mergeCell ref="CH66:CH67"/>
    <mergeCell ref="CI66:CI67"/>
    <mergeCell ref="CJ66:CJ67"/>
    <mergeCell ref="CK66:CK67"/>
    <mergeCell ref="CD71:CD73"/>
    <mergeCell ref="CE71:CE73"/>
    <mergeCell ref="CF71:CF73"/>
    <mergeCell ref="CG71:CG73"/>
  </mergeCells>
  <conditionalFormatting sqref="T4:T85">
    <cfRule type="cellIs" dxfId="64" priority="118" stopIfTrue="1" operator="between">
      <formula>0</formula>
      <formula>0.39</formula>
    </cfRule>
    <cfRule type="cellIs" dxfId="63" priority="117" stopIfTrue="1" operator="between">
      <formula>0.4</formula>
      <formula>0.59</formula>
    </cfRule>
    <cfRule type="cellIs" dxfId="62" priority="116" stopIfTrue="1" operator="between">
      <formula>0.6</formula>
      <formula>0.69</formula>
    </cfRule>
    <cfRule type="cellIs" dxfId="61" priority="114" stopIfTrue="1" operator="between">
      <formula>0.8</formula>
      <formula>1.01</formula>
    </cfRule>
    <cfRule type="cellIs" dxfId="60" priority="115" stopIfTrue="1" operator="between">
      <formula>0.7</formula>
      <formula>0.79</formula>
    </cfRule>
  </conditionalFormatting>
  <conditionalFormatting sqref="AA4:AA85">
    <cfRule type="cellIs" dxfId="59" priority="132" stopIfTrue="1" operator="between">
      <formula>0.4</formula>
      <formula>0.59</formula>
    </cfRule>
    <cfRule type="cellIs" dxfId="58" priority="131" stopIfTrue="1" operator="between">
      <formula>0.6</formula>
      <formula>0.69</formula>
    </cfRule>
    <cfRule type="cellIs" dxfId="57" priority="130" stopIfTrue="1" operator="between">
      <formula>0.7</formula>
      <formula>0.79</formula>
    </cfRule>
    <cfRule type="cellIs" dxfId="56" priority="129" stopIfTrue="1" operator="between">
      <formula>0.8</formula>
      <formula>1.01</formula>
    </cfRule>
    <cfRule type="cellIs" dxfId="55" priority="133" stopIfTrue="1" operator="between">
      <formula>0</formula>
      <formula>0.39</formula>
    </cfRule>
  </conditionalFormatting>
  <conditionalFormatting sqref="AH4:AH85">
    <cfRule type="cellIs" dxfId="54" priority="107" stopIfTrue="1" operator="between">
      <formula>0.4</formula>
      <formula>0.59</formula>
    </cfRule>
    <cfRule type="cellIs" dxfId="53" priority="108" stopIfTrue="1" operator="between">
      <formula>0</formula>
      <formula>0.39</formula>
    </cfRule>
    <cfRule type="cellIs" dxfId="52" priority="106" stopIfTrue="1" operator="between">
      <formula>0.6</formula>
      <formula>0.69</formula>
    </cfRule>
    <cfRule type="cellIs" dxfId="51" priority="105" stopIfTrue="1" operator="between">
      <formula>0.7</formula>
      <formula>0.79</formula>
    </cfRule>
    <cfRule type="cellIs" dxfId="50" priority="104" stopIfTrue="1" operator="between">
      <formula>0.8</formula>
      <formula>1.01</formula>
    </cfRule>
  </conditionalFormatting>
  <conditionalFormatting sqref="AO4:AO85">
    <cfRule type="cellIs" dxfId="49" priority="113" stopIfTrue="1" operator="between">
      <formula>0</formula>
      <formula>0.39</formula>
    </cfRule>
    <cfRule type="cellIs" dxfId="48" priority="112" stopIfTrue="1" operator="between">
      <formula>0.4</formula>
      <formula>0.59</formula>
    </cfRule>
    <cfRule type="cellIs" dxfId="47" priority="111" stopIfTrue="1" operator="between">
      <formula>0.6</formula>
      <formula>0.69</formula>
    </cfRule>
    <cfRule type="cellIs" dxfId="46" priority="110" stopIfTrue="1" operator="between">
      <formula>0.7</formula>
      <formula>0.79</formula>
    </cfRule>
    <cfRule type="cellIs" dxfId="45" priority="109" stopIfTrue="1" operator="between">
      <formula>0.8</formula>
      <formula>1.01</formula>
    </cfRule>
  </conditionalFormatting>
  <conditionalFormatting sqref="AV4:AV85">
    <cfRule type="cellIs" dxfId="44" priority="96" stopIfTrue="1" operator="between">
      <formula>0.6</formula>
      <formula>0.69</formula>
    </cfRule>
    <cfRule type="cellIs" dxfId="43" priority="95" stopIfTrue="1" operator="between">
      <formula>0.7</formula>
      <formula>0.79</formula>
    </cfRule>
    <cfRule type="cellIs" dxfId="42" priority="94" stopIfTrue="1" operator="between">
      <formula>0.8</formula>
      <formula>1.01</formula>
    </cfRule>
    <cfRule type="cellIs" dxfId="41" priority="98" stopIfTrue="1" operator="between">
      <formula>0</formula>
      <formula>0.39</formula>
    </cfRule>
    <cfRule type="cellIs" dxfId="40" priority="97" stopIfTrue="1" operator="between">
      <formula>0.4</formula>
      <formula>0.59</formula>
    </cfRule>
  </conditionalFormatting>
  <conditionalFormatting sqref="BC4:BC85">
    <cfRule type="cellIs" dxfId="39" priority="103" stopIfTrue="1" operator="between">
      <formula>0</formula>
      <formula>0.39</formula>
    </cfRule>
    <cfRule type="cellIs" dxfId="38" priority="102" stopIfTrue="1" operator="between">
      <formula>0.4</formula>
      <formula>0.59</formula>
    </cfRule>
    <cfRule type="cellIs" dxfId="37" priority="101" stopIfTrue="1" operator="between">
      <formula>0.6</formula>
      <formula>0.69</formula>
    </cfRule>
    <cfRule type="cellIs" dxfId="36" priority="100" stopIfTrue="1" operator="between">
      <formula>0.7</formula>
      <formula>0.79</formula>
    </cfRule>
    <cfRule type="cellIs" dxfId="35" priority="99" stopIfTrue="1" operator="between">
      <formula>0.8</formula>
      <formula>1.01</formula>
    </cfRule>
  </conditionalFormatting>
  <conditionalFormatting sqref="BJ2:BJ85">
    <cfRule type="cellIs" dxfId="34" priority="81" operator="between">
      <formula>0.6</formula>
      <formula>0.69</formula>
    </cfRule>
    <cfRule type="cellIs" dxfId="33" priority="82" operator="between">
      <formula>0.4</formula>
      <formula>0.59</formula>
    </cfRule>
    <cfRule type="cellIs" dxfId="32" priority="83" operator="between">
      <formula>0</formula>
      <formula>0.39</formula>
    </cfRule>
    <cfRule type="cellIs" dxfId="31" priority="79" operator="between">
      <formula>0.8</formula>
      <formula>1.01</formula>
    </cfRule>
    <cfRule type="cellIs" dxfId="30" priority="80" operator="between">
      <formula>0.7</formula>
      <formula>0.79</formula>
    </cfRule>
  </conditionalFormatting>
  <conditionalFormatting sqref="BQ4:BQ85">
    <cfRule type="cellIs" dxfId="29" priority="78" stopIfTrue="1" operator="between">
      <formula>0</formula>
      <formula>0.39</formula>
    </cfRule>
    <cfRule type="cellIs" dxfId="28" priority="77" stopIfTrue="1" operator="between">
      <formula>0.4</formula>
      <formula>0.59</formula>
    </cfRule>
    <cfRule type="cellIs" dxfId="27" priority="76" stopIfTrue="1" operator="between">
      <formula>0.6</formula>
      <formula>0.69</formula>
    </cfRule>
    <cfRule type="cellIs" dxfId="26" priority="75" stopIfTrue="1" operator="between">
      <formula>0.7</formula>
      <formula>0.79</formula>
    </cfRule>
    <cfRule type="cellIs" dxfId="25" priority="74" stopIfTrue="1" operator="between">
      <formula>0.8</formula>
      <formula>1.01</formula>
    </cfRule>
  </conditionalFormatting>
  <conditionalFormatting sqref="BX4:BX85">
    <cfRule type="cellIs" dxfId="24" priority="72" stopIfTrue="1" operator="between">
      <formula>0.4</formula>
      <formula>0.59</formula>
    </cfRule>
    <cfRule type="cellIs" dxfId="23" priority="73" stopIfTrue="1" operator="between">
      <formula>0</formula>
      <formula>0.39</formula>
    </cfRule>
    <cfRule type="cellIs" dxfId="22" priority="71" stopIfTrue="1" operator="between">
      <formula>0.6</formula>
      <formula>0.69</formula>
    </cfRule>
    <cfRule type="cellIs" dxfId="21" priority="70" stopIfTrue="1" operator="between">
      <formula>0.7</formula>
      <formula>0.79</formula>
    </cfRule>
    <cfRule type="cellIs" dxfId="20" priority="69" stopIfTrue="1" operator="between">
      <formula>0.8</formula>
      <formula>1.01</formula>
    </cfRule>
  </conditionalFormatting>
  <conditionalFormatting sqref="CA1:CA3 CA86:CA1048576">
    <cfRule type="cellIs" priority="38" operator="between">
      <formula>1</formula>
      <formula>100</formula>
    </cfRule>
  </conditionalFormatting>
  <conditionalFormatting sqref="CA4:CA85">
    <cfRule type="cellIs" dxfId="19" priority="35" operator="between">
      <formula>0.6</formula>
      <formula>0.69</formula>
    </cfRule>
    <cfRule type="cellIs" dxfId="18" priority="33" operator="between">
      <formula>0.8</formula>
      <formula>1</formula>
    </cfRule>
    <cfRule type="cellIs" dxfId="17" priority="34" operator="between">
      <formula>0.7</formula>
      <formula>0.79</formula>
    </cfRule>
    <cfRule type="cellIs" dxfId="16" priority="37" stopIfTrue="1" operator="between">
      <formula>0</formula>
      <formula>0.39</formula>
    </cfRule>
    <cfRule type="cellIs" dxfId="15" priority="36" operator="between">
      <formula>0.4</formula>
      <formula>0.59</formula>
    </cfRule>
  </conditionalFormatting>
  <conditionalFormatting sqref="CF4:CF27 CF29:CF85">
    <cfRule type="cellIs" dxfId="14" priority="21" stopIfTrue="1" operator="between">
      <formula>0</formula>
      <formula>0.39</formula>
    </cfRule>
    <cfRule type="cellIs" dxfId="13" priority="20" stopIfTrue="1" operator="between">
      <formula>0.4</formula>
      <formula>0.59</formula>
    </cfRule>
    <cfRule type="cellIs" dxfId="12" priority="19" stopIfTrue="1" operator="between">
      <formula>0.6</formula>
      <formula>0.69</formula>
    </cfRule>
    <cfRule type="cellIs" dxfId="11" priority="18" stopIfTrue="1" operator="between">
      <formula>0.7</formula>
      <formula>0.79</formula>
    </cfRule>
    <cfRule type="cellIs" dxfId="10" priority="17" stopIfTrue="1" operator="between">
      <formula>0.8</formula>
      <formula>1.01</formula>
    </cfRule>
  </conditionalFormatting>
  <conditionalFormatting sqref="CI1:CI3">
    <cfRule type="cellIs" priority="27" operator="between">
      <formula>1</formula>
      <formula>100</formula>
    </cfRule>
  </conditionalFormatting>
  <conditionalFormatting sqref="CI86:CI87">
    <cfRule type="cellIs" priority="11" operator="between">
      <formula>1</formula>
      <formula>100</formula>
    </cfRule>
  </conditionalFormatting>
  <conditionalFormatting sqref="CN4:CN7 CN9:CN16 CN18 CN21:CN27 CN30:CN49 CN51:CN55 CN58:CN60 CN62 CN64:CN85">
    <cfRule type="cellIs" dxfId="9" priority="14" stopIfTrue="1" operator="between">
      <formula>0.6</formula>
      <formula>0.69</formula>
    </cfRule>
    <cfRule type="cellIs" dxfId="8" priority="16" stopIfTrue="1" operator="between">
      <formula>0</formula>
      <formula>0.39</formula>
    </cfRule>
    <cfRule type="cellIs" dxfId="7" priority="15" stopIfTrue="1" operator="between">
      <formula>0.4</formula>
      <formula>0.59</formula>
    </cfRule>
    <cfRule type="cellIs" dxfId="6" priority="13" stopIfTrue="1" operator="between">
      <formula>0.7</formula>
      <formula>0.79</formula>
    </cfRule>
    <cfRule type="cellIs" dxfId="5" priority="12" stopIfTrue="1" operator="between">
      <formula>0.8</formula>
      <formula>1.01</formula>
    </cfRule>
  </conditionalFormatting>
  <conditionalFormatting sqref="CI4:CI85">
    <cfRule type="cellIs" dxfId="4" priority="1" operator="between">
      <formula>0.8</formula>
      <formula>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stopIfTrue="1" operator="between">
      <formula>0</formula>
      <formula>0.39</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3" zoomScale="90" zoomScaleNormal="90" workbookViewId="0">
      <selection activeCell="I35" sqref="A28:I35"/>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284</v>
      </c>
      <c r="B2" s="6" t="s">
        <v>285</v>
      </c>
    </row>
    <row r="3" spans="1:4" ht="15.75" thickBot="1" x14ac:dyDescent="0.3">
      <c r="A3" s="7" t="s">
        <v>411</v>
      </c>
      <c r="B3" s="8">
        <f>D35</f>
        <v>18</v>
      </c>
      <c r="D3" s="333"/>
    </row>
    <row r="4" spans="1:4" ht="15.75" thickBot="1" x14ac:dyDescent="0.3">
      <c r="A4" s="9" t="s">
        <v>405</v>
      </c>
      <c r="B4" s="8">
        <v>8</v>
      </c>
      <c r="D4" s="333"/>
    </row>
    <row r="5" spans="1:4" ht="15.75" thickBot="1" x14ac:dyDescent="0.3">
      <c r="A5" s="10" t="s">
        <v>406</v>
      </c>
      <c r="B5" s="8">
        <f>F35</f>
        <v>3</v>
      </c>
      <c r="D5" s="333"/>
    </row>
    <row r="6" spans="1:4" ht="15.75" thickBot="1" x14ac:dyDescent="0.3">
      <c r="A6" s="11" t="s">
        <v>407</v>
      </c>
      <c r="B6" s="8">
        <f>G35</f>
        <v>2</v>
      </c>
      <c r="D6" s="333"/>
    </row>
    <row r="7" spans="1:4" ht="15.75" thickBot="1" x14ac:dyDescent="0.3">
      <c r="A7" s="12" t="s">
        <v>408</v>
      </c>
      <c r="B7" s="8">
        <f>H35</f>
        <v>30</v>
      </c>
      <c r="D7" s="333"/>
    </row>
    <row r="9" spans="1:4" x14ac:dyDescent="0.25">
      <c r="B9" s="4">
        <f>SUM(B3:B7)</f>
        <v>61</v>
      </c>
    </row>
    <row r="27" spans="1:9" ht="15.75" thickBot="1" x14ac:dyDescent="0.3"/>
    <row r="28" spans="1:9" ht="15.75" customHeight="1" thickBot="1" x14ac:dyDescent="0.3">
      <c r="A28" s="694" t="s">
        <v>413</v>
      </c>
      <c r="B28" s="696" t="s">
        <v>414</v>
      </c>
      <c r="C28" s="696" t="s">
        <v>4</v>
      </c>
      <c r="D28" s="698" t="s">
        <v>985</v>
      </c>
      <c r="E28" s="699"/>
      <c r="F28" s="699"/>
      <c r="G28" s="699"/>
      <c r="H28" s="699"/>
      <c r="I28" s="700"/>
    </row>
    <row r="29" spans="1:9" ht="31.5" customHeight="1" thickBot="1" x14ac:dyDescent="0.3">
      <c r="A29" s="695"/>
      <c r="B29" s="697"/>
      <c r="C29" s="697"/>
      <c r="D29" s="17" t="s">
        <v>404</v>
      </c>
      <c r="E29" s="17" t="s">
        <v>405</v>
      </c>
      <c r="F29" s="17" t="s">
        <v>406</v>
      </c>
      <c r="G29" s="17" t="s">
        <v>407</v>
      </c>
      <c r="H29" s="17" t="s">
        <v>408</v>
      </c>
      <c r="I29" s="18" t="s">
        <v>409</v>
      </c>
    </row>
    <row r="30" spans="1:9" ht="26.25" thickBot="1" x14ac:dyDescent="0.3">
      <c r="A30" s="19">
        <v>1</v>
      </c>
      <c r="B30" s="20" t="s">
        <v>8</v>
      </c>
      <c r="C30" s="21">
        <v>6</v>
      </c>
      <c r="D30" s="22">
        <v>2</v>
      </c>
      <c r="E30" s="23"/>
      <c r="F30" s="13"/>
      <c r="G30" s="24">
        <v>1</v>
      </c>
      <c r="H30" s="25">
        <v>3</v>
      </c>
      <c r="I30" s="26">
        <f>SUM(D30:H30)</f>
        <v>6</v>
      </c>
    </row>
    <row r="31" spans="1:9" ht="29.25" customHeight="1" thickBot="1" x14ac:dyDescent="0.3">
      <c r="A31" s="19">
        <v>2</v>
      </c>
      <c r="B31" s="20" t="s">
        <v>25</v>
      </c>
      <c r="C31" s="21">
        <v>44</v>
      </c>
      <c r="D31" s="22">
        <v>16</v>
      </c>
      <c r="E31" s="23">
        <v>5</v>
      </c>
      <c r="F31" s="27">
        <v>3</v>
      </c>
      <c r="G31" s="24"/>
      <c r="H31" s="25">
        <v>20</v>
      </c>
      <c r="I31" s="26">
        <f>SUM(D31:H31)</f>
        <v>44</v>
      </c>
    </row>
    <row r="32" spans="1:9" ht="26.25" thickBot="1" x14ac:dyDescent="0.3">
      <c r="A32" s="19">
        <v>3</v>
      </c>
      <c r="B32" s="20" t="s">
        <v>203</v>
      </c>
      <c r="C32" s="21">
        <v>4</v>
      </c>
      <c r="D32" s="22"/>
      <c r="E32" s="23">
        <v>1</v>
      </c>
      <c r="F32" s="27"/>
      <c r="G32" s="24"/>
      <c r="H32" s="25">
        <v>3</v>
      </c>
      <c r="I32" s="26">
        <f t="shared" ref="I32:I34" si="0">SUM(D32:H32)</f>
        <v>4</v>
      </c>
    </row>
    <row r="33" spans="1:9" ht="26.25" thickBot="1" x14ac:dyDescent="0.3">
      <c r="A33" s="19">
        <v>4</v>
      </c>
      <c r="B33" s="20" t="s">
        <v>220</v>
      </c>
      <c r="C33" s="21">
        <v>3</v>
      </c>
      <c r="D33" s="22"/>
      <c r="E33" s="23">
        <v>1</v>
      </c>
      <c r="F33" s="13"/>
      <c r="G33" s="24">
        <v>1</v>
      </c>
      <c r="H33" s="25">
        <v>1</v>
      </c>
      <c r="I33" s="26">
        <f t="shared" si="0"/>
        <v>3</v>
      </c>
    </row>
    <row r="34" spans="1:9" ht="26.25" thickBot="1" x14ac:dyDescent="0.3">
      <c r="A34" s="19">
        <v>5</v>
      </c>
      <c r="B34" s="20" t="s">
        <v>410</v>
      </c>
      <c r="C34" s="21">
        <v>4</v>
      </c>
      <c r="D34" s="50"/>
      <c r="E34" s="23">
        <v>1</v>
      </c>
      <c r="F34" s="27"/>
      <c r="G34" s="24"/>
      <c r="H34" s="25">
        <v>3</v>
      </c>
      <c r="I34" s="26">
        <f t="shared" si="0"/>
        <v>4</v>
      </c>
    </row>
    <row r="35" spans="1:9" ht="15.75" thickBot="1" x14ac:dyDescent="0.3">
      <c r="A35" s="701" t="s">
        <v>415</v>
      </c>
      <c r="B35" s="702"/>
      <c r="C35" s="703"/>
      <c r="D35" s="28">
        <f>SUM(D30:D34)</f>
        <v>18</v>
      </c>
      <c r="E35" s="28">
        <f t="shared" ref="E35:G35" si="1">SUM(E30:E34)</f>
        <v>8</v>
      </c>
      <c r="F35" s="28">
        <f t="shared" si="1"/>
        <v>3</v>
      </c>
      <c r="G35" s="28">
        <f t="shared" si="1"/>
        <v>2</v>
      </c>
      <c r="H35" s="28">
        <f>SUM(H30:H34)</f>
        <v>30</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2023-11-28T20:51:46Z</dcterms:modified>
</cp:coreProperties>
</file>